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FS01\Organisation\4 - DOP\40 -  DOP Général\suivi d'activité\PCA\3. TABLEAUX DE BORD\HONORAIRES PAC\Prévisionnel HONO 2021\"/>
    </mc:Choice>
  </mc:AlternateContent>
  <xr:revisionPtr revIDLastSave="0" documentId="13_ncr:1_{6D57B52F-D3FD-47FA-813D-82D4EC0FAFD2}" xr6:coauthVersionLast="47" xr6:coauthVersionMax="47" xr10:uidLastSave="{00000000-0000-0000-0000-000000000000}"/>
  <bookViews>
    <workbookView xWindow="30612" yWindow="996" windowWidth="23256" windowHeight="12576" activeTab="3" xr2:uid="{9CD57E18-CC0D-4CA0-8911-CF594DD188F0}"/>
  </bookViews>
  <sheets>
    <sheet name="Données NH REHAB" sheetId="1" r:id="rId1"/>
    <sheet name="Données opérations REHAB" sheetId="3" r:id="rId2"/>
    <sheet name="Données NH NEUF" sheetId="4" r:id="rId3"/>
    <sheet name="Données opérations NEUVES" sheetId="5" r:id="rId4"/>
    <sheet name="Listes" sheetId="2" r:id="rId5"/>
  </sheets>
  <definedNames>
    <definedName name="_xlnm._FilterDatabase" localSheetId="4" hidden="1">Listes!$G$1:$G$6</definedName>
    <definedName name="Avancement">Listes!$A$1:$A$15</definedName>
    <definedName name="Avancement_Propre">Listes!$A$19:$A$34</definedName>
    <definedName name="Avancement_VEFA">Listes!$A$37:$A$50</definedName>
    <definedName name="Cumul_avancement">Listes!$A$1:$C$15</definedName>
    <definedName name="Liste_RO">Listes!$G$1:$G$6</definedName>
    <definedName name="Phases">Listes!$E$1:$E$10</definedName>
    <definedName name="_xlnm.Print_Area" localSheetId="1">'Données opérations REHAB'!$A$1:$K$23</definedName>
  </definedNames>
  <calcPr calcId="191029"/>
  <pivotCaches>
    <pivotCache cacheId="29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5" l="1"/>
  <c r="K2" i="5" s="1"/>
  <c r="L2" i="5"/>
  <c r="K3" i="5"/>
  <c r="J3" i="5"/>
  <c r="I3" i="5" l="1"/>
  <c r="C37" i="2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19" i="2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I2" i="5"/>
  <c r="L3" i="5" l="1"/>
  <c r="H19" i="3" l="1"/>
  <c r="H20" i="3"/>
  <c r="H21" i="3"/>
  <c r="H22" i="3"/>
  <c r="H23" i="3"/>
  <c r="H24" i="3"/>
  <c r="G8" i="3"/>
  <c r="F8" i="3"/>
  <c r="F38" i="1"/>
  <c r="G4" i="3"/>
  <c r="F4" i="3"/>
  <c r="I24" i="3" l="1"/>
  <c r="I19" i="3"/>
  <c r="I20" i="3"/>
  <c r="I21" i="3"/>
  <c r="I22" i="3"/>
  <c r="I23" i="3"/>
  <c r="K19" i="3"/>
  <c r="K20" i="3"/>
  <c r="K21" i="3"/>
  <c r="K22" i="3"/>
  <c r="K23" i="3"/>
  <c r="H18" i="3"/>
  <c r="I18" i="3" s="1"/>
  <c r="H17" i="3"/>
  <c r="I17" i="3" s="1"/>
  <c r="H16" i="3"/>
  <c r="I16" i="3" s="1"/>
  <c r="H15" i="3"/>
  <c r="I15" i="3" s="1"/>
  <c r="H14" i="3"/>
  <c r="I14" i="3" s="1"/>
  <c r="H13" i="3"/>
  <c r="I13" i="3" s="1"/>
  <c r="H12" i="3"/>
  <c r="I12" i="3" s="1"/>
  <c r="H11" i="3"/>
  <c r="H10" i="3"/>
  <c r="H9" i="3"/>
  <c r="H7" i="3"/>
  <c r="H6" i="3"/>
  <c r="H5" i="3"/>
  <c r="H4" i="3"/>
  <c r="H3" i="3"/>
  <c r="F12" i="3"/>
  <c r="K24" i="3" l="1"/>
  <c r="K18" i="3"/>
  <c r="K17" i="3"/>
  <c r="K16" i="3"/>
  <c r="K14" i="3"/>
  <c r="K15" i="3"/>
  <c r="K13" i="3"/>
  <c r="K12" i="3"/>
  <c r="K11" i="3" l="1"/>
  <c r="I11" i="3" l="1"/>
  <c r="I10" i="3"/>
  <c r="I9" i="3"/>
  <c r="I7" i="3"/>
  <c r="I6" i="3"/>
  <c r="I5" i="3"/>
  <c r="K4" i="3"/>
  <c r="K3" i="3"/>
  <c r="K10" i="3" l="1"/>
  <c r="K9" i="3"/>
  <c r="K7" i="3"/>
  <c r="K6" i="3"/>
  <c r="K5" i="3"/>
  <c r="I4" i="3"/>
  <c r="I3" i="3" l="1"/>
  <c r="C1" i="2" l="1"/>
  <c r="F9" i="1"/>
  <c r="H2" i="3" s="1"/>
  <c r="F17" i="1"/>
  <c r="F16" i="1"/>
  <c r="H8" i="3" s="1"/>
  <c r="C2" i="2" l="1"/>
  <c r="C3" i="2" s="1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J14" i="3"/>
  <c r="J20" i="3"/>
  <c r="J12" i="3"/>
  <c r="J19" i="3"/>
  <c r="J15" i="3"/>
  <c r="J13" i="3"/>
  <c r="J16" i="3"/>
  <c r="J23" i="3"/>
  <c r="J17" i="3"/>
  <c r="J24" i="3"/>
  <c r="J22" i="3"/>
  <c r="J18" i="3"/>
  <c r="J21" i="3"/>
  <c r="J5" i="3"/>
  <c r="J11" i="3"/>
  <c r="J7" i="3"/>
  <c r="J9" i="3"/>
  <c r="J10" i="3"/>
  <c r="J6" i="3"/>
  <c r="J4" i="3"/>
  <c r="J3" i="3"/>
  <c r="I8" i="3"/>
  <c r="J8" i="3" s="1"/>
  <c r="K8" i="3"/>
  <c r="I2" i="3"/>
  <c r="J2" i="3" s="1"/>
  <c r="K2" i="3"/>
</calcChain>
</file>

<file path=xl/sharedStrings.xml><?xml version="1.0" encoding="utf-8"?>
<sst xmlns="http://schemas.openxmlformats.org/spreadsheetml/2006/main" count="549" uniqueCount="84">
  <si>
    <t>OPERATION</t>
  </si>
  <si>
    <t>PROG</t>
  </si>
  <si>
    <t>Avancement facturé</t>
  </si>
  <si>
    <t>Date</t>
  </si>
  <si>
    <t>Montant</t>
  </si>
  <si>
    <t>100 Marches</t>
  </si>
  <si>
    <t>Bellevue A-B-C</t>
  </si>
  <si>
    <t>ESQ</t>
  </si>
  <si>
    <t>APS</t>
  </si>
  <si>
    <t>PC</t>
  </si>
  <si>
    <t>APD</t>
  </si>
  <si>
    <t>CAO</t>
  </si>
  <si>
    <t>OS</t>
  </si>
  <si>
    <t>Programmation</t>
  </si>
  <si>
    <t>PRO</t>
  </si>
  <si>
    <t>OPR</t>
  </si>
  <si>
    <t>Réception</t>
  </si>
  <si>
    <t>Bilan final</t>
  </si>
  <si>
    <t>Total général</t>
  </si>
  <si>
    <t>2017</t>
  </si>
  <si>
    <t>2018</t>
  </si>
  <si>
    <t>2019</t>
  </si>
  <si>
    <t>2020</t>
  </si>
  <si>
    <t>Somme de Montant</t>
  </si>
  <si>
    <t>ANNEE NH</t>
  </si>
  <si>
    <t>PRP</t>
  </si>
  <si>
    <t>TOTAL HONORAIRES</t>
  </si>
  <si>
    <t>Phase</t>
  </si>
  <si>
    <t>AO</t>
  </si>
  <si>
    <t>Travaux</t>
  </si>
  <si>
    <t>GPA</t>
  </si>
  <si>
    <t>fin</t>
  </si>
  <si>
    <t>CUMUL HONORAIRES</t>
  </si>
  <si>
    <t>% AVANCEMENT</t>
  </si>
  <si>
    <t>AVANCEMENT FACTURE</t>
  </si>
  <si>
    <t>RO</t>
  </si>
  <si>
    <t>LXC</t>
  </si>
  <si>
    <t>JER</t>
  </si>
  <si>
    <t>MHO</t>
  </si>
  <si>
    <t>TQU</t>
  </si>
  <si>
    <t>YFR</t>
  </si>
  <si>
    <t>OPO</t>
  </si>
  <si>
    <t>Bougainvillées</t>
  </si>
  <si>
    <t>Bras des Etangs</t>
  </si>
  <si>
    <t>RESTE A PERCEVOIR</t>
  </si>
  <si>
    <t>Caramboles</t>
  </si>
  <si>
    <t>Citronnelles</t>
  </si>
  <si>
    <t>Hubert Delisle</t>
  </si>
  <si>
    <t>Canal Lilis</t>
  </si>
  <si>
    <t>La Cure</t>
  </si>
  <si>
    <t>Poinsétias</t>
  </si>
  <si>
    <t>Casabianca</t>
  </si>
  <si>
    <t>Chapelle</t>
  </si>
  <si>
    <t>Chemin Galet 1</t>
  </si>
  <si>
    <t>Chemin Galet 2</t>
  </si>
  <si>
    <t>La Cure 2</t>
  </si>
  <si>
    <t>Le Choka Bleu</t>
  </si>
  <si>
    <t>N lgts</t>
  </si>
  <si>
    <t>Lacaussade 1</t>
  </si>
  <si>
    <t>Cœur de village 40</t>
  </si>
  <si>
    <t>Cazala</t>
  </si>
  <si>
    <t>Le Ruisseau</t>
  </si>
  <si>
    <t>La Forêt</t>
  </si>
  <si>
    <t>Orchidées 2</t>
  </si>
  <si>
    <t>Orchidées 1</t>
  </si>
  <si>
    <t>IKARIA</t>
  </si>
  <si>
    <t>PROPRE</t>
  </si>
  <si>
    <t>Dépôt PC</t>
  </si>
  <si>
    <t>Fondations</t>
  </si>
  <si>
    <t>Plancher bas du R+1</t>
  </si>
  <si>
    <t>HDE</t>
  </si>
  <si>
    <t>HDA</t>
  </si>
  <si>
    <t>Plâtres</t>
  </si>
  <si>
    <t>DAT</t>
  </si>
  <si>
    <t>RDC</t>
  </si>
  <si>
    <t>VEFA</t>
  </si>
  <si>
    <t>Contrat réservation</t>
  </si>
  <si>
    <t xml:space="preserve">VEFA </t>
  </si>
  <si>
    <t>Terrassement</t>
  </si>
  <si>
    <t>Propre/VEFA</t>
  </si>
  <si>
    <t>Propre</t>
  </si>
  <si>
    <t>2021</t>
  </si>
  <si>
    <t>Étiquettes de lignes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</si>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</sst>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b/>
      <sz val="11"/>
      <name val="ScalaSansPro-Light"/>
      <family val="3"/>
    </font>
    <font>
      <b/>
      <sz val="10"/>
      <name val="ScalaSansPro-Light"/>
      <family val="3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medium">
        <color auto="1"/>
      </left>
      <right/>
      <top/>
      <bottom/>
      <diagonal/>
    </border>
    <border>
      <left style="thin">
        <color theme="5"/>
      </left>
      <right/>
      <top/>
      <bottom/>
      <diagonal/>
    </border>
    <border>
      <left/>
      <right style="thin">
        <color theme="5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5" fillId="0" borderId="0"/>
  </cellStyleXfs>
  <cellXfs count="56">
    <xf numFmtId="0" fontId="0" fillId="0" borderId="0" xfId="0"/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/>
    <xf numFmtId="0" fontId="0" fillId="0" borderId="0" xfId="0" applyAlignment="1">
      <alignment horizontal="left" indent="1"/>
    </xf>
    <xf numFmtId="0" fontId="0" fillId="0" borderId="1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6" fillId="3" borderId="2" xfId="0" applyFont="1" applyFill="1" applyBorder="1"/>
    <xf numFmtId="9" fontId="6" fillId="3" borderId="0" xfId="1" applyFont="1" applyFill="1" applyBorder="1"/>
    <xf numFmtId="9" fontId="6" fillId="3" borderId="2" xfId="1" applyFont="1" applyFill="1" applyBorder="1" applyAlignment="1">
      <alignment horizontal="left"/>
    </xf>
    <xf numFmtId="9" fontId="6" fillId="3" borderId="2" xfId="0" applyNumberFormat="1" applyFont="1" applyFill="1" applyBorder="1" applyAlignment="1">
      <alignment horizontal="left"/>
    </xf>
    <xf numFmtId="9" fontId="7" fillId="3" borderId="0" xfId="1" applyFont="1" applyFill="1" applyBorder="1"/>
    <xf numFmtId="0" fontId="8" fillId="0" borderId="0" xfId="0" applyFont="1"/>
    <xf numFmtId="0" fontId="4" fillId="4" borderId="0" xfId="0" applyFont="1" applyFill="1"/>
    <xf numFmtId="0" fontId="3" fillId="0" borderId="0" xfId="0" applyFont="1"/>
    <xf numFmtId="9" fontId="9" fillId="0" borderId="0" xfId="0" applyNumberFormat="1" applyFont="1" applyAlignment="1">
      <alignment horizont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/>
    </xf>
    <xf numFmtId="4" fontId="0" fillId="0" borderId="0" xfId="0" applyNumberFormat="1" applyBorder="1"/>
    <xf numFmtId="9" fontId="0" fillId="0" borderId="0" xfId="1" applyFont="1" applyBorder="1"/>
    <xf numFmtId="9" fontId="9" fillId="0" borderId="0" xfId="0" applyNumberFormat="1" applyFont="1" applyBorder="1" applyAlignment="1">
      <alignment horizontal="center"/>
    </xf>
    <xf numFmtId="0" fontId="0" fillId="5" borderId="0" xfId="0" applyFill="1"/>
    <xf numFmtId="14" fontId="0" fillId="0" borderId="1" xfId="0" applyNumberFormat="1" applyFont="1" applyBorder="1" applyAlignment="1">
      <alignment horizontal="center" vertical="center"/>
    </xf>
    <xf numFmtId="9" fontId="0" fillId="0" borderId="1" xfId="0" applyNumberFormat="1" applyFont="1" applyBorder="1" applyAlignment="1">
      <alignment horizontal="center" vertical="center"/>
    </xf>
    <xf numFmtId="4" fontId="0" fillId="0" borderId="1" xfId="0" applyNumberFormat="1" applyFon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0" fontId="0" fillId="0" borderId="0" xfId="1" applyNumberFormat="1" applyFont="1"/>
    <xf numFmtId="4" fontId="9" fillId="0" borderId="0" xfId="0" applyNumberFormat="1" applyFont="1" applyBorder="1" applyAlignment="1">
      <alignment horizontal="center"/>
    </xf>
    <xf numFmtId="9" fontId="11" fillId="0" borderId="0" xfId="0" applyNumberFormat="1" applyFont="1" applyAlignment="1">
      <alignment horizontal="center"/>
    </xf>
    <xf numFmtId="9" fontId="0" fillId="0" borderId="1" xfId="1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4" fontId="4" fillId="0" borderId="0" xfId="0" applyNumberFormat="1" applyFont="1"/>
    <xf numFmtId="10" fontId="4" fillId="0" borderId="0" xfId="1" applyNumberFormat="1" applyFont="1"/>
    <xf numFmtId="9" fontId="10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/>
    </xf>
    <xf numFmtId="4" fontId="10" fillId="0" borderId="0" xfId="0" applyNumberFormat="1" applyFont="1" applyAlignment="1">
      <alignment horizontal="center"/>
    </xf>
    <xf numFmtId="0" fontId="4" fillId="0" borderId="0" xfId="0" applyFont="1" applyBorder="1" applyAlignment="1">
      <alignment horizontal="center" vertical="center"/>
    </xf>
    <xf numFmtId="4" fontId="4" fillId="0" borderId="0" xfId="0" applyNumberFormat="1" applyFont="1" applyBorder="1"/>
    <xf numFmtId="10" fontId="4" fillId="0" borderId="0" xfId="1" applyNumberFormat="1" applyFont="1" applyBorder="1"/>
    <xf numFmtId="9" fontId="10" fillId="0" borderId="0" xfId="0" applyNumberFormat="1" applyFont="1" applyBorder="1" applyAlignment="1">
      <alignment horizontal="center"/>
    </xf>
    <xf numFmtId="4" fontId="10" fillId="0" borderId="0" xfId="0" applyNumberFormat="1" applyFont="1" applyBorder="1" applyAlignment="1">
      <alignment horizontal="center"/>
    </xf>
    <xf numFmtId="4" fontId="0" fillId="0" borderId="0" xfId="0" applyNumberFormat="1" applyFont="1"/>
    <xf numFmtId="9" fontId="11" fillId="0" borderId="0" xfId="0" applyNumberFormat="1" applyFont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9" fontId="0" fillId="0" borderId="0" xfId="1" applyFont="1"/>
    <xf numFmtId="3" fontId="0" fillId="0" borderId="0" xfId="0" applyNumberFormat="1"/>
    <xf numFmtId="0" fontId="2" fillId="0" borderId="3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 vertical="center"/>
    </xf>
    <xf numFmtId="3" fontId="0" fillId="0" borderId="0" xfId="0" applyNumberFormat="1" applyAlignment="1">
      <alignment horizontal="center"/>
    </xf>
  </cellXfs>
  <cellStyles count="3">
    <cellStyle name="Normal" xfId="0" builtinId="0"/>
    <cellStyle name="Normal 4" xfId="2" xr:uid="{D23C44B8-6C60-4E82-999D-F544AE996021}"/>
    <cellStyle name="Pourcentage" xfId="1" builtinId="5"/>
  </cellStyles>
  <dxfs count="174"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</dxf>
    <dxf>
      <alignment horizontal="center" textRotation="0" wrapText="0" indent="0" justifyLastLine="0" shrinkToFit="0" readingOrder="0"/>
    </dxf>
    <dxf>
      <numFmt numFmtId="4" formatCode="#,##0.00"/>
    </dxf>
    <dxf>
      <numFmt numFmtId="3" formatCode="#,##0"/>
    </dxf>
    <dxf>
      <alignment horizontal="center"/>
    </dxf>
    <dxf>
      <alignment horizontal="center"/>
    </dxf>
    <dxf>
      <numFmt numFmtId="4" formatCode="#,##0.00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4" formatCode="#,##0.00"/>
    </dxf>
    <dxf>
      <alignment horizontal="center"/>
    </dxf>
    <dxf>
      <alignment horizontal="center"/>
    </dxf>
    <dxf>
      <numFmt numFmtId="4" formatCode="#,##0.00"/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theme="1" tint="0.49998474074526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alignment horizontal="center"/>
    </dxf>
    <dxf>
      <alignment horizontal="center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top style="thin">
          <color theme="5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numFmt numFmtId="4" formatCode="#,##0.00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  <dxf>
      <numFmt numFmtId="4" formatCode="#,##0.00"/>
    </dxf>
    <dxf>
      <numFmt numFmtId="4" formatCode="#,##0.0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4884C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518.691622685183" createdVersion="7" refreshedVersion="7" minRefreshableVersion="3" recordCount="116" xr:uid="{442CD425-D492-46E2-9F3C-9114E41A1F59}">
  <cacheSource type="worksheet">
    <worksheetSource name="Tableau1"/>
  </cacheSource>
  <cacheFields count="8">
    <cacheField name="OPERATION" numFmtId="0">
      <sharedItems count="23">
        <s v="100 Marches"/>
        <s v="Bellevue A-B-C"/>
        <s v="Bougainvillées"/>
        <s v="Bras des Etangs"/>
        <s v="Canal Lilis"/>
        <s v="Caramboles"/>
        <s v="Casabianca"/>
        <s v="Cazala"/>
        <s v="Chapelle"/>
        <s v="Chemin Galet 1"/>
        <s v="Chemin Galet 2"/>
        <s v="Citronnelles"/>
        <s v="Cœur de village 40"/>
        <s v="Hubert Delisle"/>
        <s v="La Cure"/>
        <s v="La Cure 2"/>
        <s v="La Forêt"/>
        <s v="Lacaussade 1"/>
        <s v="Le Choka Bleu"/>
        <s v="Le Ruisseau"/>
        <s v="Orchidées 1"/>
        <s v="Orchidées 2"/>
        <s v="Poinsétias"/>
      </sharedItems>
    </cacheField>
    <cacheField name="PROG" numFmtId="0">
      <sharedItems containsSemiMixedTypes="0" containsString="0" containsNumber="1" containsInteger="1" minValue="2017" maxValue="2021" count="4">
        <n v="2017"/>
        <n v="2018"/>
        <n v="2020"/>
        <n v="2021"/>
      </sharedItems>
    </cacheField>
    <cacheField name="RO" numFmtId="0">
      <sharedItems containsBlank="1" count="3">
        <s v="JER"/>
        <s v="MHO"/>
        <m u="1"/>
      </sharedItems>
    </cacheField>
    <cacheField name="Avancement facturé" numFmtId="0">
      <sharedItems containsMixedTypes="1" containsNumber="1" minValue="0.2" maxValue="0.95"/>
    </cacheField>
    <cacheField name="Date" numFmtId="14">
      <sharedItems containsSemiMixedTypes="0" containsNonDate="0" containsDate="1" containsString="0" minDate="2017-04-19T00:00:00" maxDate="2021-11-18T00:00:00" count="14">
        <d v="2017-04-19T00:00:00"/>
        <d v="2017-06-05T00:00:00"/>
        <d v="2017-06-30T00:00:00"/>
        <d v="2017-12-12T00:00:00"/>
        <d v="2018-07-12T00:00:00"/>
        <d v="2018-12-31T00:00:00"/>
        <d v="2019-05-23T00:00:00"/>
        <d v="2019-11-14T00:00:00"/>
        <d v="2020-12-14T00:00:00"/>
        <d v="2020-04-22T00:00:00"/>
        <d v="2021-11-17T00:00:00"/>
        <d v="2019-12-05T00:00:00"/>
        <d v="2019-11-04T00:00:00"/>
        <d v="2020-12-15T00:00:00"/>
      </sharedItems>
      <fieldGroup par="7" base="4">
        <rangePr groupBy="months" startDate="2017-04-19T00:00:00" endDate="2021-11-18T00:00:00"/>
        <groupItems count="14">
          <s v="&lt;19/04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11/2021"/>
        </groupItems>
      </fieldGroup>
    </cacheField>
    <cacheField name="Montant" numFmtId="4">
      <sharedItems containsSemiMixedTypes="0" containsString="0" containsNumber="1" minValue="80.19" maxValue="43083.11"/>
    </cacheField>
    <cacheField name="Trimestres" numFmtId="0" databaseField="0">
      <fieldGroup base="4">
        <rangePr groupBy="quarters" startDate="2017-04-19T00:00:00" endDate="2021-11-18T00:00:00"/>
        <groupItems count="6">
          <s v="&lt;19/04/2017"/>
          <s v="Trimestre1"/>
          <s v="Trimestre2"/>
          <s v="Trimestre3"/>
          <s v="Trimestre4"/>
          <s v="&gt;18/11/2021"/>
        </groupItems>
      </fieldGroup>
    </cacheField>
    <cacheField name="Années" numFmtId="0" databaseField="0">
      <fieldGroup base="4">
        <rangePr groupBy="years" startDate="2017-04-19T00:00:00" endDate="2021-11-18T00:00:00"/>
        <groupItems count="7">
          <s v="&lt;19/04/2017"/>
          <s v="2017"/>
          <s v="2018"/>
          <s v="2019"/>
          <s v="2020"/>
          <s v="2021"/>
          <s v="&gt;18/11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6">
  <r>
    <x v="0"/>
    <x v="0"/>
    <x v="0"/>
    <s v="Programmation"/>
    <x v="0"/>
    <n v="947.34"/>
  </r>
  <r>
    <x v="0"/>
    <x v="0"/>
    <x v="0"/>
    <s v="APS"/>
    <x v="1"/>
    <n v="1419.87"/>
  </r>
  <r>
    <x v="0"/>
    <x v="0"/>
    <x v="0"/>
    <s v="APD"/>
    <x v="2"/>
    <n v="946.88"/>
  </r>
  <r>
    <x v="0"/>
    <x v="0"/>
    <x v="0"/>
    <s v="PRO"/>
    <x v="3"/>
    <n v="1405.68"/>
  </r>
  <r>
    <x v="0"/>
    <x v="0"/>
    <x v="0"/>
    <s v="CAO"/>
    <x v="4"/>
    <n v="471.98"/>
  </r>
  <r>
    <x v="0"/>
    <x v="0"/>
    <x v="0"/>
    <s v="OS"/>
    <x v="5"/>
    <n v="948.01"/>
  </r>
  <r>
    <x v="0"/>
    <x v="0"/>
    <x v="0"/>
    <s v="OPR"/>
    <x v="6"/>
    <n v="2631.3"/>
  </r>
  <r>
    <x v="0"/>
    <x v="0"/>
    <x v="0"/>
    <s v="Réception"/>
    <x v="7"/>
    <n v="186.52"/>
  </r>
  <r>
    <x v="0"/>
    <x v="0"/>
    <x v="0"/>
    <s v="Bilan final"/>
    <x v="8"/>
    <n v="471.45"/>
  </r>
  <r>
    <x v="1"/>
    <x v="1"/>
    <x v="0"/>
    <s v="ESQ"/>
    <x v="3"/>
    <n v="21651.8"/>
  </r>
  <r>
    <x v="1"/>
    <x v="1"/>
    <x v="0"/>
    <s v="APD"/>
    <x v="4"/>
    <n v="38987.93"/>
  </r>
  <r>
    <x v="1"/>
    <x v="1"/>
    <x v="0"/>
    <s v="PRO"/>
    <x v="5"/>
    <n v="26028.43"/>
  </r>
  <r>
    <x v="1"/>
    <x v="1"/>
    <x v="0"/>
    <s v="CAO"/>
    <x v="6"/>
    <n v="8959.35"/>
  </r>
  <r>
    <x v="1"/>
    <x v="1"/>
    <x v="0"/>
    <s v="OS"/>
    <x v="7"/>
    <n v="17378.400000000001"/>
  </r>
  <r>
    <x v="1"/>
    <x v="1"/>
    <x v="0"/>
    <n v="0.2"/>
    <x v="9"/>
    <n v="8685.369999999999"/>
  </r>
  <r>
    <x v="1"/>
    <x v="1"/>
    <x v="0"/>
    <n v="0.75"/>
    <x v="8"/>
    <n v="29685.360000000001"/>
  </r>
  <r>
    <x v="1"/>
    <x v="1"/>
    <x v="0"/>
    <s v="Réception"/>
    <x v="10"/>
    <n v="23420"/>
  </r>
  <r>
    <x v="2"/>
    <x v="0"/>
    <x v="0"/>
    <s v="ESQ"/>
    <x v="0"/>
    <n v="6277.49"/>
  </r>
  <r>
    <x v="2"/>
    <x v="0"/>
    <x v="0"/>
    <s v="APS"/>
    <x v="1"/>
    <n v="4217.67"/>
  </r>
  <r>
    <x v="2"/>
    <x v="0"/>
    <x v="0"/>
    <s v="APD"/>
    <x v="2"/>
    <n v="4198.05"/>
  </r>
  <r>
    <x v="2"/>
    <x v="0"/>
    <x v="0"/>
    <s v="PRO"/>
    <x v="3"/>
    <n v="6266.24"/>
  </r>
  <r>
    <x v="2"/>
    <x v="0"/>
    <x v="0"/>
    <s v="CAO"/>
    <x v="4"/>
    <n v="2095.94"/>
  </r>
  <r>
    <x v="2"/>
    <x v="0"/>
    <x v="0"/>
    <s v="OS"/>
    <x v="5"/>
    <n v="6231.66"/>
  </r>
  <r>
    <x v="2"/>
    <x v="0"/>
    <x v="0"/>
    <s v="OPR"/>
    <x v="6"/>
    <n v="4170.1899999999996"/>
  </r>
  <r>
    <x v="2"/>
    <x v="0"/>
    <x v="0"/>
    <n v="0.95"/>
    <x v="7"/>
    <n v="4130.45"/>
  </r>
  <r>
    <x v="2"/>
    <x v="0"/>
    <x v="0"/>
    <s v="OPR"/>
    <x v="11"/>
    <n v="10921.2"/>
  </r>
  <r>
    <x v="2"/>
    <x v="0"/>
    <x v="0"/>
    <s v="Réception"/>
    <x v="8"/>
    <n v="80.19"/>
  </r>
  <r>
    <x v="2"/>
    <x v="0"/>
    <x v="0"/>
    <s v="Bilan final"/>
    <x v="10"/>
    <n v="2360.37"/>
  </r>
  <r>
    <x v="3"/>
    <x v="0"/>
    <x v="0"/>
    <s v="APS"/>
    <x v="1"/>
    <n v="20202.22"/>
  </r>
  <r>
    <x v="3"/>
    <x v="0"/>
    <x v="0"/>
    <s v="APD"/>
    <x v="2"/>
    <n v="8080.88"/>
  </r>
  <r>
    <x v="3"/>
    <x v="0"/>
    <x v="0"/>
    <s v="PRO"/>
    <x v="3"/>
    <n v="12290.380000000001"/>
  </r>
  <r>
    <x v="3"/>
    <x v="0"/>
    <x v="0"/>
    <s v="CAO"/>
    <x v="4"/>
    <n v="4057.35"/>
  </r>
  <r>
    <x v="3"/>
    <x v="0"/>
    <x v="0"/>
    <s v="OS"/>
    <x v="5"/>
    <n v="10358.83"/>
  </r>
  <r>
    <x v="3"/>
    <x v="0"/>
    <x v="0"/>
    <n v="0.55000000000000004"/>
    <x v="6"/>
    <n v="12645.94"/>
  </r>
  <r>
    <x v="3"/>
    <x v="0"/>
    <x v="0"/>
    <n v="0.75"/>
    <x v="7"/>
    <n v="4244.6900000000005"/>
  </r>
  <r>
    <x v="3"/>
    <x v="0"/>
    <x v="0"/>
    <s v="OPR"/>
    <x v="8"/>
    <n v="23881.850910249879"/>
  </r>
  <r>
    <x v="3"/>
    <x v="0"/>
    <x v="0"/>
    <s v="Bilan final"/>
    <x v="10"/>
    <n v="6901.34"/>
  </r>
  <r>
    <x v="4"/>
    <x v="1"/>
    <x v="0"/>
    <s v="ESQ"/>
    <x v="3"/>
    <n v="6256.63"/>
  </r>
  <r>
    <x v="4"/>
    <x v="1"/>
    <x v="0"/>
    <s v="APD"/>
    <x v="4"/>
    <n v="12820.55"/>
  </r>
  <r>
    <x v="4"/>
    <x v="1"/>
    <x v="0"/>
    <s v="PRO"/>
    <x v="5"/>
    <n v="6834.01"/>
  </r>
  <r>
    <x v="4"/>
    <x v="1"/>
    <x v="0"/>
    <s v="CAO"/>
    <x v="6"/>
    <n v="2475.94"/>
  </r>
  <r>
    <x v="4"/>
    <x v="1"/>
    <x v="0"/>
    <s v="OS"/>
    <x v="12"/>
    <n v="5126.3500000000004"/>
  </r>
  <r>
    <x v="4"/>
    <x v="1"/>
    <x v="0"/>
    <n v="0.2"/>
    <x v="11"/>
    <n v="4067.27"/>
  </r>
  <r>
    <x v="4"/>
    <x v="1"/>
    <x v="0"/>
    <s v="Réception"/>
    <x v="13"/>
    <n v="15899.52"/>
  </r>
  <r>
    <x v="4"/>
    <x v="1"/>
    <x v="0"/>
    <s v="Bilan final"/>
    <x v="10"/>
    <n v="1033.02"/>
  </r>
  <r>
    <x v="5"/>
    <x v="0"/>
    <x v="0"/>
    <s v="APS"/>
    <x v="0"/>
    <n v="1853.99"/>
  </r>
  <r>
    <x v="5"/>
    <x v="0"/>
    <x v="0"/>
    <s v="APD"/>
    <x v="2"/>
    <n v="744.13"/>
  </r>
  <r>
    <x v="5"/>
    <x v="0"/>
    <x v="0"/>
    <s v="PRO"/>
    <x v="3"/>
    <n v="1865.17"/>
  </r>
  <r>
    <x v="5"/>
    <x v="0"/>
    <x v="0"/>
    <s v="OS"/>
    <x v="5"/>
    <n v="1581.06"/>
  </r>
  <r>
    <x v="5"/>
    <x v="0"/>
    <x v="0"/>
    <n v="0.95"/>
    <x v="6"/>
    <n v="2503.5700000000002"/>
  </r>
  <r>
    <x v="5"/>
    <x v="0"/>
    <x v="0"/>
    <s v="OPR"/>
    <x v="7"/>
    <n v="284.93"/>
  </r>
  <r>
    <x v="5"/>
    <x v="0"/>
    <x v="0"/>
    <s v="Réception"/>
    <x v="8"/>
    <n v="3152.63"/>
  </r>
  <r>
    <x v="5"/>
    <x v="0"/>
    <x v="0"/>
    <s v="Bilan final"/>
    <x v="10"/>
    <n v="293.86"/>
  </r>
  <r>
    <x v="6"/>
    <x v="2"/>
    <x v="0"/>
    <s v="ESQ"/>
    <x v="7"/>
    <n v="8343.6299999999992"/>
  </r>
  <r>
    <x v="6"/>
    <x v="2"/>
    <x v="0"/>
    <s v="APS"/>
    <x v="9"/>
    <n v="6601.77"/>
  </r>
  <r>
    <x v="7"/>
    <x v="3"/>
    <x v="1"/>
    <s v="Programmation"/>
    <x v="13"/>
    <n v="8370.5400000000009"/>
  </r>
  <r>
    <x v="7"/>
    <x v="3"/>
    <x v="1"/>
    <s v="APS"/>
    <x v="10"/>
    <n v="12527.7"/>
  </r>
  <r>
    <x v="8"/>
    <x v="2"/>
    <x v="0"/>
    <s v="ESQ"/>
    <x v="7"/>
    <n v="15579.45"/>
  </r>
  <r>
    <x v="8"/>
    <x v="2"/>
    <x v="0"/>
    <s v="APS"/>
    <x v="9"/>
    <n v="24529.98"/>
  </r>
  <r>
    <x v="9"/>
    <x v="2"/>
    <x v="0"/>
    <s v="ESQ"/>
    <x v="7"/>
    <n v="11569.49"/>
  </r>
  <r>
    <x v="9"/>
    <x v="2"/>
    <x v="0"/>
    <s v="APS"/>
    <x v="9"/>
    <n v="13210.05"/>
  </r>
  <r>
    <x v="10"/>
    <x v="2"/>
    <x v="0"/>
    <s v="ESQ"/>
    <x v="7"/>
    <n v="12285.78"/>
  </r>
  <r>
    <x v="10"/>
    <x v="2"/>
    <x v="0"/>
    <s v="APS"/>
    <x v="9"/>
    <n v="12620.99"/>
  </r>
  <r>
    <x v="10"/>
    <x v="2"/>
    <x v="0"/>
    <s v="CAO"/>
    <x v="10"/>
    <n v="1143.79"/>
  </r>
  <r>
    <x v="11"/>
    <x v="0"/>
    <x v="0"/>
    <s v="APS"/>
    <x v="0"/>
    <n v="24977.59"/>
  </r>
  <r>
    <x v="11"/>
    <x v="0"/>
    <x v="0"/>
    <s v="APD"/>
    <x v="2"/>
    <n v="10235.25"/>
  </r>
  <r>
    <x v="11"/>
    <x v="0"/>
    <x v="0"/>
    <s v="PRO"/>
    <x v="3"/>
    <n v="14788.54"/>
  </r>
  <r>
    <x v="11"/>
    <x v="0"/>
    <x v="0"/>
    <s v="CAO"/>
    <x v="4"/>
    <n v="5000.13"/>
  </r>
  <r>
    <x v="11"/>
    <x v="0"/>
    <x v="0"/>
    <n v="0.55000000000000004"/>
    <x v="6"/>
    <n v="9911.0400000000009"/>
  </r>
  <r>
    <x v="11"/>
    <x v="0"/>
    <x v="0"/>
    <n v="0.2"/>
    <x v="5"/>
    <n v="15027.4"/>
  </r>
  <r>
    <x v="11"/>
    <x v="0"/>
    <x v="0"/>
    <n v="0.75"/>
    <x v="7"/>
    <n v="4993.24"/>
  </r>
  <r>
    <x v="11"/>
    <x v="0"/>
    <x v="0"/>
    <s v="Réception"/>
    <x v="8"/>
    <n v="15198.34"/>
  </r>
  <r>
    <x v="11"/>
    <x v="0"/>
    <x v="0"/>
    <s v="Bilan final"/>
    <x v="10"/>
    <n v="4920.8100000000004"/>
  </r>
  <r>
    <x v="12"/>
    <x v="3"/>
    <x v="1"/>
    <s v="Programmation"/>
    <x v="13"/>
    <n v="4675.63"/>
  </r>
  <r>
    <x v="12"/>
    <x v="3"/>
    <x v="1"/>
    <s v="APS"/>
    <x v="10"/>
    <n v="7012.73"/>
  </r>
  <r>
    <x v="13"/>
    <x v="0"/>
    <x v="0"/>
    <s v="APS"/>
    <x v="0"/>
    <n v="43083.11"/>
  </r>
  <r>
    <x v="13"/>
    <x v="0"/>
    <x v="0"/>
    <s v="APD"/>
    <x v="2"/>
    <n v="14372.32"/>
  </r>
  <r>
    <x v="13"/>
    <x v="0"/>
    <x v="0"/>
    <s v="PRO"/>
    <x v="3"/>
    <n v="24156.6"/>
  </r>
  <r>
    <x v="13"/>
    <x v="0"/>
    <x v="0"/>
    <s v="CAO"/>
    <x v="4"/>
    <n v="8161.21"/>
  </r>
  <r>
    <x v="13"/>
    <x v="0"/>
    <x v="0"/>
    <n v="0.2"/>
    <x v="5"/>
    <n v="24904.79"/>
  </r>
  <r>
    <x v="13"/>
    <x v="0"/>
    <x v="0"/>
    <n v="0.55000000000000004"/>
    <x v="6"/>
    <n v="16264.29"/>
  </r>
  <r>
    <x v="13"/>
    <x v="0"/>
    <x v="0"/>
    <n v="0.75"/>
    <x v="7"/>
    <n v="7521.15"/>
  </r>
  <r>
    <x v="13"/>
    <x v="0"/>
    <x v="0"/>
    <n v="0.95"/>
    <x v="9"/>
    <n v="8094.99"/>
  </r>
  <r>
    <x v="13"/>
    <x v="0"/>
    <x v="0"/>
    <s v="Réception"/>
    <x v="8"/>
    <n v="26205.52"/>
  </r>
  <r>
    <x v="13"/>
    <x v="0"/>
    <x v="0"/>
    <s v="Bilan final"/>
    <x v="10"/>
    <n v="4338.5784190349805"/>
  </r>
  <r>
    <x v="14"/>
    <x v="1"/>
    <x v="0"/>
    <s v="ESQ"/>
    <x v="3"/>
    <n v="6194.47"/>
  </r>
  <r>
    <x v="14"/>
    <x v="1"/>
    <x v="0"/>
    <s v="APD"/>
    <x v="4"/>
    <n v="11789.32"/>
  </r>
  <r>
    <x v="14"/>
    <x v="1"/>
    <x v="0"/>
    <s v="PRO"/>
    <x v="5"/>
    <n v="6384.27"/>
  </r>
  <r>
    <x v="14"/>
    <x v="1"/>
    <x v="0"/>
    <s v="CAO"/>
    <x v="6"/>
    <n v="2439"/>
  </r>
  <r>
    <x v="14"/>
    <x v="1"/>
    <x v="0"/>
    <s v="OS"/>
    <x v="7"/>
    <n v="4840.9399999999996"/>
  </r>
  <r>
    <x v="14"/>
    <x v="1"/>
    <x v="0"/>
    <n v="0.4"/>
    <x v="13"/>
    <n v="15799.31"/>
  </r>
  <r>
    <x v="14"/>
    <x v="1"/>
    <x v="0"/>
    <s v="Réception"/>
    <x v="10"/>
    <n v="12561.54"/>
  </r>
  <r>
    <x v="15"/>
    <x v="2"/>
    <x v="1"/>
    <s v="ESQ"/>
    <x v="7"/>
    <n v="7701.27"/>
  </r>
  <r>
    <x v="15"/>
    <x v="2"/>
    <x v="1"/>
    <s v="APS"/>
    <x v="9"/>
    <n v="8486.69"/>
  </r>
  <r>
    <x v="16"/>
    <x v="3"/>
    <x v="1"/>
    <s v="Programmation"/>
    <x v="13"/>
    <n v="1610.12"/>
  </r>
  <r>
    <x v="16"/>
    <x v="3"/>
    <x v="1"/>
    <s v="APD"/>
    <x v="10"/>
    <n v="5937.34"/>
  </r>
  <r>
    <x v="17"/>
    <x v="3"/>
    <x v="1"/>
    <s v="Programmation"/>
    <x v="13"/>
    <n v="5015.66"/>
  </r>
  <r>
    <x v="17"/>
    <x v="3"/>
    <x v="1"/>
    <s v="APD"/>
    <x v="10"/>
    <n v="13495.74"/>
  </r>
  <r>
    <x v="18"/>
    <x v="2"/>
    <x v="0"/>
    <s v="ESQ"/>
    <x v="7"/>
    <n v="8647.66"/>
  </r>
  <r>
    <x v="18"/>
    <x v="2"/>
    <x v="0"/>
    <s v="APS"/>
    <x v="9"/>
    <n v="11438.37"/>
  </r>
  <r>
    <x v="18"/>
    <x v="2"/>
    <x v="0"/>
    <s v="CAO"/>
    <x v="10"/>
    <n v="1748.23"/>
  </r>
  <r>
    <x v="19"/>
    <x v="3"/>
    <x v="1"/>
    <s v="Programmation"/>
    <x v="13"/>
    <n v="3397.51"/>
  </r>
  <r>
    <x v="19"/>
    <x v="3"/>
    <x v="1"/>
    <s v="APD"/>
    <x v="10"/>
    <n v="8457.17"/>
  </r>
  <r>
    <x v="20"/>
    <x v="2"/>
    <x v="1"/>
    <s v="ESQ"/>
    <x v="7"/>
    <n v="22069.51"/>
  </r>
  <r>
    <x v="20"/>
    <x v="2"/>
    <x v="1"/>
    <s v="APS"/>
    <x v="9"/>
    <n v="39762.25"/>
  </r>
  <r>
    <x v="20"/>
    <x v="2"/>
    <x v="1"/>
    <s v="CAO"/>
    <x v="10"/>
    <n v="6022.34"/>
  </r>
  <r>
    <x v="21"/>
    <x v="3"/>
    <x v="1"/>
    <s v="APD"/>
    <x v="10"/>
    <n v="32765.07"/>
  </r>
  <r>
    <x v="21"/>
    <x v="3"/>
    <x v="1"/>
    <s v="Programmation"/>
    <x v="13"/>
    <n v="12655.11"/>
  </r>
  <r>
    <x v="22"/>
    <x v="1"/>
    <x v="0"/>
    <s v="ESQ"/>
    <x v="3"/>
    <n v="5305.63"/>
  </r>
  <r>
    <x v="22"/>
    <x v="1"/>
    <x v="0"/>
    <s v="APD"/>
    <x v="4"/>
    <n v="12912.78"/>
  </r>
  <r>
    <x v="22"/>
    <x v="1"/>
    <x v="0"/>
    <s v="PRO"/>
    <x v="5"/>
    <n v="7807.89"/>
  </r>
  <r>
    <x v="22"/>
    <x v="1"/>
    <x v="0"/>
    <s v="CAO"/>
    <x v="6"/>
    <n v="1441.06"/>
  </r>
  <r>
    <x v="22"/>
    <x v="1"/>
    <x v="0"/>
    <s v="OS"/>
    <x v="7"/>
    <n v="4779.34"/>
  </r>
  <r>
    <x v="22"/>
    <x v="1"/>
    <x v="0"/>
    <n v="0.2"/>
    <x v="9"/>
    <n v="2288.52"/>
  </r>
  <r>
    <x v="22"/>
    <x v="1"/>
    <x v="0"/>
    <s v="Réception"/>
    <x v="13"/>
    <n v="13865.6"/>
  </r>
  <r>
    <x v="22"/>
    <x v="1"/>
    <x v="0"/>
    <s v="Bilan final"/>
    <x v="10"/>
    <n v="1163.4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95A3B9D-F101-4F70-BE67-1033477FD98B}" name="Tableau croisé dynamique2" cacheId="29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I37:O41" firstHeaderRow="1" firstDataRow="2" firstDataCol="1"/>
  <pivotFields count="8">
    <pivotField showAll="0"/>
    <pivotField showAll="0"/>
    <pivotField axis="axisRow" showAll="0">
      <items count="4">
        <item x="0"/>
        <item x="1"/>
        <item m="1" x="2"/>
        <item t="default"/>
      </items>
    </pivotField>
    <pivotField showAll="0"/>
    <pivotField numFmtId="14" showAll="0"/>
    <pivotField dataField="1" showAll="0"/>
    <pivotField showAll="0" defaultSubtotal="0"/>
    <pivotField axis="axisCol" showAll="0" defaultSubtotal="0">
      <items count="7">
        <item x="0"/>
        <item x="1"/>
        <item x="2"/>
        <item x="3"/>
        <item x="4"/>
        <item x="5"/>
        <item x="6"/>
      </items>
    </pivotField>
  </pivotFields>
  <rowFields count="1">
    <field x="2"/>
  </rowFields>
  <rowItems count="3">
    <i>
      <x/>
    </i>
    <i>
      <x v="1"/>
    </i>
    <i t="grand">
      <x/>
    </i>
  </rowItems>
  <colFields count="1">
    <field x="7"/>
  </colFields>
  <colItems count="6">
    <i>
      <x v="1"/>
    </i>
    <i>
      <x v="2"/>
    </i>
    <i>
      <x v="3"/>
    </i>
    <i>
      <x v="4"/>
    </i>
    <i>
      <x v="5"/>
    </i>
    <i t="grand">
      <x/>
    </i>
  </colItems>
  <dataFields count="1">
    <dataField name="Somme de Montant" fld="5" baseField="0" baseItem="0" numFmtId="3"/>
  </dataFields>
  <formats count="4">
    <format dxfId="14">
      <pivotArea outline="0" collapsedLevelsAreSubtotals="1" fieldPosition="0"/>
    </format>
    <format dxfId="13">
      <pivotArea dataOnly="0" labelOnly="1" fieldPosition="0">
        <references count="1">
          <reference field="7" count="5">
            <x v="1"/>
            <x v="2"/>
            <x v="3"/>
            <x v="4"/>
            <x v="5"/>
          </reference>
        </references>
      </pivotArea>
    </format>
    <format dxfId="12">
      <pivotArea dataOnly="0" labelOnly="1" grandCol="1" outline="0" fieldPosition="0"/>
    </format>
    <format dxfId="8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F9AEFAD-45AB-4669-AF9C-08AE28C52A61}" name="Tableau croisé dynamique1" cacheId="29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PROG" colHeaderCaption="ANNEE NH">
  <location ref="I2:O31" firstHeaderRow="1" firstDataRow="2" firstDataCol="1"/>
  <pivotFields count="8">
    <pivotField axis="axisRow" showAll="0">
      <items count="24">
        <item x="0"/>
        <item x="1"/>
        <item x="2"/>
        <item x="3"/>
        <item x="5"/>
        <item x="11"/>
        <item x="13"/>
        <item x="4"/>
        <item x="14"/>
        <item x="22"/>
        <item x="6"/>
        <item x="7"/>
        <item x="8"/>
        <item x="9"/>
        <item x="10"/>
        <item x="12"/>
        <item x="15"/>
        <item x="16"/>
        <item x="17"/>
        <item x="18"/>
        <item x="19"/>
        <item x="20"/>
        <item x="21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4" showAll="0"/>
    <pivotField showAll="0">
      <items count="7">
        <item sd="0" x="0"/>
        <item sd="0" x="1"/>
        <item sd="0" x="2"/>
        <item sd="0" x="3"/>
        <item sd="0" x="4"/>
        <item x="5"/>
        <item t="default"/>
      </items>
    </pivotField>
    <pivotField axis="axisCol" showAll="0">
      <items count="8">
        <item sd="0" x="0"/>
        <item sd="0" x="1"/>
        <item sd="0" x="2"/>
        <item sd="0" x="3"/>
        <item sd="0" x="4"/>
        <item x="5"/>
        <item x="6"/>
        <item t="default"/>
      </items>
    </pivotField>
  </pivotFields>
  <rowFields count="2">
    <field x="1"/>
    <field x="0"/>
  </rowFields>
  <rowItems count="28">
    <i>
      <x/>
    </i>
    <i r="1">
      <x/>
    </i>
    <i r="1">
      <x v="2"/>
    </i>
    <i r="1">
      <x v="3"/>
    </i>
    <i r="1">
      <x v="4"/>
    </i>
    <i r="1">
      <x v="5"/>
    </i>
    <i r="1">
      <x v="6"/>
    </i>
    <i>
      <x v="1"/>
    </i>
    <i r="1">
      <x v="1"/>
    </i>
    <i r="1">
      <x v="7"/>
    </i>
    <i r="1">
      <x v="8"/>
    </i>
    <i r="1">
      <x v="9"/>
    </i>
    <i>
      <x v="2"/>
    </i>
    <i r="1">
      <x v="10"/>
    </i>
    <i r="1">
      <x v="12"/>
    </i>
    <i r="1">
      <x v="13"/>
    </i>
    <i r="1">
      <x v="14"/>
    </i>
    <i r="1">
      <x v="16"/>
    </i>
    <i r="1">
      <x v="19"/>
    </i>
    <i r="1">
      <x v="21"/>
    </i>
    <i>
      <x v="3"/>
    </i>
    <i r="1">
      <x v="11"/>
    </i>
    <i r="1">
      <x v="15"/>
    </i>
    <i r="1">
      <x v="17"/>
    </i>
    <i r="1">
      <x v="18"/>
    </i>
    <i r="1">
      <x v="20"/>
    </i>
    <i r="1">
      <x v="22"/>
    </i>
    <i t="grand">
      <x/>
    </i>
  </rowItems>
  <colFields count="1">
    <field x="7"/>
  </colFields>
  <colItems count="6">
    <i>
      <x v="1"/>
    </i>
    <i>
      <x v="2"/>
    </i>
    <i>
      <x v="3"/>
    </i>
    <i>
      <x v="4"/>
    </i>
    <i>
      <x v="5"/>
    </i>
    <i t="grand">
      <x/>
    </i>
  </colItems>
  <dataFields count="1">
    <dataField name="Somme de Montant" fld="5" baseField="0" baseItem="0" numFmtId="3"/>
  </dataFields>
  <formats count="3">
    <format dxfId="134">
      <pivotArea outline="0" collapsedLevelsAreSubtotals="1" fieldPosition="0"/>
    </format>
    <format dxfId="135">
      <pivotArea dataOnly="0" labelOnly="1" grandCol="1" outline="0" fieldPosition="0"/>
    </format>
    <format dxfId="4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16106C-02E2-4C0F-A1EC-C63036B93672}" name="Tableau1" displayName="Tableau1" ref="A1:F117" totalsRowShown="0" headerRowDxfId="173" dataDxfId="172" tableBorderDxfId="171">
  <autoFilter ref="A1:F117" xr:uid="{3116106C-02E2-4C0F-A1EC-C63036B93672}"/>
  <tableColumns count="6">
    <tableColumn id="1" xr3:uid="{4655190B-3A24-4100-BBFD-D512C4BA1CB9}" name="OPERATION" dataDxfId="170"/>
    <tableColumn id="2" xr3:uid="{BF4AD5BA-7253-4C7F-9E7C-567726112FDE}" name="PROG" dataDxfId="169"/>
    <tableColumn id="3" xr3:uid="{3C9B3CD3-5449-4351-9291-E783F3E77CF6}" name="RO" dataDxfId="168"/>
    <tableColumn id="4" xr3:uid="{1F517A40-3634-4290-A9B6-344467C5E6D5}" name="Avancement facturé" dataDxfId="167"/>
    <tableColumn id="5" xr3:uid="{686F2C0F-3078-4D5F-8BF7-1D57EABC7E42}" name="Date" dataDxfId="166"/>
    <tableColumn id="6" xr3:uid="{7A87BCDE-A4AC-41DE-A09A-7AC9021FA478}" name="Montant" dataDxfId="16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AFDED57-87FC-447A-8A89-3B06FAAD491C}" name="Tableau4" displayName="Tableau4" ref="A1:K24" totalsRowShown="0" headerRowDxfId="164">
  <autoFilter ref="A1:K24" xr:uid="{3AFDED57-87FC-447A-8A89-3B06FAAD491C}"/>
  <sortState xmlns:xlrd2="http://schemas.microsoft.com/office/spreadsheetml/2017/richdata2" ref="A2:K18">
    <sortCondition ref="B1:B18"/>
  </sortState>
  <tableColumns count="11">
    <tableColumn id="1" xr3:uid="{4616D89F-0E22-4CED-82AC-543649D66FA1}" name="OPERATION" dataDxfId="163"/>
    <tableColumn id="2" xr3:uid="{AF5672A4-9A39-4E72-9EF6-4CEDCEB65D5B}" name="PROG" dataDxfId="162"/>
    <tableColumn id="10" xr3:uid="{6FC29788-EAF8-42AC-914F-37B24D986854}" name="N lgts" dataDxfId="161"/>
    <tableColumn id="11" xr3:uid="{A6E7F668-8860-40A1-8E32-96BBEE13439C}" name="RO" dataDxfId="160"/>
    <tableColumn id="3" xr3:uid="{5A4DFEDB-11CD-44FA-9DC5-DB9A4B7135F0}" name="Phase" dataDxfId="159"/>
    <tableColumn id="4" xr3:uid="{62AC1163-FD36-4496-9A5E-4112F5314AC5}" name="PRP" dataDxfId="158"/>
    <tableColumn id="5" xr3:uid="{8DFB4078-F42C-4200-BC63-048E22D0DA30}" name="TOTAL HONORAIRES" dataDxfId="157"/>
    <tableColumn id="6" xr3:uid="{4EBAD371-C200-415C-8B84-5AC37CA266AB}" name="CUMUL HONORAIRES" dataDxfId="156">
      <calculatedColumnFormula>SUMIF('Données NH REHAB'!$A$2:$A$117,'Données opérations REHAB'!A2,'Données NH REHAB'!$F$2:$F$117)</calculatedColumnFormula>
    </tableColumn>
    <tableColumn id="7" xr3:uid="{539A8C64-D5B8-4F2F-B0ED-C729FDAC3B8E}" name="% AVANCEMENT" dataDxfId="155" dataCellStyle="Pourcentage">
      <calculatedColumnFormula>ROUND(H2/G2,3)</calculatedColumnFormula>
    </tableColumn>
    <tableColumn id="8" xr3:uid="{DD77A7FE-C521-437D-B587-CBEE5D1FF6E1}" name="AVANCEMENT FACTURE" dataDxfId="154">
      <calculatedColumnFormula>_xlfn.XLOOKUP(I2,Listes!$C$1:$C$15,Avancement,"?",1)</calculatedColumnFormula>
    </tableColumn>
    <tableColumn id="9" xr3:uid="{BAF3E3AB-EEF4-463A-8B3D-99EFD75601DD}" name="RESTE A PERCEVOIR" dataDxfId="153">
      <calculatedColumnFormula>Tableau4[[#This Row],[TOTAL HONORAIRES]]-Tableau4[[#This Row],[CUMUL HONORAIRES]]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F4B4651-B27F-4905-A5D1-047817E8251E}" name="Tableau2" displayName="Tableau2" ref="A1:F4" totalsRowShown="0" headerRowDxfId="144" dataDxfId="145" tableBorderDxfId="152">
  <autoFilter ref="A1:F4" xr:uid="{FF4B4651-B27F-4905-A5D1-047817E8251E}"/>
  <tableColumns count="6">
    <tableColumn id="1" xr3:uid="{F2A88EEF-7D64-401D-A976-A6736A25A6E3}" name="OPERATION" dataDxfId="151"/>
    <tableColumn id="2" xr3:uid="{A4AE945C-EEFF-4D19-917D-97F2AE606F79}" name="PROG" dataDxfId="150"/>
    <tableColumn id="3" xr3:uid="{979B345F-9AD6-4CB5-800A-68DC0544A709}" name="RO" dataDxfId="149"/>
    <tableColumn id="4" xr3:uid="{6A349D33-352B-48E7-97AA-7BE370603F71}" name="Avancement facturé" dataDxfId="148"/>
    <tableColumn id="5" xr3:uid="{8720CC04-C08F-47E5-8551-C624D0DB164F}" name="Date" dataDxfId="147"/>
    <tableColumn id="6" xr3:uid="{F44A461D-BEDE-4F65-A025-7FE0ECFA83E2}" name="Montant" dataDxfId="146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AC0B6CB-A329-4F21-B3C4-D39B73C6F9D9}" name="Tableau3" displayName="Tableau3" ref="A1:L3" totalsRowShown="0" headerRowDxfId="136" tableBorderDxfId="143">
  <autoFilter ref="A1:L3" xr:uid="{9AC0B6CB-A329-4F21-B3C4-D39B73C6F9D9}"/>
  <tableColumns count="12">
    <tableColumn id="1" xr3:uid="{DB41EFC5-1E79-42B4-97D3-B35CD78CC477}" name="OPERATION"/>
    <tableColumn id="2" xr3:uid="{C39F89AC-A2EC-46B3-8267-ACCFCA5E8A13}" name="PROG"/>
    <tableColumn id="3" xr3:uid="{B4285C54-C966-421E-87BB-6C4010ABBABA}" name="N lgts" dataDxfId="2"/>
    <tableColumn id="12" xr3:uid="{417167CC-EE5F-42F6-9CBB-DA7C274ABF6F}" name="Propre/VEFA"/>
    <tableColumn id="4" xr3:uid="{2279A879-BD68-4B63-8E12-5E59A3C00A37}" name="RO" dataDxfId="142"/>
    <tableColumn id="5" xr3:uid="{A6DA458D-7184-4086-B472-CBA32FB04C8C}" name="Phase" dataDxfId="141"/>
    <tableColumn id="6" xr3:uid="{8005B38C-8189-42B3-B463-7E4087BA31CD}" name="PRP" dataDxfId="140"/>
    <tableColumn id="7" xr3:uid="{F244F101-7044-4244-9907-03981E954498}" name="TOTAL HONORAIRES" dataDxfId="139"/>
    <tableColumn id="8" xr3:uid="{8E6F7503-0077-427D-A36B-BBF044D2F963}" name="CUMUL HONORAIRES" dataDxfId="138">
      <calculatedColumnFormula>SUMIF(Tableau2[OPERATION],A2,Tableau2[Montant])</calculatedColumnFormula>
    </tableColumn>
    <tableColumn id="9" xr3:uid="{F47D6362-B198-4C18-B081-461E3C6A6F99}" name="% AVANCEMENT" dataDxfId="1" dataCellStyle="Pourcentage">
      <calculatedColumnFormula>ROUND(H2/G2,3)</calculatedColumnFormula>
    </tableColumn>
    <tableColumn id="10" xr3:uid="{97CA4281-65DC-44A9-8691-D9F5B4FB24E4}" name="AVANCEMENT FACTURE" dataDxfId="0">
      <calculatedColumnFormula>_xlfn.XLOOKUP(J2,Listes!$C$19:$C$34,Avancement_Propre,"?",1)</calculatedColumnFormula>
    </tableColumn>
    <tableColumn id="11" xr3:uid="{CEF619AA-3A51-407B-A9C2-C47B5B00FA86}" name="RESTE A PERCEVOIR" dataDxfId="137">
      <calculatedColumnFormula>H2-I2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55A926-FFA7-491F-B4F6-8D3019330C77}">
  <sheetPr>
    <tabColor rgb="FF0070C0"/>
  </sheetPr>
  <dimension ref="A1:O117"/>
  <sheetViews>
    <sheetView topLeftCell="A4" zoomScaleNormal="100" workbookViewId="0">
      <selection activeCell="J4" sqref="J4:O31"/>
    </sheetView>
  </sheetViews>
  <sheetFormatPr baseColWidth="10" defaultRowHeight="14.4"/>
  <cols>
    <col min="1" max="1" width="15.44140625" style="2" bestFit="1" customWidth="1"/>
    <col min="2" max="2" width="11.5546875" style="2"/>
    <col min="3" max="3" width="20" style="2" customWidth="1"/>
    <col min="4" max="4" width="20.6640625" style="2" customWidth="1"/>
    <col min="5" max="5" width="11.5546875" style="2"/>
    <col min="8" max="8" width="18" bestFit="1" customWidth="1"/>
    <col min="9" max="9" width="20" bestFit="1" customWidth="1"/>
    <col min="10" max="10" width="12.109375" bestFit="1" customWidth="1"/>
    <col min="11" max="14" width="10" bestFit="1" customWidth="1"/>
    <col min="15" max="16" width="11.88671875" bestFit="1" customWidth="1"/>
    <col min="17" max="17" width="14.5546875" bestFit="1" customWidth="1"/>
    <col min="18" max="18" width="11.88671875" bestFit="1" customWidth="1"/>
    <col min="19" max="19" width="14.5546875" bestFit="1" customWidth="1"/>
    <col min="20" max="20" width="10" bestFit="1" customWidth="1"/>
    <col min="21" max="21" width="11.88671875" bestFit="1" customWidth="1"/>
    <col min="22" max="22" width="14.5546875" bestFit="1" customWidth="1"/>
    <col min="23" max="23" width="11.88671875" bestFit="1" customWidth="1"/>
    <col min="24" max="24" width="9" bestFit="1" customWidth="1"/>
    <col min="25" max="25" width="14.5546875" bestFit="1" customWidth="1"/>
    <col min="26" max="26" width="10" bestFit="1" customWidth="1"/>
    <col min="27" max="27" width="11.88671875" bestFit="1" customWidth="1"/>
    <col min="28" max="28" width="14.5546875" bestFit="1" customWidth="1"/>
    <col min="29" max="29" width="11.88671875" bestFit="1" customWidth="1"/>
    <col min="30" max="30" width="14.5546875" bestFit="1" customWidth="1"/>
    <col min="31" max="31" width="10" bestFit="1" customWidth="1"/>
    <col min="32" max="32" width="11.88671875" bestFit="1" customWidth="1"/>
    <col min="33" max="33" width="15.5546875" bestFit="1" customWidth="1"/>
    <col min="34" max="34" width="10.88671875" bestFit="1" customWidth="1"/>
    <col min="35" max="35" width="12.33203125" bestFit="1" customWidth="1"/>
  </cols>
  <sheetData>
    <row r="1" spans="1:15" s="1" customFormat="1">
      <c r="A1" s="10" t="s">
        <v>0</v>
      </c>
      <c r="B1" s="10" t="s">
        <v>1</v>
      </c>
      <c r="C1" s="10" t="s">
        <v>35</v>
      </c>
      <c r="D1" s="10" t="s">
        <v>2</v>
      </c>
      <c r="E1" s="10" t="s">
        <v>3</v>
      </c>
      <c r="F1" s="10" t="s">
        <v>4</v>
      </c>
    </row>
    <row r="2" spans="1:15">
      <c r="A2" s="9" t="s">
        <v>5</v>
      </c>
      <c r="B2" s="9">
        <v>2017</v>
      </c>
      <c r="C2" s="9" t="s">
        <v>37</v>
      </c>
      <c r="D2" s="9" t="s">
        <v>13</v>
      </c>
      <c r="E2" s="27">
        <v>42844</v>
      </c>
      <c r="F2" s="29">
        <v>947.34</v>
      </c>
      <c r="I2" s="3" t="s">
        <v>23</v>
      </c>
      <c r="J2" s="3" t="s">
        <v>24</v>
      </c>
    </row>
    <row r="3" spans="1:15">
      <c r="A3" s="9" t="s">
        <v>5</v>
      </c>
      <c r="B3" s="9">
        <v>2017</v>
      </c>
      <c r="C3" s="9" t="s">
        <v>37</v>
      </c>
      <c r="D3" s="9" t="s">
        <v>8</v>
      </c>
      <c r="E3" s="27">
        <v>42891</v>
      </c>
      <c r="F3" s="29">
        <v>1419.87</v>
      </c>
      <c r="I3" s="3" t="s">
        <v>1</v>
      </c>
      <c r="J3" t="s">
        <v>19</v>
      </c>
      <c r="K3" t="s">
        <v>20</v>
      </c>
      <c r="L3" t="s">
        <v>21</v>
      </c>
      <c r="M3" t="s">
        <v>22</v>
      </c>
      <c r="N3" t="s">
        <v>81</v>
      </c>
      <c r="O3" s="5" t="s">
        <v>18</v>
      </c>
    </row>
    <row r="4" spans="1:15">
      <c r="A4" s="9" t="s">
        <v>5</v>
      </c>
      <c r="B4" s="9">
        <v>2017</v>
      </c>
      <c r="C4" s="9" t="s">
        <v>37</v>
      </c>
      <c r="D4" s="9" t="s">
        <v>10</v>
      </c>
      <c r="E4" s="27">
        <v>42916</v>
      </c>
      <c r="F4" s="29">
        <v>946.88</v>
      </c>
      <c r="I4" s="4">
        <v>2017</v>
      </c>
      <c r="J4" s="55">
        <v>202329.4</v>
      </c>
      <c r="K4" s="55">
        <v>78838.36</v>
      </c>
      <c r="L4" s="55">
        <v>80408.510000000009</v>
      </c>
      <c r="M4" s="55">
        <v>77084.970910249889</v>
      </c>
      <c r="N4" s="55">
        <v>18814.958419034981</v>
      </c>
      <c r="O4" s="55">
        <v>457476.19932928489</v>
      </c>
    </row>
    <row r="5" spans="1:15">
      <c r="A5" s="9" t="s">
        <v>5</v>
      </c>
      <c r="B5" s="9">
        <v>2017</v>
      </c>
      <c r="C5" s="9" t="s">
        <v>37</v>
      </c>
      <c r="D5" s="9" t="s">
        <v>14</v>
      </c>
      <c r="E5" s="27">
        <v>43081</v>
      </c>
      <c r="F5" s="29">
        <v>1405.68</v>
      </c>
      <c r="I5" s="8" t="s">
        <v>5</v>
      </c>
      <c r="J5" s="55">
        <v>4719.7700000000004</v>
      </c>
      <c r="K5" s="55">
        <v>1419.99</v>
      </c>
      <c r="L5" s="55">
        <v>2817.82</v>
      </c>
      <c r="M5" s="55">
        <v>471.45</v>
      </c>
      <c r="N5" s="55"/>
      <c r="O5" s="55">
        <v>9429.0300000000007</v>
      </c>
    </row>
    <row r="6" spans="1:15">
      <c r="A6" s="9" t="s">
        <v>5</v>
      </c>
      <c r="B6" s="9">
        <v>2017</v>
      </c>
      <c r="C6" s="9" t="s">
        <v>37</v>
      </c>
      <c r="D6" s="9" t="s">
        <v>11</v>
      </c>
      <c r="E6" s="27">
        <v>43293</v>
      </c>
      <c r="F6" s="29">
        <v>471.98</v>
      </c>
      <c r="I6" s="8" t="s">
        <v>42</v>
      </c>
      <c r="J6" s="55">
        <v>20959.449999999997</v>
      </c>
      <c r="K6" s="55">
        <v>8327.6</v>
      </c>
      <c r="L6" s="55">
        <v>19221.84</v>
      </c>
      <c r="M6" s="55">
        <v>80.19</v>
      </c>
      <c r="N6" s="55">
        <v>2360.37</v>
      </c>
      <c r="O6" s="55">
        <v>50949.450000000004</v>
      </c>
    </row>
    <row r="7" spans="1:15">
      <c r="A7" s="9" t="s">
        <v>5</v>
      </c>
      <c r="B7" s="9">
        <v>2017</v>
      </c>
      <c r="C7" s="9" t="s">
        <v>37</v>
      </c>
      <c r="D7" s="9" t="s">
        <v>12</v>
      </c>
      <c r="E7" s="27">
        <v>43465</v>
      </c>
      <c r="F7" s="29">
        <v>948.01</v>
      </c>
      <c r="I7" s="8" t="s">
        <v>43</v>
      </c>
      <c r="J7" s="55">
        <v>40573.480000000003</v>
      </c>
      <c r="K7" s="55">
        <v>14416.18</v>
      </c>
      <c r="L7" s="55">
        <v>16890.63</v>
      </c>
      <c r="M7" s="55">
        <v>23881.850910249879</v>
      </c>
      <c r="N7" s="55">
        <v>6901.34</v>
      </c>
      <c r="O7" s="55">
        <v>102663.48091024988</v>
      </c>
    </row>
    <row r="8" spans="1:15">
      <c r="A8" s="9" t="s">
        <v>5</v>
      </c>
      <c r="B8" s="9">
        <v>2017</v>
      </c>
      <c r="C8" s="9" t="s">
        <v>37</v>
      </c>
      <c r="D8" s="9" t="s">
        <v>15</v>
      </c>
      <c r="E8" s="27">
        <v>43608</v>
      </c>
      <c r="F8" s="29">
        <v>2631.3</v>
      </c>
      <c r="I8" s="8" t="s">
        <v>45</v>
      </c>
      <c r="J8" s="55">
        <v>4463.29</v>
      </c>
      <c r="K8" s="55">
        <v>1581.06</v>
      </c>
      <c r="L8" s="55">
        <v>2788.5</v>
      </c>
      <c r="M8" s="55">
        <v>3152.63</v>
      </c>
      <c r="N8" s="55">
        <v>293.86</v>
      </c>
      <c r="O8" s="55">
        <v>12279.34</v>
      </c>
    </row>
    <row r="9" spans="1:15">
      <c r="A9" s="9" t="s">
        <v>5</v>
      </c>
      <c r="B9" s="9">
        <v>2017</v>
      </c>
      <c r="C9" s="9" t="s">
        <v>37</v>
      </c>
      <c r="D9" s="9" t="s">
        <v>16</v>
      </c>
      <c r="E9" s="27">
        <v>43783</v>
      </c>
      <c r="F9" s="29">
        <f>186.52</f>
        <v>186.52</v>
      </c>
      <c r="I9" s="8" t="s">
        <v>46</v>
      </c>
      <c r="J9" s="55">
        <v>50001.38</v>
      </c>
      <c r="K9" s="55">
        <v>20027.53</v>
      </c>
      <c r="L9" s="55">
        <v>14904.28</v>
      </c>
      <c r="M9" s="55">
        <v>15198.34</v>
      </c>
      <c r="N9" s="55">
        <v>4920.8100000000004</v>
      </c>
      <c r="O9" s="55">
        <v>105052.34</v>
      </c>
    </row>
    <row r="10" spans="1:15">
      <c r="A10" s="9" t="s">
        <v>5</v>
      </c>
      <c r="B10" s="9">
        <v>2017</v>
      </c>
      <c r="C10" s="9" t="s">
        <v>37</v>
      </c>
      <c r="D10" s="35" t="s">
        <v>17</v>
      </c>
      <c r="E10" s="27">
        <v>44179</v>
      </c>
      <c r="F10" s="29">
        <v>471.45</v>
      </c>
      <c r="I10" s="8" t="s">
        <v>47</v>
      </c>
      <c r="J10" s="55">
        <v>81612.03</v>
      </c>
      <c r="K10" s="55">
        <v>33066</v>
      </c>
      <c r="L10" s="55">
        <v>23785.440000000002</v>
      </c>
      <c r="M10" s="55">
        <v>34300.51</v>
      </c>
      <c r="N10" s="55">
        <v>4338.5784190349805</v>
      </c>
      <c r="O10" s="55">
        <v>177102.55841903499</v>
      </c>
    </row>
    <row r="11" spans="1:15">
      <c r="A11" s="9" t="s">
        <v>6</v>
      </c>
      <c r="B11" s="9">
        <v>2018</v>
      </c>
      <c r="C11" s="9" t="s">
        <v>37</v>
      </c>
      <c r="D11" s="9" t="s">
        <v>7</v>
      </c>
      <c r="E11" s="27">
        <v>43081</v>
      </c>
      <c r="F11" s="29">
        <v>21651.8</v>
      </c>
      <c r="I11" s="4">
        <v>2018</v>
      </c>
      <c r="J11" s="55">
        <v>39408.53</v>
      </c>
      <c r="K11" s="55">
        <v>123565.18</v>
      </c>
      <c r="L11" s="55">
        <v>51507.65</v>
      </c>
      <c r="M11" s="55">
        <v>86223.679999999993</v>
      </c>
      <c r="N11" s="55">
        <v>38178.049999999996</v>
      </c>
      <c r="O11" s="55">
        <v>338883.09</v>
      </c>
    </row>
    <row r="12" spans="1:15">
      <c r="A12" s="9" t="s">
        <v>6</v>
      </c>
      <c r="B12" s="9">
        <v>2018</v>
      </c>
      <c r="C12" s="9" t="s">
        <v>37</v>
      </c>
      <c r="D12" s="9" t="s">
        <v>10</v>
      </c>
      <c r="E12" s="27">
        <v>43293</v>
      </c>
      <c r="F12" s="29">
        <v>38987.93</v>
      </c>
      <c r="I12" s="8" t="s">
        <v>6</v>
      </c>
      <c r="J12" s="55">
        <v>21651.8</v>
      </c>
      <c r="K12" s="55">
        <v>65016.36</v>
      </c>
      <c r="L12" s="55">
        <v>26337.75</v>
      </c>
      <c r="M12" s="55">
        <v>38370.729999999996</v>
      </c>
      <c r="N12" s="55">
        <v>23420</v>
      </c>
      <c r="O12" s="55">
        <v>174796.64</v>
      </c>
    </row>
    <row r="13" spans="1:15">
      <c r="A13" s="9" t="s">
        <v>6</v>
      </c>
      <c r="B13" s="9">
        <v>2018</v>
      </c>
      <c r="C13" s="9" t="s">
        <v>37</v>
      </c>
      <c r="D13" s="9" t="s">
        <v>14</v>
      </c>
      <c r="E13" s="27">
        <v>43465</v>
      </c>
      <c r="F13" s="29">
        <v>26028.43</v>
      </c>
      <c r="I13" s="8" t="s">
        <v>48</v>
      </c>
      <c r="J13" s="55">
        <v>6256.63</v>
      </c>
      <c r="K13" s="55">
        <v>19654.559999999998</v>
      </c>
      <c r="L13" s="55">
        <v>11669.560000000001</v>
      </c>
      <c r="M13" s="55">
        <v>15899.52</v>
      </c>
      <c r="N13" s="55">
        <v>1033.02</v>
      </c>
      <c r="O13" s="55">
        <v>54513.29</v>
      </c>
    </row>
    <row r="14" spans="1:15">
      <c r="A14" s="9" t="s">
        <v>6</v>
      </c>
      <c r="B14" s="9">
        <v>2018</v>
      </c>
      <c r="C14" s="9" t="s">
        <v>37</v>
      </c>
      <c r="D14" s="9" t="s">
        <v>11</v>
      </c>
      <c r="E14" s="27">
        <v>43608</v>
      </c>
      <c r="F14" s="29">
        <v>8959.35</v>
      </c>
      <c r="I14" s="8" t="s">
        <v>49</v>
      </c>
      <c r="J14" s="55">
        <v>6194.47</v>
      </c>
      <c r="K14" s="55">
        <v>18173.59</v>
      </c>
      <c r="L14" s="55">
        <v>7279.94</v>
      </c>
      <c r="M14" s="55">
        <v>15799.31</v>
      </c>
      <c r="N14" s="55">
        <v>12561.54</v>
      </c>
      <c r="O14" s="55">
        <v>60008.85</v>
      </c>
    </row>
    <row r="15" spans="1:15">
      <c r="A15" s="9" t="s">
        <v>6</v>
      </c>
      <c r="B15" s="9">
        <v>2018</v>
      </c>
      <c r="C15" s="9" t="s">
        <v>37</v>
      </c>
      <c r="D15" s="9" t="s">
        <v>12</v>
      </c>
      <c r="E15" s="27">
        <v>43783</v>
      </c>
      <c r="F15" s="29">
        <v>17378.400000000001</v>
      </c>
      <c r="I15" s="8" t="s">
        <v>50</v>
      </c>
      <c r="J15" s="55">
        <v>5305.63</v>
      </c>
      <c r="K15" s="55">
        <v>20720.670000000002</v>
      </c>
      <c r="L15" s="55">
        <v>6220.4</v>
      </c>
      <c r="M15" s="55">
        <v>16154.12</v>
      </c>
      <c r="N15" s="55">
        <v>1163.49</v>
      </c>
      <c r="O15" s="55">
        <v>49564.310000000005</v>
      </c>
    </row>
    <row r="16" spans="1:15">
      <c r="A16" s="9" t="s">
        <v>6</v>
      </c>
      <c r="B16" s="9">
        <v>2018</v>
      </c>
      <c r="C16" s="9" t="s">
        <v>37</v>
      </c>
      <c r="D16" s="28">
        <v>0.2</v>
      </c>
      <c r="E16" s="27">
        <v>43943</v>
      </c>
      <c r="F16" s="29">
        <f>5309.94+3375.43</f>
        <v>8685.369999999999</v>
      </c>
      <c r="I16" s="4">
        <v>2020</v>
      </c>
      <c r="J16" s="55"/>
      <c r="K16" s="55"/>
      <c r="L16" s="55">
        <v>86196.79</v>
      </c>
      <c r="M16" s="55">
        <v>116650.1</v>
      </c>
      <c r="N16" s="55">
        <v>8914.36</v>
      </c>
      <c r="O16" s="55">
        <v>211761.25</v>
      </c>
    </row>
    <row r="17" spans="1:15">
      <c r="A17" s="9" t="s">
        <v>6</v>
      </c>
      <c r="B17" s="9">
        <v>2018</v>
      </c>
      <c r="C17" s="9" t="s">
        <v>37</v>
      </c>
      <c r="D17" s="35">
        <v>0.75</v>
      </c>
      <c r="E17" s="27">
        <v>44179</v>
      </c>
      <c r="F17" s="29">
        <f>13797.55+15887.81</f>
        <v>29685.360000000001</v>
      </c>
      <c r="I17" s="8" t="s">
        <v>51</v>
      </c>
      <c r="J17" s="55"/>
      <c r="K17" s="55"/>
      <c r="L17" s="55">
        <v>8343.6299999999992</v>
      </c>
      <c r="M17" s="55">
        <v>6601.77</v>
      </c>
      <c r="N17" s="55"/>
      <c r="O17" s="55">
        <v>14945.4</v>
      </c>
    </row>
    <row r="18" spans="1:15">
      <c r="A18" s="9" t="s">
        <v>6</v>
      </c>
      <c r="B18" s="9">
        <v>2018</v>
      </c>
      <c r="C18" s="9" t="s">
        <v>37</v>
      </c>
      <c r="D18" s="9" t="s">
        <v>16</v>
      </c>
      <c r="E18" s="27">
        <v>44517</v>
      </c>
      <c r="F18" s="29">
        <v>23420</v>
      </c>
      <c r="I18" s="8" t="s">
        <v>52</v>
      </c>
      <c r="J18" s="55"/>
      <c r="K18" s="55"/>
      <c r="L18" s="55">
        <v>15579.45</v>
      </c>
      <c r="M18" s="55">
        <v>24529.98</v>
      </c>
      <c r="N18" s="55"/>
      <c r="O18" s="55">
        <v>40109.43</v>
      </c>
    </row>
    <row r="19" spans="1:15">
      <c r="A19" s="9" t="s">
        <v>42</v>
      </c>
      <c r="B19" s="9">
        <v>2017</v>
      </c>
      <c r="C19" s="9" t="s">
        <v>37</v>
      </c>
      <c r="D19" s="35" t="s">
        <v>7</v>
      </c>
      <c r="E19" s="27">
        <v>42844</v>
      </c>
      <c r="F19" s="29">
        <v>6277.49</v>
      </c>
      <c r="I19" s="8" t="s">
        <v>53</v>
      </c>
      <c r="J19" s="55"/>
      <c r="K19" s="55"/>
      <c r="L19" s="55">
        <v>11569.49</v>
      </c>
      <c r="M19" s="55">
        <v>13210.05</v>
      </c>
      <c r="N19" s="55"/>
      <c r="O19" s="55">
        <v>24779.54</v>
      </c>
    </row>
    <row r="20" spans="1:15">
      <c r="A20" s="9" t="s">
        <v>42</v>
      </c>
      <c r="B20" s="9">
        <v>2017</v>
      </c>
      <c r="C20" s="9" t="s">
        <v>37</v>
      </c>
      <c r="D20" s="35" t="s">
        <v>8</v>
      </c>
      <c r="E20" s="27">
        <v>42891</v>
      </c>
      <c r="F20" s="29">
        <v>4217.67</v>
      </c>
      <c r="I20" s="8" t="s">
        <v>54</v>
      </c>
      <c r="J20" s="55"/>
      <c r="K20" s="55"/>
      <c r="L20" s="55">
        <v>12285.78</v>
      </c>
      <c r="M20" s="55">
        <v>12620.99</v>
      </c>
      <c r="N20" s="55">
        <v>1143.79</v>
      </c>
      <c r="O20" s="55">
        <v>26050.560000000001</v>
      </c>
    </row>
    <row r="21" spans="1:15">
      <c r="A21" s="9" t="s">
        <v>42</v>
      </c>
      <c r="B21" s="9">
        <v>2017</v>
      </c>
      <c r="C21" s="9" t="s">
        <v>37</v>
      </c>
      <c r="D21" s="35" t="s">
        <v>10</v>
      </c>
      <c r="E21" s="27">
        <v>42916</v>
      </c>
      <c r="F21" s="29">
        <v>4198.05</v>
      </c>
      <c r="I21" s="8" t="s">
        <v>55</v>
      </c>
      <c r="J21" s="55"/>
      <c r="K21" s="55"/>
      <c r="L21" s="55">
        <v>7701.27</v>
      </c>
      <c r="M21" s="55">
        <v>8486.69</v>
      </c>
      <c r="N21" s="55"/>
      <c r="O21" s="55">
        <v>16187.960000000001</v>
      </c>
    </row>
    <row r="22" spans="1:15">
      <c r="A22" s="9" t="s">
        <v>42</v>
      </c>
      <c r="B22" s="9">
        <v>2017</v>
      </c>
      <c r="C22" s="9" t="s">
        <v>37</v>
      </c>
      <c r="D22" s="35" t="s">
        <v>14</v>
      </c>
      <c r="E22" s="27">
        <v>43081</v>
      </c>
      <c r="F22" s="29">
        <v>6266.24</v>
      </c>
      <c r="I22" s="8" t="s">
        <v>56</v>
      </c>
      <c r="J22" s="55"/>
      <c r="K22" s="55"/>
      <c r="L22" s="55">
        <v>8647.66</v>
      </c>
      <c r="M22" s="55">
        <v>11438.37</v>
      </c>
      <c r="N22" s="55">
        <v>1748.23</v>
      </c>
      <c r="O22" s="55">
        <v>21834.26</v>
      </c>
    </row>
    <row r="23" spans="1:15">
      <c r="A23" s="9" t="s">
        <v>42</v>
      </c>
      <c r="B23" s="9">
        <v>2017</v>
      </c>
      <c r="C23" s="9" t="s">
        <v>37</v>
      </c>
      <c r="D23" s="35" t="s">
        <v>11</v>
      </c>
      <c r="E23" s="27">
        <v>43293</v>
      </c>
      <c r="F23" s="29">
        <v>2095.94</v>
      </c>
      <c r="I23" s="8" t="s">
        <v>64</v>
      </c>
      <c r="J23" s="55"/>
      <c r="K23" s="55"/>
      <c r="L23" s="55">
        <v>22069.51</v>
      </c>
      <c r="M23" s="55">
        <v>39762.25</v>
      </c>
      <c r="N23" s="55">
        <v>6022.34</v>
      </c>
      <c r="O23" s="55">
        <v>67854.099999999991</v>
      </c>
    </row>
    <row r="24" spans="1:15">
      <c r="A24" s="9" t="s">
        <v>42</v>
      </c>
      <c r="B24" s="9">
        <v>2017</v>
      </c>
      <c r="C24" s="9" t="s">
        <v>37</v>
      </c>
      <c r="D24" s="35" t="s">
        <v>12</v>
      </c>
      <c r="E24" s="27">
        <v>43465</v>
      </c>
      <c r="F24" s="29">
        <v>6231.66</v>
      </c>
      <c r="I24" s="4">
        <v>2021</v>
      </c>
      <c r="J24" s="55"/>
      <c r="K24" s="55"/>
      <c r="L24" s="55"/>
      <c r="M24" s="55">
        <v>35724.57</v>
      </c>
      <c r="N24" s="55">
        <v>80195.75</v>
      </c>
      <c r="O24" s="55">
        <v>115920.32000000001</v>
      </c>
    </row>
    <row r="25" spans="1:15">
      <c r="A25" s="9" t="s">
        <v>42</v>
      </c>
      <c r="B25" s="9">
        <v>2017</v>
      </c>
      <c r="C25" s="9" t="s">
        <v>37</v>
      </c>
      <c r="D25" s="35" t="s">
        <v>15</v>
      </c>
      <c r="E25" s="27">
        <v>43608</v>
      </c>
      <c r="F25" s="29">
        <v>4170.1899999999996</v>
      </c>
      <c r="I25" s="8" t="s">
        <v>60</v>
      </c>
      <c r="J25" s="55"/>
      <c r="K25" s="55"/>
      <c r="L25" s="55"/>
      <c r="M25" s="55">
        <v>8370.5400000000009</v>
      </c>
      <c r="N25" s="55">
        <v>12527.7</v>
      </c>
      <c r="O25" s="55">
        <v>20898.240000000002</v>
      </c>
    </row>
    <row r="26" spans="1:15">
      <c r="A26" s="9" t="s">
        <v>42</v>
      </c>
      <c r="B26" s="9">
        <v>2017</v>
      </c>
      <c r="C26" s="9" t="s">
        <v>37</v>
      </c>
      <c r="D26" s="35">
        <v>0.95</v>
      </c>
      <c r="E26" s="27">
        <v>43783</v>
      </c>
      <c r="F26" s="29">
        <v>4130.45</v>
      </c>
      <c r="I26" s="8" t="s">
        <v>59</v>
      </c>
      <c r="J26" s="55"/>
      <c r="K26" s="55"/>
      <c r="L26" s="55"/>
      <c r="M26" s="55">
        <v>4675.63</v>
      </c>
      <c r="N26" s="55">
        <v>7012.73</v>
      </c>
      <c r="O26" s="55">
        <v>11688.36</v>
      </c>
    </row>
    <row r="27" spans="1:15">
      <c r="A27" s="9" t="s">
        <v>42</v>
      </c>
      <c r="B27" s="9">
        <v>2017</v>
      </c>
      <c r="C27" s="9" t="s">
        <v>37</v>
      </c>
      <c r="D27" s="35" t="s">
        <v>15</v>
      </c>
      <c r="E27" s="27">
        <v>43804</v>
      </c>
      <c r="F27" s="29">
        <v>10921.2</v>
      </c>
      <c r="I27" s="8" t="s">
        <v>62</v>
      </c>
      <c r="J27" s="55"/>
      <c r="K27" s="55"/>
      <c r="L27" s="55"/>
      <c r="M27" s="55">
        <v>1610.12</v>
      </c>
      <c r="N27" s="55">
        <v>5937.34</v>
      </c>
      <c r="O27" s="55">
        <v>7547.46</v>
      </c>
    </row>
    <row r="28" spans="1:15">
      <c r="A28" s="9" t="s">
        <v>42</v>
      </c>
      <c r="B28" s="9">
        <v>2017</v>
      </c>
      <c r="C28" s="9" t="s">
        <v>37</v>
      </c>
      <c r="D28" s="35" t="s">
        <v>16</v>
      </c>
      <c r="E28" s="27">
        <v>44179</v>
      </c>
      <c r="F28" s="29">
        <v>80.19</v>
      </c>
      <c r="I28" s="8" t="s">
        <v>58</v>
      </c>
      <c r="J28" s="55"/>
      <c r="K28" s="55"/>
      <c r="L28" s="55"/>
      <c r="M28" s="55">
        <v>5015.66</v>
      </c>
      <c r="N28" s="55">
        <v>13495.74</v>
      </c>
      <c r="O28" s="55">
        <v>18511.400000000001</v>
      </c>
    </row>
    <row r="29" spans="1:15">
      <c r="A29" s="9" t="s">
        <v>42</v>
      </c>
      <c r="B29" s="9">
        <v>2017</v>
      </c>
      <c r="C29" s="9" t="s">
        <v>37</v>
      </c>
      <c r="D29" s="9" t="s">
        <v>17</v>
      </c>
      <c r="E29" s="27">
        <v>44517</v>
      </c>
      <c r="F29" s="29">
        <v>2360.37</v>
      </c>
      <c r="I29" s="8" t="s">
        <v>61</v>
      </c>
      <c r="J29" s="55"/>
      <c r="K29" s="55"/>
      <c r="L29" s="55"/>
      <c r="M29" s="55">
        <v>3397.51</v>
      </c>
      <c r="N29" s="55">
        <v>8457.17</v>
      </c>
      <c r="O29" s="55">
        <v>11854.68</v>
      </c>
    </row>
    <row r="30" spans="1:15">
      <c r="A30" s="9" t="s">
        <v>43</v>
      </c>
      <c r="B30" s="9">
        <v>2017</v>
      </c>
      <c r="C30" s="9" t="s">
        <v>37</v>
      </c>
      <c r="D30" s="35" t="s">
        <v>8</v>
      </c>
      <c r="E30" s="27">
        <v>42891</v>
      </c>
      <c r="F30" s="29">
        <v>20202.22</v>
      </c>
      <c r="I30" s="8" t="s">
        <v>63</v>
      </c>
      <c r="J30" s="55"/>
      <c r="K30" s="55"/>
      <c r="L30" s="55"/>
      <c r="M30" s="55">
        <v>12655.11</v>
      </c>
      <c r="N30" s="55">
        <v>32765.07</v>
      </c>
      <c r="O30" s="55">
        <v>45420.18</v>
      </c>
    </row>
    <row r="31" spans="1:15">
      <c r="A31" s="9" t="s">
        <v>43</v>
      </c>
      <c r="B31" s="9">
        <v>2017</v>
      </c>
      <c r="C31" s="9" t="s">
        <v>37</v>
      </c>
      <c r="D31" s="35" t="s">
        <v>10</v>
      </c>
      <c r="E31" s="27">
        <v>42916</v>
      </c>
      <c r="F31" s="29">
        <v>8080.88</v>
      </c>
      <c r="I31" s="4" t="s">
        <v>18</v>
      </c>
      <c r="J31" s="55">
        <v>241737.93</v>
      </c>
      <c r="K31" s="55">
        <v>202403.54</v>
      </c>
      <c r="L31" s="55">
        <v>218112.95</v>
      </c>
      <c r="M31" s="55">
        <v>315683.32091024984</v>
      </c>
      <c r="N31" s="55">
        <v>146103.11841903499</v>
      </c>
      <c r="O31" s="55">
        <v>1124040.8593292849</v>
      </c>
    </row>
    <row r="32" spans="1:15">
      <c r="A32" s="9" t="s">
        <v>43</v>
      </c>
      <c r="B32" s="9">
        <v>2017</v>
      </c>
      <c r="C32" s="9" t="s">
        <v>37</v>
      </c>
      <c r="D32" s="35" t="s">
        <v>14</v>
      </c>
      <c r="E32" s="27">
        <v>43081</v>
      </c>
      <c r="F32" s="29">
        <v>12290.380000000001</v>
      </c>
    </row>
    <row r="33" spans="1:15">
      <c r="A33" s="9" t="s">
        <v>43</v>
      </c>
      <c r="B33" s="9">
        <v>2017</v>
      </c>
      <c r="C33" s="9" t="s">
        <v>37</v>
      </c>
      <c r="D33" s="35" t="s">
        <v>11</v>
      </c>
      <c r="E33" s="27">
        <v>43293</v>
      </c>
      <c r="F33" s="29">
        <v>4057.35</v>
      </c>
    </row>
    <row r="34" spans="1:15">
      <c r="A34" s="9" t="s">
        <v>43</v>
      </c>
      <c r="B34" s="9">
        <v>2017</v>
      </c>
      <c r="C34" s="9" t="s">
        <v>37</v>
      </c>
      <c r="D34" s="35" t="s">
        <v>12</v>
      </c>
      <c r="E34" s="27">
        <v>43465</v>
      </c>
      <c r="F34" s="29">
        <v>10358.83</v>
      </c>
    </row>
    <row r="35" spans="1:15">
      <c r="A35" s="9" t="s">
        <v>43</v>
      </c>
      <c r="B35" s="9">
        <v>2017</v>
      </c>
      <c r="C35" s="9" t="s">
        <v>37</v>
      </c>
      <c r="D35" s="35">
        <v>0.55000000000000004</v>
      </c>
      <c r="E35" s="27">
        <v>43608</v>
      </c>
      <c r="F35" s="29">
        <v>12645.94</v>
      </c>
    </row>
    <row r="36" spans="1:15">
      <c r="A36" s="9" t="s">
        <v>43</v>
      </c>
      <c r="B36" s="9">
        <v>2017</v>
      </c>
      <c r="C36" s="9" t="s">
        <v>37</v>
      </c>
      <c r="D36" s="35">
        <v>0.75</v>
      </c>
      <c r="E36" s="27">
        <v>43783</v>
      </c>
      <c r="F36" s="29">
        <v>4244.6900000000005</v>
      </c>
    </row>
    <row r="37" spans="1:15">
      <c r="A37" s="9" t="s">
        <v>43</v>
      </c>
      <c r="B37" s="9">
        <v>2017</v>
      </c>
      <c r="C37" s="9" t="s">
        <v>37</v>
      </c>
      <c r="D37" s="35" t="s">
        <v>15</v>
      </c>
      <c r="E37" s="27">
        <v>44179</v>
      </c>
      <c r="F37" s="29">
        <v>23881.850910249879</v>
      </c>
      <c r="I37" s="3" t="s">
        <v>23</v>
      </c>
      <c r="J37" s="3" t="s">
        <v>83</v>
      </c>
    </row>
    <row r="38" spans="1:15">
      <c r="A38" s="9" t="s">
        <v>43</v>
      </c>
      <c r="B38" s="9">
        <v>2017</v>
      </c>
      <c r="C38" s="9" t="s">
        <v>37</v>
      </c>
      <c r="D38" s="9" t="s">
        <v>17</v>
      </c>
      <c r="E38" s="27">
        <v>44517</v>
      </c>
      <c r="F38" s="29">
        <f>4452.48+2448.86</f>
        <v>6901.34</v>
      </c>
      <c r="I38" s="3" t="s">
        <v>82</v>
      </c>
      <c r="J38" s="5" t="s">
        <v>19</v>
      </c>
      <c r="K38" s="5" t="s">
        <v>20</v>
      </c>
      <c r="L38" s="5" t="s">
        <v>21</v>
      </c>
      <c r="M38" s="5" t="s">
        <v>22</v>
      </c>
      <c r="N38" s="5" t="s">
        <v>81</v>
      </c>
      <c r="O38" s="5" t="s">
        <v>18</v>
      </c>
    </row>
    <row r="39" spans="1:15">
      <c r="A39" s="9" t="s">
        <v>48</v>
      </c>
      <c r="B39" s="9">
        <v>2018</v>
      </c>
      <c r="C39" s="9" t="s">
        <v>37</v>
      </c>
      <c r="D39" s="9" t="s">
        <v>7</v>
      </c>
      <c r="E39" s="27">
        <v>43081</v>
      </c>
      <c r="F39" s="29">
        <v>6256.63</v>
      </c>
      <c r="I39" s="4" t="s">
        <v>37</v>
      </c>
      <c r="J39" s="55">
        <v>241737.93000000005</v>
      </c>
      <c r="K39" s="55">
        <v>202403.54000000004</v>
      </c>
      <c r="L39" s="55">
        <v>188342.17</v>
      </c>
      <c r="M39" s="55">
        <v>231709.81091024986</v>
      </c>
      <c r="N39" s="55">
        <v>59885.028419034978</v>
      </c>
      <c r="O39" s="55">
        <v>924078.47932928498</v>
      </c>
    </row>
    <row r="40" spans="1:15">
      <c r="A40" s="9" t="s">
        <v>48</v>
      </c>
      <c r="B40" s="9">
        <v>2018</v>
      </c>
      <c r="C40" s="9" t="s">
        <v>37</v>
      </c>
      <c r="D40" s="9" t="s">
        <v>10</v>
      </c>
      <c r="E40" s="27">
        <v>43293</v>
      </c>
      <c r="F40" s="29">
        <v>12820.55</v>
      </c>
      <c r="I40" s="4" t="s">
        <v>38</v>
      </c>
      <c r="J40" s="55"/>
      <c r="K40" s="55"/>
      <c r="L40" s="55">
        <v>29770.78</v>
      </c>
      <c r="M40" s="55">
        <v>83973.51</v>
      </c>
      <c r="N40" s="55">
        <v>86218.09</v>
      </c>
      <c r="O40" s="55">
        <v>199962.38</v>
      </c>
    </row>
    <row r="41" spans="1:15">
      <c r="A41" s="9" t="s">
        <v>48</v>
      </c>
      <c r="B41" s="9">
        <v>2018</v>
      </c>
      <c r="C41" s="9" t="s">
        <v>37</v>
      </c>
      <c r="D41" s="9" t="s">
        <v>14</v>
      </c>
      <c r="E41" s="27">
        <v>43465</v>
      </c>
      <c r="F41" s="29">
        <v>6834.01</v>
      </c>
      <c r="I41" s="4" t="s">
        <v>18</v>
      </c>
      <c r="J41" s="55">
        <v>241737.93000000005</v>
      </c>
      <c r="K41" s="55">
        <v>202403.54000000004</v>
      </c>
      <c r="L41" s="55">
        <v>218112.95</v>
      </c>
      <c r="M41" s="55">
        <v>315683.32091024984</v>
      </c>
      <c r="N41" s="55">
        <v>146103.11841903499</v>
      </c>
      <c r="O41" s="55">
        <v>1124040.8593292851</v>
      </c>
    </row>
    <row r="42" spans="1:15">
      <c r="A42" s="9" t="s">
        <v>48</v>
      </c>
      <c r="B42" s="9">
        <v>2018</v>
      </c>
      <c r="C42" s="9" t="s">
        <v>37</v>
      </c>
      <c r="D42" s="9" t="s">
        <v>11</v>
      </c>
      <c r="E42" s="27">
        <v>43608</v>
      </c>
      <c r="F42" s="29">
        <v>2475.94</v>
      </c>
    </row>
    <row r="43" spans="1:15">
      <c r="A43" s="9" t="s">
        <v>48</v>
      </c>
      <c r="B43" s="9">
        <v>2018</v>
      </c>
      <c r="C43" s="9" t="s">
        <v>37</v>
      </c>
      <c r="D43" s="9" t="s">
        <v>12</v>
      </c>
      <c r="E43" s="27">
        <v>43773</v>
      </c>
      <c r="F43" s="29">
        <v>5126.3500000000004</v>
      </c>
    </row>
    <row r="44" spans="1:15">
      <c r="A44" s="9" t="s">
        <v>48</v>
      </c>
      <c r="B44" s="9">
        <v>2018</v>
      </c>
      <c r="C44" s="9" t="s">
        <v>37</v>
      </c>
      <c r="D44" s="35">
        <v>0.2</v>
      </c>
      <c r="E44" s="27">
        <v>43804</v>
      </c>
      <c r="F44" s="29">
        <v>4067.27</v>
      </c>
    </row>
    <row r="45" spans="1:15">
      <c r="A45" s="9" t="s">
        <v>48</v>
      </c>
      <c r="B45" s="9">
        <v>2018</v>
      </c>
      <c r="C45" s="9" t="s">
        <v>37</v>
      </c>
      <c r="D45" s="9" t="s">
        <v>16</v>
      </c>
      <c r="E45" s="27">
        <v>44180</v>
      </c>
      <c r="F45" s="29">
        <v>15899.52</v>
      </c>
    </row>
    <row r="46" spans="1:15">
      <c r="A46" s="9" t="s">
        <v>48</v>
      </c>
      <c r="B46" s="9">
        <v>2018</v>
      </c>
      <c r="C46" s="9" t="s">
        <v>37</v>
      </c>
      <c r="D46" s="9" t="s">
        <v>17</v>
      </c>
      <c r="E46" s="27">
        <v>44517</v>
      </c>
      <c r="F46" s="29">
        <v>1033.02</v>
      </c>
    </row>
    <row r="47" spans="1:15">
      <c r="A47" s="9" t="s">
        <v>45</v>
      </c>
      <c r="B47" s="9">
        <v>2017</v>
      </c>
      <c r="C47" s="9" t="s">
        <v>37</v>
      </c>
      <c r="D47" s="35" t="s">
        <v>8</v>
      </c>
      <c r="E47" s="27">
        <v>42844</v>
      </c>
      <c r="F47" s="29">
        <v>1853.99</v>
      </c>
    </row>
    <row r="48" spans="1:15">
      <c r="A48" s="9" t="s">
        <v>45</v>
      </c>
      <c r="B48" s="9">
        <v>2017</v>
      </c>
      <c r="C48" s="9" t="s">
        <v>37</v>
      </c>
      <c r="D48" s="35" t="s">
        <v>10</v>
      </c>
      <c r="E48" s="27">
        <v>42916</v>
      </c>
      <c r="F48" s="29">
        <v>744.13</v>
      </c>
    </row>
    <row r="49" spans="1:8">
      <c r="A49" s="9" t="s">
        <v>45</v>
      </c>
      <c r="B49" s="9">
        <v>2017</v>
      </c>
      <c r="C49" s="9" t="s">
        <v>37</v>
      </c>
      <c r="D49" s="35" t="s">
        <v>14</v>
      </c>
      <c r="E49" s="27">
        <v>43081</v>
      </c>
      <c r="F49" s="29">
        <v>1865.17</v>
      </c>
    </row>
    <row r="50" spans="1:8">
      <c r="A50" s="9" t="s">
        <v>45</v>
      </c>
      <c r="B50" s="9">
        <v>2017</v>
      </c>
      <c r="C50" s="9" t="s">
        <v>37</v>
      </c>
      <c r="D50" s="35" t="s">
        <v>12</v>
      </c>
      <c r="E50" s="27">
        <v>43465</v>
      </c>
      <c r="F50" s="29">
        <v>1581.06</v>
      </c>
    </row>
    <row r="51" spans="1:8">
      <c r="A51" s="9" t="s">
        <v>45</v>
      </c>
      <c r="B51" s="9">
        <v>2017</v>
      </c>
      <c r="C51" s="9" t="s">
        <v>37</v>
      </c>
      <c r="D51" s="35">
        <v>0.95</v>
      </c>
      <c r="E51" s="27">
        <v>43608</v>
      </c>
      <c r="F51" s="29">
        <v>2503.5700000000002</v>
      </c>
      <c r="H51" s="37"/>
    </row>
    <row r="52" spans="1:8">
      <c r="A52" s="9" t="s">
        <v>45</v>
      </c>
      <c r="B52" s="9">
        <v>2017</v>
      </c>
      <c r="C52" s="9" t="s">
        <v>37</v>
      </c>
      <c r="D52" s="35" t="s">
        <v>15</v>
      </c>
      <c r="E52" s="27">
        <v>43783</v>
      </c>
      <c r="F52" s="29">
        <v>284.93</v>
      </c>
      <c r="H52" s="37"/>
    </row>
    <row r="53" spans="1:8">
      <c r="A53" s="9" t="s">
        <v>45</v>
      </c>
      <c r="B53" s="9">
        <v>2017</v>
      </c>
      <c r="C53" s="9" t="s">
        <v>37</v>
      </c>
      <c r="D53" s="35" t="s">
        <v>16</v>
      </c>
      <c r="E53" s="27">
        <v>44179</v>
      </c>
      <c r="F53" s="29">
        <v>3152.63</v>
      </c>
      <c r="H53" s="37"/>
    </row>
    <row r="54" spans="1:8">
      <c r="A54" s="9" t="s">
        <v>45</v>
      </c>
      <c r="B54" s="9">
        <v>2017</v>
      </c>
      <c r="C54" s="9" t="s">
        <v>37</v>
      </c>
      <c r="D54" s="9" t="s">
        <v>17</v>
      </c>
      <c r="E54" s="27">
        <v>44517</v>
      </c>
      <c r="F54" s="29">
        <v>293.86</v>
      </c>
      <c r="H54" s="37"/>
    </row>
    <row r="55" spans="1:8">
      <c r="A55" s="9" t="s">
        <v>51</v>
      </c>
      <c r="B55" s="9">
        <v>2020</v>
      </c>
      <c r="C55" s="9" t="s">
        <v>37</v>
      </c>
      <c r="D55" s="9" t="s">
        <v>7</v>
      </c>
      <c r="E55" s="27">
        <v>43783</v>
      </c>
      <c r="F55" s="29">
        <v>8343.6299999999992</v>
      </c>
      <c r="H55" s="37"/>
    </row>
    <row r="56" spans="1:8">
      <c r="A56" s="9" t="s">
        <v>51</v>
      </c>
      <c r="B56" s="9">
        <v>2020</v>
      </c>
      <c r="C56" s="9" t="s">
        <v>37</v>
      </c>
      <c r="D56" s="9" t="s">
        <v>8</v>
      </c>
      <c r="E56" s="27">
        <v>43943</v>
      </c>
      <c r="F56" s="29">
        <v>6601.77</v>
      </c>
      <c r="H56" s="37"/>
    </row>
    <row r="57" spans="1:8">
      <c r="A57" s="9" t="s">
        <v>60</v>
      </c>
      <c r="B57" s="9">
        <v>2021</v>
      </c>
      <c r="C57" s="9" t="s">
        <v>38</v>
      </c>
      <c r="D57" s="9" t="s">
        <v>13</v>
      </c>
      <c r="E57" s="27">
        <v>44180</v>
      </c>
      <c r="F57" s="29">
        <v>8370.5400000000009</v>
      </c>
      <c r="H57" s="37"/>
    </row>
    <row r="58" spans="1:8">
      <c r="A58" s="9" t="s">
        <v>60</v>
      </c>
      <c r="B58" s="9">
        <v>2021</v>
      </c>
      <c r="C58" s="9" t="s">
        <v>38</v>
      </c>
      <c r="D58" s="9" t="s">
        <v>8</v>
      </c>
      <c r="E58" s="27">
        <v>44517</v>
      </c>
      <c r="F58" s="29">
        <v>12527.7</v>
      </c>
      <c r="H58" s="37"/>
    </row>
    <row r="59" spans="1:8">
      <c r="A59" s="9" t="s">
        <v>52</v>
      </c>
      <c r="B59" s="9">
        <v>2020</v>
      </c>
      <c r="C59" s="9" t="s">
        <v>37</v>
      </c>
      <c r="D59" s="9" t="s">
        <v>7</v>
      </c>
      <c r="E59" s="27">
        <v>43783</v>
      </c>
      <c r="F59" s="29">
        <v>15579.45</v>
      </c>
      <c r="H59" s="7"/>
    </row>
    <row r="60" spans="1:8">
      <c r="A60" s="9" t="s">
        <v>52</v>
      </c>
      <c r="B60" s="9">
        <v>2020</v>
      </c>
      <c r="C60" s="9" t="s">
        <v>37</v>
      </c>
      <c r="D60" s="9" t="s">
        <v>8</v>
      </c>
      <c r="E60" s="27">
        <v>43943</v>
      </c>
      <c r="F60" s="29">
        <v>24529.98</v>
      </c>
    </row>
    <row r="61" spans="1:8">
      <c r="A61" s="9" t="s">
        <v>53</v>
      </c>
      <c r="B61" s="9">
        <v>2020</v>
      </c>
      <c r="C61" s="9" t="s">
        <v>37</v>
      </c>
      <c r="D61" s="9" t="s">
        <v>7</v>
      </c>
      <c r="E61" s="27">
        <v>43783</v>
      </c>
      <c r="F61" s="29">
        <v>11569.49</v>
      </c>
    </row>
    <row r="62" spans="1:8">
      <c r="A62" s="9" t="s">
        <v>53</v>
      </c>
      <c r="B62" s="9">
        <v>2020</v>
      </c>
      <c r="C62" s="9" t="s">
        <v>37</v>
      </c>
      <c r="D62" s="9" t="s">
        <v>8</v>
      </c>
      <c r="E62" s="27">
        <v>43943</v>
      </c>
      <c r="F62" s="29">
        <v>13210.05</v>
      </c>
    </row>
    <row r="63" spans="1:8">
      <c r="A63" s="9" t="s">
        <v>54</v>
      </c>
      <c r="B63" s="9">
        <v>2020</v>
      </c>
      <c r="C63" s="9" t="s">
        <v>37</v>
      </c>
      <c r="D63" s="9" t="s">
        <v>7</v>
      </c>
      <c r="E63" s="27">
        <v>43783</v>
      </c>
      <c r="F63" s="29">
        <v>12285.78</v>
      </c>
    </row>
    <row r="64" spans="1:8">
      <c r="A64" s="9" t="s">
        <v>54</v>
      </c>
      <c r="B64" s="9">
        <v>2020</v>
      </c>
      <c r="C64" s="9" t="s">
        <v>37</v>
      </c>
      <c r="D64" s="9" t="s">
        <v>8</v>
      </c>
      <c r="E64" s="27">
        <v>43943</v>
      </c>
      <c r="F64" s="29">
        <v>12620.99</v>
      </c>
    </row>
    <row r="65" spans="1:6">
      <c r="A65" s="9" t="s">
        <v>54</v>
      </c>
      <c r="B65" s="9">
        <v>2020</v>
      </c>
      <c r="C65" s="9" t="s">
        <v>37</v>
      </c>
      <c r="D65" s="9" t="s">
        <v>11</v>
      </c>
      <c r="E65" s="27">
        <v>44517</v>
      </c>
      <c r="F65" s="29">
        <v>1143.79</v>
      </c>
    </row>
    <row r="66" spans="1:6">
      <c r="A66" s="9" t="s">
        <v>46</v>
      </c>
      <c r="B66" s="9">
        <v>2017</v>
      </c>
      <c r="C66" s="9" t="s">
        <v>37</v>
      </c>
      <c r="D66" s="35" t="s">
        <v>8</v>
      </c>
      <c r="E66" s="27">
        <v>42844</v>
      </c>
      <c r="F66" s="29">
        <v>24977.59</v>
      </c>
    </row>
    <row r="67" spans="1:6">
      <c r="A67" s="9" t="s">
        <v>46</v>
      </c>
      <c r="B67" s="9">
        <v>2017</v>
      </c>
      <c r="C67" s="9" t="s">
        <v>37</v>
      </c>
      <c r="D67" s="35" t="s">
        <v>10</v>
      </c>
      <c r="E67" s="27">
        <v>42916</v>
      </c>
      <c r="F67" s="29">
        <v>10235.25</v>
      </c>
    </row>
    <row r="68" spans="1:6">
      <c r="A68" s="9" t="s">
        <v>46</v>
      </c>
      <c r="B68" s="9">
        <v>2017</v>
      </c>
      <c r="C68" s="9" t="s">
        <v>37</v>
      </c>
      <c r="D68" s="35" t="s">
        <v>14</v>
      </c>
      <c r="E68" s="27">
        <v>43081</v>
      </c>
      <c r="F68" s="29">
        <v>14788.54</v>
      </c>
    </row>
    <row r="69" spans="1:6">
      <c r="A69" s="9" t="s">
        <v>46</v>
      </c>
      <c r="B69" s="9">
        <v>2017</v>
      </c>
      <c r="C69" s="9" t="s">
        <v>37</v>
      </c>
      <c r="D69" s="35" t="s">
        <v>11</v>
      </c>
      <c r="E69" s="27">
        <v>43293</v>
      </c>
      <c r="F69" s="29">
        <v>5000.13</v>
      </c>
    </row>
    <row r="70" spans="1:6">
      <c r="A70" s="9" t="s">
        <v>46</v>
      </c>
      <c r="B70" s="9">
        <v>2017</v>
      </c>
      <c r="C70" s="9" t="s">
        <v>37</v>
      </c>
      <c r="D70" s="35">
        <v>0.55000000000000004</v>
      </c>
      <c r="E70" s="27">
        <v>43608</v>
      </c>
      <c r="F70" s="29">
        <v>9911.0400000000009</v>
      </c>
    </row>
    <row r="71" spans="1:6">
      <c r="A71" s="9" t="s">
        <v>46</v>
      </c>
      <c r="B71" s="9">
        <v>2017</v>
      </c>
      <c r="C71" s="9" t="s">
        <v>37</v>
      </c>
      <c r="D71" s="35">
        <v>0.2</v>
      </c>
      <c r="E71" s="27">
        <v>43465</v>
      </c>
      <c r="F71" s="29">
        <v>15027.4</v>
      </c>
    </row>
    <row r="72" spans="1:6">
      <c r="A72" s="9" t="s">
        <v>46</v>
      </c>
      <c r="B72" s="9">
        <v>2017</v>
      </c>
      <c r="C72" s="9" t="s">
        <v>37</v>
      </c>
      <c r="D72" s="35">
        <v>0.75</v>
      </c>
      <c r="E72" s="27">
        <v>43783</v>
      </c>
      <c r="F72" s="29">
        <v>4993.24</v>
      </c>
    </row>
    <row r="73" spans="1:6">
      <c r="A73" s="9" t="s">
        <v>46</v>
      </c>
      <c r="B73" s="9">
        <v>2017</v>
      </c>
      <c r="C73" s="9" t="s">
        <v>37</v>
      </c>
      <c r="D73" s="9" t="s">
        <v>16</v>
      </c>
      <c r="E73" s="27">
        <v>44179</v>
      </c>
      <c r="F73" s="29">
        <v>15198.34</v>
      </c>
    </row>
    <row r="74" spans="1:6">
      <c r="A74" s="9" t="s">
        <v>46</v>
      </c>
      <c r="B74" s="9">
        <v>2017</v>
      </c>
      <c r="C74" s="9" t="s">
        <v>37</v>
      </c>
      <c r="D74" s="9" t="s">
        <v>17</v>
      </c>
      <c r="E74" s="27">
        <v>44517</v>
      </c>
      <c r="F74" s="29">
        <v>4920.8100000000004</v>
      </c>
    </row>
    <row r="75" spans="1:6">
      <c r="A75" s="9" t="s">
        <v>59</v>
      </c>
      <c r="B75" s="9">
        <v>2021</v>
      </c>
      <c r="C75" s="9" t="s">
        <v>38</v>
      </c>
      <c r="D75" s="9" t="s">
        <v>13</v>
      </c>
      <c r="E75" s="27">
        <v>44180</v>
      </c>
      <c r="F75" s="29">
        <v>4675.63</v>
      </c>
    </row>
    <row r="76" spans="1:6">
      <c r="A76" s="9" t="s">
        <v>59</v>
      </c>
      <c r="B76" s="9">
        <v>2021</v>
      </c>
      <c r="C76" s="9" t="s">
        <v>38</v>
      </c>
      <c r="D76" s="9" t="s">
        <v>8</v>
      </c>
      <c r="E76" s="27">
        <v>44517</v>
      </c>
      <c r="F76" s="29">
        <v>7012.73</v>
      </c>
    </row>
    <row r="77" spans="1:6">
      <c r="A77" s="9" t="s">
        <v>47</v>
      </c>
      <c r="B77" s="9">
        <v>2017</v>
      </c>
      <c r="C77" s="9" t="s">
        <v>37</v>
      </c>
      <c r="D77" s="35" t="s">
        <v>8</v>
      </c>
      <c r="E77" s="27">
        <v>42844</v>
      </c>
      <c r="F77" s="29">
        <v>43083.11</v>
      </c>
    </row>
    <row r="78" spans="1:6">
      <c r="A78" s="9" t="s">
        <v>47</v>
      </c>
      <c r="B78" s="9">
        <v>2017</v>
      </c>
      <c r="C78" s="9" t="s">
        <v>37</v>
      </c>
      <c r="D78" s="35" t="s">
        <v>10</v>
      </c>
      <c r="E78" s="27">
        <v>42916</v>
      </c>
      <c r="F78" s="29">
        <v>14372.32</v>
      </c>
    </row>
    <row r="79" spans="1:6">
      <c r="A79" s="9" t="s">
        <v>47</v>
      </c>
      <c r="B79" s="9">
        <v>2017</v>
      </c>
      <c r="C79" s="9" t="s">
        <v>37</v>
      </c>
      <c r="D79" s="35" t="s">
        <v>14</v>
      </c>
      <c r="E79" s="27">
        <v>43081</v>
      </c>
      <c r="F79" s="29">
        <v>24156.6</v>
      </c>
    </row>
    <row r="80" spans="1:6">
      <c r="A80" s="9" t="s">
        <v>47</v>
      </c>
      <c r="B80" s="9">
        <v>2017</v>
      </c>
      <c r="C80" s="9" t="s">
        <v>37</v>
      </c>
      <c r="D80" s="35" t="s">
        <v>11</v>
      </c>
      <c r="E80" s="27">
        <v>43293</v>
      </c>
      <c r="F80" s="29">
        <v>8161.21</v>
      </c>
    </row>
    <row r="81" spans="1:6">
      <c r="A81" s="9" t="s">
        <v>47</v>
      </c>
      <c r="B81" s="9">
        <v>2017</v>
      </c>
      <c r="C81" s="9" t="s">
        <v>37</v>
      </c>
      <c r="D81" s="35">
        <v>0.2</v>
      </c>
      <c r="E81" s="27">
        <v>43465</v>
      </c>
      <c r="F81" s="29">
        <v>24904.79</v>
      </c>
    </row>
    <row r="82" spans="1:6">
      <c r="A82" s="9" t="s">
        <v>47</v>
      </c>
      <c r="B82" s="9">
        <v>2017</v>
      </c>
      <c r="C82" s="9" t="s">
        <v>37</v>
      </c>
      <c r="D82" s="35">
        <v>0.55000000000000004</v>
      </c>
      <c r="E82" s="27">
        <v>43608</v>
      </c>
      <c r="F82" s="29">
        <v>16264.29</v>
      </c>
    </row>
    <row r="83" spans="1:6">
      <c r="A83" s="9" t="s">
        <v>47</v>
      </c>
      <c r="B83" s="9">
        <v>2017</v>
      </c>
      <c r="C83" s="9" t="s">
        <v>37</v>
      </c>
      <c r="D83" s="35">
        <v>0.75</v>
      </c>
      <c r="E83" s="27">
        <v>43783</v>
      </c>
      <c r="F83" s="29">
        <v>7521.15</v>
      </c>
    </row>
    <row r="84" spans="1:6">
      <c r="A84" s="9" t="s">
        <v>47</v>
      </c>
      <c r="B84" s="9">
        <v>2017</v>
      </c>
      <c r="C84" s="9" t="s">
        <v>37</v>
      </c>
      <c r="D84" s="35">
        <v>0.95</v>
      </c>
      <c r="E84" s="27">
        <v>43943</v>
      </c>
      <c r="F84" s="29">
        <v>8094.99</v>
      </c>
    </row>
    <row r="85" spans="1:6">
      <c r="A85" s="9" t="s">
        <v>47</v>
      </c>
      <c r="B85" s="9">
        <v>2017</v>
      </c>
      <c r="C85" s="9" t="s">
        <v>37</v>
      </c>
      <c r="D85" s="9" t="s">
        <v>16</v>
      </c>
      <c r="E85" s="27">
        <v>44179</v>
      </c>
      <c r="F85" s="29">
        <v>26205.52</v>
      </c>
    </row>
    <row r="86" spans="1:6">
      <c r="A86" s="9" t="s">
        <v>47</v>
      </c>
      <c r="B86" s="9">
        <v>2017</v>
      </c>
      <c r="C86" s="9" t="s">
        <v>37</v>
      </c>
      <c r="D86" s="9" t="s">
        <v>17</v>
      </c>
      <c r="E86" s="27">
        <v>44517</v>
      </c>
      <c r="F86" s="29">
        <v>4338.5784190349805</v>
      </c>
    </row>
    <row r="87" spans="1:6">
      <c r="A87" s="9" t="s">
        <v>49</v>
      </c>
      <c r="B87" s="9">
        <v>2018</v>
      </c>
      <c r="C87" s="9" t="s">
        <v>37</v>
      </c>
      <c r="D87" s="9" t="s">
        <v>7</v>
      </c>
      <c r="E87" s="27">
        <v>43081</v>
      </c>
      <c r="F87" s="29">
        <v>6194.47</v>
      </c>
    </row>
    <row r="88" spans="1:6">
      <c r="A88" s="9" t="s">
        <v>49</v>
      </c>
      <c r="B88" s="9">
        <v>2018</v>
      </c>
      <c r="C88" s="9" t="s">
        <v>37</v>
      </c>
      <c r="D88" s="9" t="s">
        <v>10</v>
      </c>
      <c r="E88" s="27">
        <v>43293</v>
      </c>
      <c r="F88" s="29">
        <v>11789.32</v>
      </c>
    </row>
    <row r="89" spans="1:6">
      <c r="A89" s="9" t="s">
        <v>49</v>
      </c>
      <c r="B89" s="9">
        <v>2018</v>
      </c>
      <c r="C89" s="9" t="s">
        <v>37</v>
      </c>
      <c r="D89" s="9" t="s">
        <v>14</v>
      </c>
      <c r="E89" s="27">
        <v>43465</v>
      </c>
      <c r="F89" s="29">
        <v>6384.27</v>
      </c>
    </row>
    <row r="90" spans="1:6">
      <c r="A90" s="9" t="s">
        <v>49</v>
      </c>
      <c r="B90" s="9">
        <v>2018</v>
      </c>
      <c r="C90" s="9" t="s">
        <v>37</v>
      </c>
      <c r="D90" s="9" t="s">
        <v>11</v>
      </c>
      <c r="E90" s="27">
        <v>43608</v>
      </c>
      <c r="F90" s="29">
        <v>2439</v>
      </c>
    </row>
    <row r="91" spans="1:6">
      <c r="A91" s="9" t="s">
        <v>49</v>
      </c>
      <c r="B91" s="9">
        <v>2018</v>
      </c>
      <c r="C91" s="9" t="s">
        <v>37</v>
      </c>
      <c r="D91" s="9" t="s">
        <v>12</v>
      </c>
      <c r="E91" s="27">
        <v>43783</v>
      </c>
      <c r="F91" s="29">
        <v>4840.9399999999996</v>
      </c>
    </row>
    <row r="92" spans="1:6">
      <c r="A92" s="9" t="s">
        <v>49</v>
      </c>
      <c r="B92" s="9">
        <v>2018</v>
      </c>
      <c r="C92" s="9" t="s">
        <v>37</v>
      </c>
      <c r="D92" s="30">
        <v>0.4</v>
      </c>
      <c r="E92" s="27">
        <v>44180</v>
      </c>
      <c r="F92" s="29">
        <v>15799.31</v>
      </c>
    </row>
    <row r="93" spans="1:6">
      <c r="A93" s="9" t="s">
        <v>49</v>
      </c>
      <c r="B93" s="9">
        <v>2018</v>
      </c>
      <c r="C93" s="9" t="s">
        <v>37</v>
      </c>
      <c r="D93" s="9" t="s">
        <v>16</v>
      </c>
      <c r="E93" s="27">
        <v>44517</v>
      </c>
      <c r="F93" s="29">
        <v>12561.54</v>
      </c>
    </row>
    <row r="94" spans="1:6">
      <c r="A94" s="9" t="s">
        <v>55</v>
      </c>
      <c r="B94" s="9">
        <v>2020</v>
      </c>
      <c r="C94" s="9" t="s">
        <v>38</v>
      </c>
      <c r="D94" s="9" t="s">
        <v>7</v>
      </c>
      <c r="E94" s="27">
        <v>43783</v>
      </c>
      <c r="F94" s="29">
        <v>7701.27</v>
      </c>
    </row>
    <row r="95" spans="1:6">
      <c r="A95" s="9" t="s">
        <v>55</v>
      </c>
      <c r="B95" s="9">
        <v>2020</v>
      </c>
      <c r="C95" s="9" t="s">
        <v>38</v>
      </c>
      <c r="D95" s="9" t="s">
        <v>8</v>
      </c>
      <c r="E95" s="27">
        <v>43943</v>
      </c>
      <c r="F95" s="29">
        <v>8486.69</v>
      </c>
    </row>
    <row r="96" spans="1:6">
      <c r="A96" s="9" t="s">
        <v>62</v>
      </c>
      <c r="B96" s="9">
        <v>2021</v>
      </c>
      <c r="C96" s="9" t="s">
        <v>38</v>
      </c>
      <c r="D96" s="9" t="s">
        <v>13</v>
      </c>
      <c r="E96" s="27">
        <v>44180</v>
      </c>
      <c r="F96" s="29">
        <v>1610.12</v>
      </c>
    </row>
    <row r="97" spans="1:6">
      <c r="A97" s="9" t="s">
        <v>62</v>
      </c>
      <c r="B97" s="9">
        <v>2021</v>
      </c>
      <c r="C97" s="9" t="s">
        <v>38</v>
      </c>
      <c r="D97" s="9" t="s">
        <v>10</v>
      </c>
      <c r="E97" s="27">
        <v>44517</v>
      </c>
      <c r="F97" s="29">
        <v>5937.34</v>
      </c>
    </row>
    <row r="98" spans="1:6">
      <c r="A98" s="9" t="s">
        <v>58</v>
      </c>
      <c r="B98" s="9">
        <v>2021</v>
      </c>
      <c r="C98" s="9" t="s">
        <v>38</v>
      </c>
      <c r="D98" s="9" t="s">
        <v>13</v>
      </c>
      <c r="E98" s="27">
        <v>44180</v>
      </c>
      <c r="F98" s="29">
        <v>5015.66</v>
      </c>
    </row>
    <row r="99" spans="1:6">
      <c r="A99" s="9" t="s">
        <v>58</v>
      </c>
      <c r="B99" s="9">
        <v>2021</v>
      </c>
      <c r="C99" s="9" t="s">
        <v>38</v>
      </c>
      <c r="D99" s="9" t="s">
        <v>10</v>
      </c>
      <c r="E99" s="27">
        <v>44517</v>
      </c>
      <c r="F99" s="29">
        <v>13495.74</v>
      </c>
    </row>
    <row r="100" spans="1:6">
      <c r="A100" s="9" t="s">
        <v>56</v>
      </c>
      <c r="B100" s="9">
        <v>2020</v>
      </c>
      <c r="C100" s="9" t="s">
        <v>37</v>
      </c>
      <c r="D100" s="9" t="s">
        <v>7</v>
      </c>
      <c r="E100" s="27">
        <v>43783</v>
      </c>
      <c r="F100" s="29">
        <v>8647.66</v>
      </c>
    </row>
    <row r="101" spans="1:6">
      <c r="A101" s="9" t="s">
        <v>56</v>
      </c>
      <c r="B101" s="9">
        <v>2020</v>
      </c>
      <c r="C101" s="9" t="s">
        <v>37</v>
      </c>
      <c r="D101" s="9" t="s">
        <v>8</v>
      </c>
      <c r="E101" s="27">
        <v>43943</v>
      </c>
      <c r="F101" s="29">
        <v>11438.37</v>
      </c>
    </row>
    <row r="102" spans="1:6">
      <c r="A102" s="9" t="s">
        <v>56</v>
      </c>
      <c r="B102" s="9">
        <v>2020</v>
      </c>
      <c r="C102" s="9" t="s">
        <v>37</v>
      </c>
      <c r="D102" s="9" t="s">
        <v>11</v>
      </c>
      <c r="E102" s="27">
        <v>44517</v>
      </c>
      <c r="F102" s="29">
        <v>1748.23</v>
      </c>
    </row>
    <row r="103" spans="1:6">
      <c r="A103" s="9" t="s">
        <v>61</v>
      </c>
      <c r="B103" s="9">
        <v>2021</v>
      </c>
      <c r="C103" s="9" t="s">
        <v>38</v>
      </c>
      <c r="D103" s="9" t="s">
        <v>13</v>
      </c>
      <c r="E103" s="27">
        <v>44180</v>
      </c>
      <c r="F103" s="29">
        <v>3397.51</v>
      </c>
    </row>
    <row r="104" spans="1:6">
      <c r="A104" s="9" t="s">
        <v>61</v>
      </c>
      <c r="B104" s="9">
        <v>2021</v>
      </c>
      <c r="C104" s="9" t="s">
        <v>38</v>
      </c>
      <c r="D104" s="9" t="s">
        <v>10</v>
      </c>
      <c r="E104" s="27">
        <v>44517</v>
      </c>
      <c r="F104" s="29">
        <v>8457.17</v>
      </c>
    </row>
    <row r="105" spans="1:6">
      <c r="A105" s="9" t="s">
        <v>64</v>
      </c>
      <c r="B105" s="9">
        <v>2020</v>
      </c>
      <c r="C105" s="9" t="s">
        <v>38</v>
      </c>
      <c r="D105" s="9" t="s">
        <v>7</v>
      </c>
      <c r="E105" s="27">
        <v>43783</v>
      </c>
      <c r="F105" s="29">
        <v>22069.51</v>
      </c>
    </row>
    <row r="106" spans="1:6">
      <c r="A106" s="9" t="s">
        <v>64</v>
      </c>
      <c r="B106" s="9">
        <v>2020</v>
      </c>
      <c r="C106" s="9" t="s">
        <v>38</v>
      </c>
      <c r="D106" s="9" t="s">
        <v>8</v>
      </c>
      <c r="E106" s="27">
        <v>43943</v>
      </c>
      <c r="F106" s="29">
        <v>39762.25</v>
      </c>
    </row>
    <row r="107" spans="1:6">
      <c r="A107" s="9" t="s">
        <v>64</v>
      </c>
      <c r="B107" s="9">
        <v>2020</v>
      </c>
      <c r="C107" s="9" t="s">
        <v>38</v>
      </c>
      <c r="D107" s="9" t="s">
        <v>11</v>
      </c>
      <c r="E107" s="27">
        <v>44517</v>
      </c>
      <c r="F107" s="29">
        <v>6022.34</v>
      </c>
    </row>
    <row r="108" spans="1:6">
      <c r="A108" s="9" t="s">
        <v>63</v>
      </c>
      <c r="B108" s="9">
        <v>2021</v>
      </c>
      <c r="C108" s="9" t="s">
        <v>38</v>
      </c>
      <c r="D108" s="9" t="s">
        <v>10</v>
      </c>
      <c r="E108" s="27">
        <v>44517</v>
      </c>
      <c r="F108" s="29">
        <v>32765.07</v>
      </c>
    </row>
    <row r="109" spans="1:6">
      <c r="A109" s="9" t="s">
        <v>63</v>
      </c>
      <c r="B109" s="9">
        <v>2021</v>
      </c>
      <c r="C109" s="9" t="s">
        <v>38</v>
      </c>
      <c r="D109" s="9" t="s">
        <v>13</v>
      </c>
      <c r="E109" s="27">
        <v>44180</v>
      </c>
      <c r="F109" s="29">
        <v>12655.11</v>
      </c>
    </row>
    <row r="110" spans="1:6">
      <c r="A110" s="9" t="s">
        <v>50</v>
      </c>
      <c r="B110" s="9">
        <v>2018</v>
      </c>
      <c r="C110" s="9" t="s">
        <v>37</v>
      </c>
      <c r="D110" s="30" t="s">
        <v>7</v>
      </c>
      <c r="E110" s="27">
        <v>43081</v>
      </c>
      <c r="F110" s="29">
        <v>5305.63</v>
      </c>
    </row>
    <row r="111" spans="1:6">
      <c r="A111" s="9" t="s">
        <v>50</v>
      </c>
      <c r="B111" s="9">
        <v>2018</v>
      </c>
      <c r="C111" s="9" t="s">
        <v>37</v>
      </c>
      <c r="D111" s="30" t="s">
        <v>10</v>
      </c>
      <c r="E111" s="27">
        <v>43293</v>
      </c>
      <c r="F111" s="29">
        <v>12912.78</v>
      </c>
    </row>
    <row r="112" spans="1:6">
      <c r="A112" s="9" t="s">
        <v>50</v>
      </c>
      <c r="B112" s="9">
        <v>2018</v>
      </c>
      <c r="C112" s="9" t="s">
        <v>37</v>
      </c>
      <c r="D112" s="30" t="s">
        <v>14</v>
      </c>
      <c r="E112" s="27">
        <v>43465</v>
      </c>
      <c r="F112" s="29">
        <v>7807.89</v>
      </c>
    </row>
    <row r="113" spans="1:6">
      <c r="A113" s="9" t="s">
        <v>50</v>
      </c>
      <c r="B113" s="9">
        <v>2018</v>
      </c>
      <c r="C113" s="9" t="s">
        <v>37</v>
      </c>
      <c r="D113" s="9" t="s">
        <v>11</v>
      </c>
      <c r="E113" s="27">
        <v>43608</v>
      </c>
      <c r="F113" s="29">
        <v>1441.06</v>
      </c>
    </row>
    <row r="114" spans="1:6">
      <c r="A114" s="9" t="s">
        <v>50</v>
      </c>
      <c r="B114" s="9">
        <v>2018</v>
      </c>
      <c r="C114" s="9" t="s">
        <v>37</v>
      </c>
      <c r="D114" s="9" t="s">
        <v>12</v>
      </c>
      <c r="E114" s="27">
        <v>43783</v>
      </c>
      <c r="F114" s="29">
        <v>4779.34</v>
      </c>
    </row>
    <row r="115" spans="1:6">
      <c r="A115" s="9" t="s">
        <v>50</v>
      </c>
      <c r="B115" s="9">
        <v>2018</v>
      </c>
      <c r="C115" s="9" t="s">
        <v>37</v>
      </c>
      <c r="D115" s="30">
        <v>0.2</v>
      </c>
      <c r="E115" s="27">
        <v>43943</v>
      </c>
      <c r="F115" s="29">
        <v>2288.52</v>
      </c>
    </row>
    <row r="116" spans="1:6">
      <c r="A116" s="9" t="s">
        <v>50</v>
      </c>
      <c r="B116" s="9">
        <v>2018</v>
      </c>
      <c r="C116" s="9" t="s">
        <v>37</v>
      </c>
      <c r="D116" s="9" t="s">
        <v>16</v>
      </c>
      <c r="E116" s="27">
        <v>44180</v>
      </c>
      <c r="F116" s="29">
        <v>13865.6</v>
      </c>
    </row>
    <row r="117" spans="1:6">
      <c r="A117" s="9" t="s">
        <v>50</v>
      </c>
      <c r="B117" s="9">
        <v>2018</v>
      </c>
      <c r="C117" s="9" t="s">
        <v>37</v>
      </c>
      <c r="D117" s="9" t="s">
        <v>17</v>
      </c>
      <c r="E117" s="27">
        <v>44517</v>
      </c>
      <c r="F117" s="29">
        <v>1163.49</v>
      </c>
    </row>
  </sheetData>
  <conditionalFormatting sqref="A2:F117">
    <cfRule type="expression" dxfId="133" priority="17">
      <formula>$B2=2021</formula>
    </cfRule>
    <cfRule type="expression" dxfId="132" priority="45">
      <formula>$B2=2020</formula>
    </cfRule>
    <cfRule type="expression" dxfId="131" priority="112">
      <formula>$B2=2018</formula>
    </cfRule>
    <cfRule type="expression" dxfId="130" priority="113">
      <formula>$B2=2017</formula>
    </cfRule>
  </conditionalFormatting>
  <conditionalFormatting sqref="A29:C35">
    <cfRule type="expression" dxfId="129" priority="110">
      <formula>$B29=2018</formula>
    </cfRule>
    <cfRule type="expression" dxfId="128" priority="111">
      <formula>$B29=2017</formula>
    </cfRule>
  </conditionalFormatting>
  <conditionalFormatting sqref="A37:C45">
    <cfRule type="expression" dxfId="127" priority="108">
      <formula>$B37=2018</formula>
    </cfRule>
    <cfRule type="expression" dxfId="126" priority="109">
      <formula>$B37=2017</formula>
    </cfRule>
  </conditionalFormatting>
  <conditionalFormatting sqref="A46:C46">
    <cfRule type="expression" dxfId="125" priority="106">
      <formula>$B46=2018</formula>
    </cfRule>
    <cfRule type="expression" dxfId="124" priority="107">
      <formula>$B46=2017</formula>
    </cfRule>
  </conditionalFormatting>
  <conditionalFormatting sqref="A46:C46">
    <cfRule type="expression" dxfId="123" priority="104">
      <formula>$B46=2018</formula>
    </cfRule>
    <cfRule type="expression" dxfId="122" priority="105">
      <formula>$B46=2017</formula>
    </cfRule>
  </conditionalFormatting>
  <conditionalFormatting sqref="A47:C47">
    <cfRule type="expression" dxfId="121" priority="102">
      <formula>$B47=2018</formula>
    </cfRule>
    <cfRule type="expression" dxfId="120" priority="103">
      <formula>$B47=2017</formula>
    </cfRule>
  </conditionalFormatting>
  <conditionalFormatting sqref="A47:C47">
    <cfRule type="expression" dxfId="119" priority="100">
      <formula>$B47=2018</formula>
    </cfRule>
    <cfRule type="expression" dxfId="118" priority="101">
      <formula>$B47=2017</formula>
    </cfRule>
  </conditionalFormatting>
  <conditionalFormatting sqref="A48:C48">
    <cfRule type="expression" dxfId="117" priority="98">
      <formula>$B48=2018</formula>
    </cfRule>
    <cfRule type="expression" dxfId="116" priority="99">
      <formula>$B48=2017</formula>
    </cfRule>
  </conditionalFormatting>
  <conditionalFormatting sqref="A48:C48">
    <cfRule type="expression" dxfId="115" priority="96">
      <formula>$B48=2018</formula>
    </cfRule>
    <cfRule type="expression" dxfId="114" priority="97">
      <formula>$B48=2017</formula>
    </cfRule>
  </conditionalFormatting>
  <conditionalFormatting sqref="A49:C49">
    <cfRule type="expression" dxfId="113" priority="94">
      <formula>$B49=2018</formula>
    </cfRule>
    <cfRule type="expression" dxfId="112" priority="95">
      <formula>$B49=2017</formula>
    </cfRule>
  </conditionalFormatting>
  <conditionalFormatting sqref="A49:C49">
    <cfRule type="expression" dxfId="111" priority="92">
      <formula>$B49=2018</formula>
    </cfRule>
    <cfRule type="expression" dxfId="110" priority="93">
      <formula>$B49=2017</formula>
    </cfRule>
  </conditionalFormatting>
  <conditionalFormatting sqref="A50:C50">
    <cfRule type="expression" dxfId="109" priority="90">
      <formula>$B50=2018</formula>
    </cfRule>
    <cfRule type="expression" dxfId="108" priority="91">
      <formula>$B50=2017</formula>
    </cfRule>
  </conditionalFormatting>
  <conditionalFormatting sqref="A50:C50">
    <cfRule type="expression" dxfId="107" priority="88">
      <formula>$B50=2018</formula>
    </cfRule>
    <cfRule type="expression" dxfId="106" priority="89">
      <formula>$B50=2017</formula>
    </cfRule>
  </conditionalFormatting>
  <conditionalFormatting sqref="B51:C51">
    <cfRule type="expression" dxfId="105" priority="86">
      <formula>$B51=2018</formula>
    </cfRule>
    <cfRule type="expression" dxfId="104" priority="87">
      <formula>$B51=2017</formula>
    </cfRule>
  </conditionalFormatting>
  <conditionalFormatting sqref="B51:C51">
    <cfRule type="expression" dxfId="103" priority="84">
      <formula>$B51=2018</formula>
    </cfRule>
    <cfRule type="expression" dxfId="102" priority="85">
      <formula>$B51=2017</formula>
    </cfRule>
  </conditionalFormatting>
  <conditionalFormatting sqref="A52:C58">
    <cfRule type="expression" dxfId="101" priority="82">
      <formula>$B52=2018</formula>
    </cfRule>
    <cfRule type="expression" dxfId="100" priority="83">
      <formula>$B52=2017</formula>
    </cfRule>
  </conditionalFormatting>
  <conditionalFormatting sqref="B52:C58">
    <cfRule type="expression" dxfId="99" priority="80">
      <formula>$B52=2018</formula>
    </cfRule>
    <cfRule type="expression" dxfId="98" priority="81">
      <formula>$B52=2017</formula>
    </cfRule>
  </conditionalFormatting>
  <conditionalFormatting sqref="B52:C58">
    <cfRule type="expression" dxfId="97" priority="78">
      <formula>$B52=2018</formula>
    </cfRule>
    <cfRule type="expression" dxfId="96" priority="79">
      <formula>$B52=2017</formula>
    </cfRule>
  </conditionalFormatting>
  <conditionalFormatting sqref="A59:C59">
    <cfRule type="expression" dxfId="95" priority="76">
      <formula>$B59=2018</formula>
    </cfRule>
    <cfRule type="expression" dxfId="94" priority="77">
      <formula>$B59=2017</formula>
    </cfRule>
  </conditionalFormatting>
  <conditionalFormatting sqref="B59:C59">
    <cfRule type="expression" dxfId="93" priority="74">
      <formula>$B59=2018</formula>
    </cfRule>
    <cfRule type="expression" dxfId="92" priority="75">
      <formula>$B59=2017</formula>
    </cfRule>
  </conditionalFormatting>
  <conditionalFormatting sqref="B59:C59">
    <cfRule type="expression" dxfId="91" priority="72">
      <formula>$B59=2018</formula>
    </cfRule>
    <cfRule type="expression" dxfId="90" priority="73">
      <formula>$B59=2017</formula>
    </cfRule>
  </conditionalFormatting>
  <conditionalFormatting sqref="A61:C66">
    <cfRule type="expression" dxfId="89" priority="70">
      <formula>$B61=2018</formula>
    </cfRule>
    <cfRule type="expression" dxfId="88" priority="71">
      <formula>$B61=2017</formula>
    </cfRule>
  </conditionalFormatting>
  <conditionalFormatting sqref="A68:C75">
    <cfRule type="expression" dxfId="87" priority="68">
      <formula>$B68=2018</formula>
    </cfRule>
    <cfRule type="expression" dxfId="86" priority="69">
      <formula>$B68=2017</formula>
    </cfRule>
  </conditionalFormatting>
  <conditionalFormatting sqref="A76:C76">
    <cfRule type="expression" dxfId="85" priority="66">
      <formula>$B76=2018</formula>
    </cfRule>
    <cfRule type="expression" dxfId="84" priority="67">
      <formula>$B76=2017</formula>
    </cfRule>
  </conditionalFormatting>
  <conditionalFormatting sqref="A76:C76">
    <cfRule type="expression" dxfId="83" priority="64">
      <formula>$B76=2018</formula>
    </cfRule>
    <cfRule type="expression" dxfId="82" priority="65">
      <formula>$B76=2017</formula>
    </cfRule>
  </conditionalFormatting>
  <conditionalFormatting sqref="A77:C77">
    <cfRule type="expression" dxfId="81" priority="62">
      <formula>$B77=2018</formula>
    </cfRule>
    <cfRule type="expression" dxfId="80" priority="63">
      <formula>$B77=2017</formula>
    </cfRule>
  </conditionalFormatting>
  <conditionalFormatting sqref="A77:C77">
    <cfRule type="expression" dxfId="79" priority="60">
      <formula>$B77=2018</formula>
    </cfRule>
    <cfRule type="expression" dxfId="78" priority="61">
      <formula>$B77=2017</formula>
    </cfRule>
  </conditionalFormatting>
  <conditionalFormatting sqref="A78:C78">
    <cfRule type="expression" dxfId="77" priority="58">
      <formula>$B78=2018</formula>
    </cfRule>
    <cfRule type="expression" dxfId="76" priority="59">
      <formula>$B78=2017</formula>
    </cfRule>
  </conditionalFormatting>
  <conditionalFormatting sqref="A78:C78">
    <cfRule type="expression" dxfId="75" priority="56">
      <formula>$B78=2018</formula>
    </cfRule>
    <cfRule type="expression" dxfId="74" priority="57">
      <formula>$B78=2017</formula>
    </cfRule>
  </conditionalFormatting>
  <conditionalFormatting sqref="A79:C79">
    <cfRule type="expression" dxfId="73" priority="54">
      <formula>$B79=2018</formula>
    </cfRule>
    <cfRule type="expression" dxfId="72" priority="55">
      <formula>$B79=2017</formula>
    </cfRule>
  </conditionalFormatting>
  <conditionalFormatting sqref="A79:C79">
    <cfRule type="expression" dxfId="71" priority="52">
      <formula>$B79=2018</formula>
    </cfRule>
    <cfRule type="expression" dxfId="70" priority="53">
      <formula>$B79=2017</formula>
    </cfRule>
  </conditionalFormatting>
  <conditionalFormatting sqref="A80:C80">
    <cfRule type="expression" dxfId="69" priority="50">
      <formula>$B80=2018</formula>
    </cfRule>
    <cfRule type="expression" dxfId="68" priority="51">
      <formula>$B80=2017</formula>
    </cfRule>
  </conditionalFormatting>
  <conditionalFormatting sqref="A80:C80">
    <cfRule type="expression" dxfId="67" priority="48">
      <formula>$B80=2018</formula>
    </cfRule>
    <cfRule type="expression" dxfId="66" priority="49">
      <formula>$B80=2017</formula>
    </cfRule>
  </conditionalFormatting>
  <conditionalFormatting sqref="A80:C80">
    <cfRule type="expression" dxfId="65" priority="46">
      <formula>$B80=2018</formula>
    </cfRule>
    <cfRule type="expression" dxfId="64" priority="47">
      <formula>$B80=2017</formula>
    </cfRule>
  </conditionalFormatting>
  <conditionalFormatting sqref="A81:C81">
    <cfRule type="expression" dxfId="63" priority="43">
      <formula>$B81=2018</formula>
    </cfRule>
    <cfRule type="expression" dxfId="62" priority="44">
      <formula>$B81=2017</formula>
    </cfRule>
  </conditionalFormatting>
  <conditionalFormatting sqref="A81:C81">
    <cfRule type="expression" dxfId="61" priority="41">
      <formula>$B81=2018</formula>
    </cfRule>
    <cfRule type="expression" dxfId="60" priority="42">
      <formula>$B81=2017</formula>
    </cfRule>
  </conditionalFormatting>
  <conditionalFormatting sqref="A81:C81">
    <cfRule type="expression" dxfId="59" priority="39">
      <formula>$B81=2018</formula>
    </cfRule>
    <cfRule type="expression" dxfId="58" priority="40">
      <formula>$B81=2017</formula>
    </cfRule>
  </conditionalFormatting>
  <conditionalFormatting sqref="A82:C82">
    <cfRule type="expression" dxfId="57" priority="37">
      <formula>$B82=2018</formula>
    </cfRule>
    <cfRule type="expression" dxfId="56" priority="38">
      <formula>$B82=2017</formula>
    </cfRule>
  </conditionalFormatting>
  <conditionalFormatting sqref="A82:C82">
    <cfRule type="expression" dxfId="55" priority="35">
      <formula>$B82=2018</formula>
    </cfRule>
    <cfRule type="expression" dxfId="54" priority="36">
      <formula>$B82=2017</formula>
    </cfRule>
  </conditionalFormatting>
  <conditionalFormatting sqref="A82:C82">
    <cfRule type="expression" dxfId="53" priority="33">
      <formula>$B82=2018</formula>
    </cfRule>
    <cfRule type="expression" dxfId="52" priority="34">
      <formula>$B82=2017</formula>
    </cfRule>
  </conditionalFormatting>
  <conditionalFormatting sqref="A83:B83">
    <cfRule type="expression" dxfId="51" priority="31">
      <formula>$B83=2018</formula>
    </cfRule>
    <cfRule type="expression" dxfId="50" priority="32">
      <formula>$B83=2017</formula>
    </cfRule>
  </conditionalFormatting>
  <conditionalFormatting sqref="A83:B83">
    <cfRule type="expression" dxfId="49" priority="29">
      <formula>$B83=2018</formula>
    </cfRule>
    <cfRule type="expression" dxfId="48" priority="30">
      <formula>$B83=2017</formula>
    </cfRule>
  </conditionalFormatting>
  <conditionalFormatting sqref="A83:B83">
    <cfRule type="expression" dxfId="47" priority="27">
      <formula>$B83=2018</formula>
    </cfRule>
    <cfRule type="expression" dxfId="46" priority="28">
      <formula>$B83=2017</formula>
    </cfRule>
  </conditionalFormatting>
  <conditionalFormatting sqref="A89:B89">
    <cfRule type="expression" dxfId="45" priority="24">
      <formula>$B89=2020</formula>
    </cfRule>
    <cfRule type="expression" dxfId="44" priority="25">
      <formula>$B89=2018</formula>
    </cfRule>
    <cfRule type="expression" dxfId="43" priority="26">
      <formula>$B89=2017</formula>
    </cfRule>
  </conditionalFormatting>
  <conditionalFormatting sqref="A93:B93">
    <cfRule type="expression" dxfId="42" priority="21">
      <formula>$B93=2020</formula>
    </cfRule>
    <cfRule type="expression" dxfId="41" priority="22">
      <formula>$B93=2018</formula>
    </cfRule>
    <cfRule type="expression" dxfId="40" priority="23">
      <formula>$B93=2017</formula>
    </cfRule>
  </conditionalFormatting>
  <conditionalFormatting sqref="A100">
    <cfRule type="expression" dxfId="39" priority="18">
      <formula>$B100=2020</formula>
    </cfRule>
    <cfRule type="expression" dxfId="38" priority="19">
      <formula>$B100=2018</formula>
    </cfRule>
    <cfRule type="expression" dxfId="37" priority="20">
      <formula>$B100=2017</formula>
    </cfRule>
  </conditionalFormatting>
  <conditionalFormatting sqref="A112:C112">
    <cfRule type="expression" dxfId="36" priority="5">
      <formula>$B112=2021</formula>
    </cfRule>
    <cfRule type="expression" dxfId="35" priority="6">
      <formula>$B112=2020</formula>
    </cfRule>
    <cfRule type="expression" dxfId="34" priority="7">
      <formula>$B112=2018</formula>
    </cfRule>
    <cfRule type="expression" dxfId="33" priority="8">
      <formula>$B112=2017</formula>
    </cfRule>
  </conditionalFormatting>
  <conditionalFormatting sqref="A114:C114">
    <cfRule type="expression" dxfId="32" priority="1">
      <formula>$B114=2021</formula>
    </cfRule>
    <cfRule type="expression" dxfId="31" priority="2">
      <formula>$B114=2020</formula>
    </cfRule>
    <cfRule type="expression" dxfId="30" priority="3">
      <formula>$B114=2018</formula>
    </cfRule>
    <cfRule type="expression" dxfId="29" priority="4">
      <formula>$B114=2017</formula>
    </cfRule>
  </conditionalFormatting>
  <dataValidations count="2">
    <dataValidation type="list" allowBlank="1" showInputMessage="1" showErrorMessage="1" sqref="D2:D117" xr:uid="{8F39DC41-77DF-4F96-8526-622A9FBBE50D}">
      <formula1>Avancement</formula1>
    </dataValidation>
    <dataValidation type="list" allowBlank="1" showInputMessage="1" showErrorMessage="1" sqref="C2:C117" xr:uid="{D28D764F-E8D3-4127-A9F3-A6BF92444FF2}">
      <formula1>Liste_RO</formula1>
    </dataValidation>
  </dataValidations>
  <pageMargins left="0.7" right="0.7" top="0.75" bottom="0.75" header="0.3" footer="0.3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4EF46B-8CB9-4F25-8057-B4063384135C}">
  <sheetPr>
    <tabColor rgb="FF0070C0"/>
  </sheetPr>
  <dimension ref="A1:L30"/>
  <sheetViews>
    <sheetView zoomScaleNormal="100" zoomScaleSheetLayoutView="115" workbookViewId="0">
      <selection activeCell="I2" sqref="I2"/>
    </sheetView>
  </sheetViews>
  <sheetFormatPr baseColWidth="10" defaultRowHeight="14.4"/>
  <cols>
    <col min="1" max="1" width="17.21875" customWidth="1"/>
    <col min="2" max="3" width="9.109375" customWidth="1"/>
    <col min="4" max="4" width="11.88671875" bestFit="1" customWidth="1"/>
    <col min="5" max="5" width="21" customWidth="1"/>
    <col min="6" max="6" width="21.6640625" customWidth="1"/>
    <col min="7" max="7" width="17.6640625" customWidth="1"/>
    <col min="8" max="8" width="23.88671875" customWidth="1"/>
    <col min="9" max="9" width="23.77734375" style="5" bestFit="1" customWidth="1"/>
    <col min="10" max="10" width="18.5546875" customWidth="1"/>
    <col min="11" max="11" width="20.109375" customWidth="1"/>
  </cols>
  <sheetData>
    <row r="1" spans="1:12">
      <c r="A1" s="21" t="s">
        <v>0</v>
      </c>
      <c r="B1" s="21" t="s">
        <v>1</v>
      </c>
      <c r="C1" s="21" t="s">
        <v>57</v>
      </c>
      <c r="D1" s="21" t="s">
        <v>35</v>
      </c>
      <c r="E1" s="21" t="s">
        <v>27</v>
      </c>
      <c r="F1" s="22" t="s">
        <v>25</v>
      </c>
      <c r="G1" s="22" t="s">
        <v>26</v>
      </c>
      <c r="H1" s="21" t="s">
        <v>32</v>
      </c>
      <c r="I1" s="21" t="s">
        <v>33</v>
      </c>
      <c r="J1" s="21" t="s">
        <v>34</v>
      </c>
      <c r="K1" s="21" t="s">
        <v>44</v>
      </c>
    </row>
    <row r="2" spans="1:12">
      <c r="A2" s="11" t="s">
        <v>5</v>
      </c>
      <c r="B2" s="11">
        <v>2017</v>
      </c>
      <c r="C2" s="11">
        <v>10</v>
      </c>
      <c r="D2" s="11" t="s">
        <v>37</v>
      </c>
      <c r="E2" s="11" t="s">
        <v>31</v>
      </c>
      <c r="F2" s="23">
        <v>188580.81</v>
      </c>
      <c r="G2" s="23">
        <v>9429.0400000000009</v>
      </c>
      <c r="H2" s="23">
        <f>SUMIF(Tableau1[OPERATION],'Données opérations REHAB'!A2,Tableau1[Montant])</f>
        <v>9429.0300000000025</v>
      </c>
      <c r="I2" s="24">
        <f t="shared" ref="I2:I18" si="0">ROUND(H2/G2,3)</f>
        <v>1</v>
      </c>
      <c r="J2" s="25" t="str">
        <f>_xlfn.XLOOKUP(I2,Listes!$C$1:$C$15,Avancement,"?",1)</f>
        <v>Bilan final</v>
      </c>
      <c r="K2" s="33">
        <f>Tableau4[[#This Row],[TOTAL HONORAIRES]]-Tableau4[[#This Row],[CUMUL HONORAIRES]]</f>
        <v>9.9999999983992893E-3</v>
      </c>
      <c r="L2" s="19"/>
    </row>
    <row r="3" spans="1:12" s="1" customFormat="1">
      <c r="A3" s="36" t="s">
        <v>42</v>
      </c>
      <c r="B3" s="36">
        <v>2017</v>
      </c>
      <c r="C3" s="36">
        <v>26</v>
      </c>
      <c r="D3" s="36" t="s">
        <v>37</v>
      </c>
      <c r="E3" s="36" t="s">
        <v>30</v>
      </c>
      <c r="F3" s="37">
        <v>1018991.19</v>
      </c>
      <c r="G3" s="37">
        <v>50949.56</v>
      </c>
      <c r="H3" s="37">
        <f>SUMIF(Tableau1[OPERATION],'Données opérations REHAB'!A3,Tableau1[Montant])</f>
        <v>50949.450000000004</v>
      </c>
      <c r="I3" s="38">
        <f t="shared" si="0"/>
        <v>1</v>
      </c>
      <c r="J3" s="39" t="str">
        <f>_xlfn.XLOOKUP(I3,Listes!$C$1:$C$15,Avancement,"?",1)</f>
        <v>Bilan final</v>
      </c>
      <c r="K3" s="41">
        <f>Tableau4[[#This Row],[TOTAL HONORAIRES]]-Tableau4[[#This Row],[CUMUL HONORAIRES]]</f>
        <v>0.10999999999330612</v>
      </c>
    </row>
    <row r="4" spans="1:12" s="1" customFormat="1">
      <c r="A4" s="36" t="s">
        <v>43</v>
      </c>
      <c r="B4" s="36">
        <v>2017</v>
      </c>
      <c r="C4" s="36">
        <v>31</v>
      </c>
      <c r="D4" s="36" t="s">
        <v>37</v>
      </c>
      <c r="E4" s="36" t="s">
        <v>30</v>
      </c>
      <c r="F4" s="37">
        <f>1324690.15+728579.58</f>
        <v>2053269.73</v>
      </c>
      <c r="G4" s="37">
        <f>66234.51+36428.98</f>
        <v>102663.48999999999</v>
      </c>
      <c r="H4" s="37">
        <f>SUMIF(Tableau1[OPERATION],'Données opérations REHAB'!A4,Tableau1[Montant])</f>
        <v>102663.48091024988</v>
      </c>
      <c r="I4" s="38">
        <f t="shared" si="0"/>
        <v>1</v>
      </c>
      <c r="J4" s="39" t="str">
        <f>_xlfn.XLOOKUP(I4,Listes!$C$1:$C$15,Avancement,"?",1)</f>
        <v>Bilan final</v>
      </c>
      <c r="K4" s="41">
        <f>Tableau4[[#This Row],[TOTAL HONORAIRES]]-Tableau4[[#This Row],[CUMUL HONORAIRES]]</f>
        <v>9.089750106795691E-3</v>
      </c>
    </row>
    <row r="5" spans="1:12" s="1" customFormat="1">
      <c r="A5" s="36" t="s">
        <v>45</v>
      </c>
      <c r="B5" s="36">
        <v>2017</v>
      </c>
      <c r="C5" s="36">
        <v>6</v>
      </c>
      <c r="D5" s="36" t="s">
        <v>37</v>
      </c>
      <c r="E5" s="36" t="s">
        <v>30</v>
      </c>
      <c r="F5" s="37">
        <v>245586.66</v>
      </c>
      <c r="G5" s="37">
        <v>12279.33</v>
      </c>
      <c r="H5" s="37">
        <f>SUMIF(Tableau1[OPERATION],'Données opérations REHAB'!A5,Tableau1[Montant])</f>
        <v>12279.34</v>
      </c>
      <c r="I5" s="38">
        <f t="shared" si="0"/>
        <v>1</v>
      </c>
      <c r="J5" s="39" t="str">
        <f>_xlfn.XLOOKUP(I5,Listes!$C$1:$C$15,Avancement,"?",1)</f>
        <v>Bilan final</v>
      </c>
      <c r="K5" s="40">
        <f>Tableau4[[#This Row],[TOTAL HONORAIRES]]-Tableau4[[#This Row],[CUMUL HONORAIRES]]</f>
        <v>-1.0000000000218279E-2</v>
      </c>
    </row>
    <row r="6" spans="1:12" s="1" customFormat="1">
      <c r="A6" s="36" t="s">
        <v>46</v>
      </c>
      <c r="B6" s="36">
        <v>2017</v>
      </c>
      <c r="C6" s="36">
        <v>45</v>
      </c>
      <c r="D6" s="36" t="s">
        <v>37</v>
      </c>
      <c r="E6" s="36" t="s">
        <v>30</v>
      </c>
      <c r="F6" s="37">
        <v>2101046.9</v>
      </c>
      <c r="G6" s="37">
        <v>105052.34</v>
      </c>
      <c r="H6" s="37">
        <f>SUMIF(Tableau1[OPERATION],'Données opérations REHAB'!A6,Tableau1[Montant])</f>
        <v>105052.34</v>
      </c>
      <c r="I6" s="38">
        <f t="shared" si="0"/>
        <v>1</v>
      </c>
      <c r="J6" s="39" t="str">
        <f>_xlfn.XLOOKUP(I6,Listes!$C$1:$C$15,Avancement,"?",1)</f>
        <v>Bilan final</v>
      </c>
      <c r="K6" s="40">
        <f>Tableau4[[#This Row],[TOTAL HONORAIRES]]-Tableau4[[#This Row],[CUMUL HONORAIRES]]</f>
        <v>0</v>
      </c>
    </row>
    <row r="7" spans="1:12" s="1" customFormat="1">
      <c r="A7" s="36" t="s">
        <v>47</v>
      </c>
      <c r="B7" s="36">
        <v>2017</v>
      </c>
      <c r="C7" s="36">
        <v>74</v>
      </c>
      <c r="D7" s="36" t="s">
        <v>37</v>
      </c>
      <c r="E7" s="36" t="s">
        <v>30</v>
      </c>
      <c r="F7" s="37">
        <v>3633243.62</v>
      </c>
      <c r="G7" s="37">
        <v>181662.18</v>
      </c>
      <c r="H7" s="37">
        <f>SUMIF(Tableau1[OPERATION],'Données opérations REHAB'!A7,Tableau1[Montant])</f>
        <v>177102.55841903496</v>
      </c>
      <c r="I7" s="38">
        <f t="shared" si="0"/>
        <v>0.97499999999999998</v>
      </c>
      <c r="J7" s="39" t="str">
        <f>_xlfn.XLOOKUP(I7,Listes!$C$1:$C$15,Avancement,"?",1)</f>
        <v>Bilan final</v>
      </c>
      <c r="K7" s="40">
        <f>Tableau4[[#This Row],[TOTAL HONORAIRES]]-Tableau4[[#This Row],[CUMUL HONORAIRES]]</f>
        <v>4559.6215809650312</v>
      </c>
    </row>
    <row r="8" spans="1:12" s="1" customFormat="1">
      <c r="A8" s="42" t="s">
        <v>6</v>
      </c>
      <c r="B8" s="42">
        <v>2018</v>
      </c>
      <c r="C8" s="42">
        <v>128</v>
      </c>
      <c r="D8" s="42" t="s">
        <v>37</v>
      </c>
      <c r="E8" s="42" t="s">
        <v>30</v>
      </c>
      <c r="F8" s="43">
        <f>2242100.25+1437828.97</f>
        <v>3679929.2199999997</v>
      </c>
      <c r="G8" s="43">
        <f>71891.45+112105.01</f>
        <v>183996.46</v>
      </c>
      <c r="H8" s="37">
        <f>SUMIF(Tableau1[OPERATION],'Données opérations REHAB'!A8,Tableau1[Montant])</f>
        <v>174796.64</v>
      </c>
      <c r="I8" s="44">
        <f t="shared" si="0"/>
        <v>0.95</v>
      </c>
      <c r="J8" s="45" t="str">
        <f>_xlfn.XLOOKUP(I8,Listes!$C$1:$C$15,Avancement,"?",1)</f>
        <v>Réception</v>
      </c>
      <c r="K8" s="46">
        <f>Tableau4[[#This Row],[TOTAL HONORAIRES]]-Tableau4[[#This Row],[CUMUL HONORAIRES]]</f>
        <v>9199.8199999999779</v>
      </c>
    </row>
    <row r="9" spans="1:12" s="1" customFormat="1">
      <c r="A9" s="36" t="s">
        <v>48</v>
      </c>
      <c r="B9" s="36">
        <v>2018</v>
      </c>
      <c r="C9" s="36">
        <v>23</v>
      </c>
      <c r="D9" s="36" t="s">
        <v>37</v>
      </c>
      <c r="E9" s="36" t="s">
        <v>30</v>
      </c>
      <c r="F9" s="37">
        <v>1118221.3999999999</v>
      </c>
      <c r="G9" s="37">
        <v>55911.07</v>
      </c>
      <c r="H9" s="37">
        <f>SUMIF(Tableau1[OPERATION],'Données opérations REHAB'!A9,Tableau1[Montant])</f>
        <v>54513.29</v>
      </c>
      <c r="I9" s="38">
        <f t="shared" si="0"/>
        <v>0.97499999999999998</v>
      </c>
      <c r="J9" s="48" t="str">
        <f>_xlfn.XLOOKUP(I9,Listes!$C$1:$C$15,Avancement,"?",1)</f>
        <v>Bilan final</v>
      </c>
      <c r="K9" s="40">
        <f>Tableau4[[#This Row],[TOTAL HONORAIRES]]-Tableau4[[#This Row],[CUMUL HONORAIRES]]</f>
        <v>1397.7799999999988</v>
      </c>
    </row>
    <row r="10" spans="1:12" s="1" customFormat="1">
      <c r="A10" s="36" t="s">
        <v>49</v>
      </c>
      <c r="B10" s="36">
        <v>2018</v>
      </c>
      <c r="C10" s="36">
        <v>30</v>
      </c>
      <c r="D10" s="36" t="s">
        <v>37</v>
      </c>
      <c r="E10" s="36" t="s">
        <v>30</v>
      </c>
      <c r="F10" s="37">
        <v>1263344.19</v>
      </c>
      <c r="G10" s="37">
        <v>63167.209499999997</v>
      </c>
      <c r="H10" s="37">
        <f>SUMIF(Tableau1[OPERATION],'Données opérations REHAB'!A10,Tableau1[Montant])</f>
        <v>60008.85</v>
      </c>
      <c r="I10" s="38">
        <f t="shared" si="0"/>
        <v>0.95</v>
      </c>
      <c r="J10" s="39" t="str">
        <f>_xlfn.XLOOKUP(I10,Listes!$C$1:$C$15,Avancement,"?",1)</f>
        <v>Réception</v>
      </c>
      <c r="K10" s="40">
        <f>Tableau4[[#This Row],[TOTAL HONORAIRES]]-Tableau4[[#This Row],[CUMUL HONORAIRES]]</f>
        <v>3158.3594999999987</v>
      </c>
    </row>
    <row r="11" spans="1:12" s="1" customFormat="1">
      <c r="A11" s="36" t="s">
        <v>50</v>
      </c>
      <c r="B11" s="36">
        <v>2018</v>
      </c>
      <c r="C11" s="36">
        <v>34</v>
      </c>
      <c r="D11" s="36" t="s">
        <v>37</v>
      </c>
      <c r="E11" s="36" t="s">
        <v>30</v>
      </c>
      <c r="F11" s="37">
        <v>1016703.89</v>
      </c>
      <c r="G11" s="37">
        <v>50835.194500000005</v>
      </c>
      <c r="H11" s="37">
        <f>SUMIF(Tableau1[OPERATION],'Données opérations REHAB'!A11,Tableau1[Montant])</f>
        <v>49564.31</v>
      </c>
      <c r="I11" s="38">
        <f t="shared" si="0"/>
        <v>0.97499999999999998</v>
      </c>
      <c r="J11" s="34" t="str">
        <f>_xlfn.XLOOKUP(I11,Listes!$C$1:$C$15,Avancement,"?",1)</f>
        <v>Bilan final</v>
      </c>
      <c r="K11" s="40">
        <f>Tableau4[[#This Row],[TOTAL HONORAIRES]]-Tableau4[[#This Row],[CUMUL HONORAIRES]]</f>
        <v>1270.8845000000074</v>
      </c>
    </row>
    <row r="12" spans="1:12">
      <c r="A12" s="31" t="s">
        <v>51</v>
      </c>
      <c r="B12" s="31">
        <v>2020</v>
      </c>
      <c r="C12" s="31">
        <v>16</v>
      </c>
      <c r="D12" s="31" t="s">
        <v>37</v>
      </c>
      <c r="E12" s="31" t="s">
        <v>28</v>
      </c>
      <c r="F12" s="7">
        <f>Tableau4[[#This Row],[TOTAL HONORAIRES]]/0.03</f>
        <v>886270.36167287338</v>
      </c>
      <c r="G12" s="7">
        <v>26588.1108501862</v>
      </c>
      <c r="H12" s="7">
        <f>SUMIF(Tableau1[OPERATION],'Données opérations REHAB'!A12,Tableau1[Montant])</f>
        <v>14945.4</v>
      </c>
      <c r="I12" s="32">
        <f t="shared" si="0"/>
        <v>0.56200000000000006</v>
      </c>
      <c r="J12" s="20" t="str">
        <f>_xlfn.XLOOKUP(I12,Listes!$C$1:$C$15,Avancement,"?",1)</f>
        <v>OS</v>
      </c>
      <c r="K12" s="6">
        <f>Tableau4[[#This Row],[TOTAL HONORAIRES]]-Tableau4[[#This Row],[CUMUL HONORAIRES]]</f>
        <v>11642.7108501862</v>
      </c>
    </row>
    <row r="13" spans="1:12">
      <c r="A13" s="31" t="s">
        <v>52</v>
      </c>
      <c r="B13" s="31">
        <v>2020</v>
      </c>
      <c r="C13" s="31">
        <v>38</v>
      </c>
      <c r="D13" s="31" t="s">
        <v>38</v>
      </c>
      <c r="E13" s="31" t="s">
        <v>28</v>
      </c>
      <c r="F13" s="7">
        <v>2236226</v>
      </c>
      <c r="G13" s="7">
        <v>67086.78</v>
      </c>
      <c r="H13" s="7">
        <f>SUMIF(Tableau1[OPERATION],'Données opérations REHAB'!A13,Tableau1[Montant])</f>
        <v>40109.43</v>
      </c>
      <c r="I13" s="32">
        <f t="shared" si="0"/>
        <v>0.59799999999999998</v>
      </c>
      <c r="J13" s="20" t="str">
        <f>_xlfn.XLOOKUP(I13,Listes!$C$1:$C$15,Avancement,"?",1)</f>
        <v>OS</v>
      </c>
      <c r="K13" s="6">
        <f>Tableau4[[#This Row],[TOTAL HONORAIRES]]-Tableau4[[#This Row],[CUMUL HONORAIRES]]</f>
        <v>26977.35</v>
      </c>
    </row>
    <row r="14" spans="1:12">
      <c r="A14" s="31" t="s">
        <v>53</v>
      </c>
      <c r="B14" s="31">
        <v>2020</v>
      </c>
      <c r="C14" s="31">
        <v>30</v>
      </c>
      <c r="D14" s="31" t="s">
        <v>37</v>
      </c>
      <c r="E14" s="31" t="s">
        <v>28</v>
      </c>
      <c r="F14" s="7">
        <v>1473644.6666666665</v>
      </c>
      <c r="G14" s="7">
        <v>44209.34</v>
      </c>
      <c r="H14" s="7">
        <f>SUMIF(Tableau1[OPERATION],'Données opérations REHAB'!A14,Tableau1[Montant])</f>
        <v>24779.54</v>
      </c>
      <c r="I14" s="32">
        <f t="shared" si="0"/>
        <v>0.56100000000000005</v>
      </c>
      <c r="J14" s="20" t="str">
        <f>_xlfn.XLOOKUP(I14,Listes!$C$1:$C$15,Avancement,"?",1)</f>
        <v>OS</v>
      </c>
      <c r="K14" s="6">
        <f>Tableau4[[#This Row],[TOTAL HONORAIRES]]-Tableau4[[#This Row],[CUMUL HONORAIRES]]</f>
        <v>19429.799999999996</v>
      </c>
    </row>
    <row r="15" spans="1:12" s="1" customFormat="1">
      <c r="A15" s="36" t="s">
        <v>54</v>
      </c>
      <c r="B15" s="36">
        <v>2020</v>
      </c>
      <c r="C15" s="36">
        <v>32</v>
      </c>
      <c r="D15" s="36" t="s">
        <v>37</v>
      </c>
      <c r="E15" s="36" t="s">
        <v>28</v>
      </c>
      <c r="F15" s="37">
        <v>1578821.81</v>
      </c>
      <c r="G15" s="37">
        <v>47364.654300000002</v>
      </c>
      <c r="H15" s="37">
        <f>SUMIF(Tableau1[OPERATION],'Données opérations REHAB'!A15,Tableau1[Montant])</f>
        <v>26050.560000000001</v>
      </c>
      <c r="I15" s="38">
        <f t="shared" si="0"/>
        <v>0.55000000000000004</v>
      </c>
      <c r="J15" s="39" t="str">
        <f>_xlfn.XLOOKUP(I15,Listes!$C$1:$C$15,Avancement,"?",1)</f>
        <v>CAO</v>
      </c>
      <c r="K15" s="40">
        <f>Tableau4[[#This Row],[TOTAL HONORAIRES]]-Tableau4[[#This Row],[CUMUL HONORAIRES]]</f>
        <v>21314.094300000001</v>
      </c>
    </row>
    <row r="16" spans="1:12">
      <c r="A16" s="31" t="s">
        <v>55</v>
      </c>
      <c r="B16" s="31">
        <v>2020</v>
      </c>
      <c r="C16" s="31">
        <v>18</v>
      </c>
      <c r="D16" s="31" t="s">
        <v>38</v>
      </c>
      <c r="E16" s="31" t="s">
        <v>28</v>
      </c>
      <c r="F16" s="7">
        <v>906172</v>
      </c>
      <c r="G16" s="7">
        <v>27185.16</v>
      </c>
      <c r="H16" s="7">
        <f>SUMIF(Tableau1[OPERATION],'Données opérations REHAB'!A16,Tableau1[Montant])</f>
        <v>16187.960000000001</v>
      </c>
      <c r="I16" s="32">
        <f t="shared" si="0"/>
        <v>0.59499999999999997</v>
      </c>
      <c r="J16" s="20" t="str">
        <f>_xlfn.XLOOKUP(I16,Listes!$C$1:$C$15,Avancement,"?",1)</f>
        <v>OS</v>
      </c>
      <c r="K16" s="6">
        <f>Tableau4[[#This Row],[TOTAL HONORAIRES]]-Tableau4[[#This Row],[CUMUL HONORAIRES]]</f>
        <v>10997.199999999999</v>
      </c>
    </row>
    <row r="17" spans="1:11" s="1" customFormat="1">
      <c r="A17" s="36" t="s">
        <v>56</v>
      </c>
      <c r="B17" s="36">
        <v>2020</v>
      </c>
      <c r="C17" s="36">
        <v>26</v>
      </c>
      <c r="D17" s="36" t="s">
        <v>37</v>
      </c>
      <c r="E17" s="36" t="s">
        <v>28</v>
      </c>
      <c r="F17" s="37">
        <v>1323288.7</v>
      </c>
      <c r="G17" s="37">
        <v>39698.661</v>
      </c>
      <c r="H17" s="37">
        <f>SUMIF(Tableau1[OPERATION],'Données opérations REHAB'!A17,Tableau1[Montant])</f>
        <v>21834.26</v>
      </c>
      <c r="I17" s="38">
        <f t="shared" si="0"/>
        <v>0.55000000000000004</v>
      </c>
      <c r="J17" s="39" t="str">
        <f>_xlfn.XLOOKUP(I17,Listes!$C$1:$C$15,Avancement,"?",1)</f>
        <v>CAO</v>
      </c>
      <c r="K17" s="40">
        <f>Tableau4[[#This Row],[TOTAL HONORAIRES]]-Tableau4[[#This Row],[CUMUL HONORAIRES]]</f>
        <v>17864.401000000002</v>
      </c>
    </row>
    <row r="18" spans="1:11" s="1" customFormat="1">
      <c r="A18" s="36" t="s">
        <v>64</v>
      </c>
      <c r="B18" s="36">
        <v>2020</v>
      </c>
      <c r="C18" s="36">
        <v>83</v>
      </c>
      <c r="D18" s="36" t="s">
        <v>38</v>
      </c>
      <c r="E18" s="36" t="s">
        <v>28</v>
      </c>
      <c r="F18" s="37">
        <v>4112369.71</v>
      </c>
      <c r="G18" s="37">
        <v>123371.0913</v>
      </c>
      <c r="H18" s="37">
        <f>SUMIF(Tableau1[OPERATION],'Données opérations REHAB'!A18,Tableau1[Montant])</f>
        <v>67854.099999999991</v>
      </c>
      <c r="I18" s="38">
        <f t="shared" si="0"/>
        <v>0.55000000000000004</v>
      </c>
      <c r="J18" s="39" t="str">
        <f>_xlfn.XLOOKUP(I18,Listes!$C$1:$C$15,Avancement,"?",1)</f>
        <v>CAO</v>
      </c>
      <c r="K18" s="40">
        <f>Tableau4[[#This Row],[TOTAL HONORAIRES]]-Tableau4[[#This Row],[CUMUL HONORAIRES]]</f>
        <v>55516.991300000009</v>
      </c>
    </row>
    <row r="19" spans="1:11" s="1" customFormat="1">
      <c r="A19" s="36" t="s">
        <v>58</v>
      </c>
      <c r="B19" s="36">
        <v>2021</v>
      </c>
      <c r="C19" s="36">
        <v>36</v>
      </c>
      <c r="D19" s="36" t="s">
        <v>38</v>
      </c>
      <c r="E19" s="36" t="s">
        <v>8</v>
      </c>
      <c r="F19" s="37">
        <v>1762990.27</v>
      </c>
      <c r="G19" s="37">
        <v>52889.708099999996</v>
      </c>
      <c r="H19" s="47">
        <f>SUMIF('Données NH REHAB'!$A$2:$A$117,'Données opérations REHAB'!A19,'Données NH REHAB'!$F$2:$F$117)</f>
        <v>18511.400000000001</v>
      </c>
      <c r="I19" s="38">
        <f t="shared" ref="I19:I24" si="1">ROUND(H19/G19,3)</f>
        <v>0.35</v>
      </c>
      <c r="J19" s="39" t="str">
        <f>_xlfn.XLOOKUP(I19,Listes!$C$1:$C$15,Avancement,"?",1)</f>
        <v>APD</v>
      </c>
      <c r="K19" s="40">
        <f>Tableau4[[#This Row],[TOTAL HONORAIRES]]-Tableau4[[#This Row],[CUMUL HONORAIRES]]</f>
        <v>34378.308099999995</v>
      </c>
    </row>
    <row r="20" spans="1:11" s="1" customFormat="1">
      <c r="A20" s="36" t="s">
        <v>59</v>
      </c>
      <c r="B20" s="36">
        <v>2021</v>
      </c>
      <c r="C20" s="36">
        <v>40</v>
      </c>
      <c r="D20" s="36" t="s">
        <v>38</v>
      </c>
      <c r="E20" s="36" t="s">
        <v>8</v>
      </c>
      <c r="F20" s="37">
        <v>1558448.59</v>
      </c>
      <c r="G20" s="37">
        <v>46753.457699999999</v>
      </c>
      <c r="H20" s="47">
        <f>SUMIF('Données NH REHAB'!$A$2:$A$117,'Données opérations REHAB'!A20,'Données NH REHAB'!$F$2:$F$117)</f>
        <v>11688.36</v>
      </c>
      <c r="I20" s="38">
        <f t="shared" si="1"/>
        <v>0.25</v>
      </c>
      <c r="J20" s="39" t="str">
        <f>_xlfn.XLOOKUP(I20,Listes!$C$1:$C$15,Avancement,"?",1)</f>
        <v>APS</v>
      </c>
      <c r="K20" s="40">
        <f>Tableau4[[#This Row],[TOTAL HONORAIRES]]-Tableau4[[#This Row],[CUMUL HONORAIRES]]</f>
        <v>35065.097699999998</v>
      </c>
    </row>
    <row r="21" spans="1:11" s="1" customFormat="1">
      <c r="A21" s="36" t="s">
        <v>60</v>
      </c>
      <c r="B21" s="36">
        <v>2021</v>
      </c>
      <c r="C21" s="36">
        <v>57</v>
      </c>
      <c r="D21" s="36" t="s">
        <v>38</v>
      </c>
      <c r="E21" s="36" t="s">
        <v>8</v>
      </c>
      <c r="F21" s="37">
        <v>2786432.77</v>
      </c>
      <c r="G21" s="37">
        <v>83592.983099999998</v>
      </c>
      <c r="H21" s="47">
        <f>SUMIF('Données NH REHAB'!$A$2:$A$117,'Données opérations REHAB'!A21,'Données NH REHAB'!$F$2:$F$117)</f>
        <v>20898.240000000002</v>
      </c>
      <c r="I21" s="38">
        <f t="shared" si="1"/>
        <v>0.25</v>
      </c>
      <c r="J21" s="39" t="str">
        <f>_xlfn.XLOOKUP(I21,Listes!$C$1:$C$15,Avancement,"?",1)</f>
        <v>APS</v>
      </c>
      <c r="K21" s="40">
        <f>Tableau4[[#This Row],[TOTAL HONORAIRES]]-Tableau4[[#This Row],[CUMUL HONORAIRES]]</f>
        <v>62694.743099999992</v>
      </c>
    </row>
    <row r="22" spans="1:11" s="1" customFormat="1">
      <c r="A22" s="36" t="s">
        <v>61</v>
      </c>
      <c r="B22" s="36">
        <v>2021</v>
      </c>
      <c r="C22" s="36">
        <v>29</v>
      </c>
      <c r="D22" s="36" t="s">
        <v>38</v>
      </c>
      <c r="E22" s="36" t="s">
        <v>8</v>
      </c>
      <c r="F22" s="37">
        <v>1129017.8</v>
      </c>
      <c r="G22" s="37">
        <v>33870.534</v>
      </c>
      <c r="H22" s="47">
        <f>SUMIF('Données NH REHAB'!$A$2:$A$117,'Données opérations REHAB'!A22,'Données NH REHAB'!$F$2:$F$117)</f>
        <v>11854.68</v>
      </c>
      <c r="I22" s="38">
        <f t="shared" si="1"/>
        <v>0.35</v>
      </c>
      <c r="J22" s="39" t="str">
        <f>_xlfn.XLOOKUP(I22,Listes!$C$1:$C$15,Avancement,"?",1)</f>
        <v>APD</v>
      </c>
      <c r="K22" s="40">
        <f>Tableau4[[#This Row],[TOTAL HONORAIRES]]-Tableau4[[#This Row],[CUMUL HONORAIRES]]</f>
        <v>22015.853999999999</v>
      </c>
    </row>
    <row r="23" spans="1:11" s="1" customFormat="1">
      <c r="A23" s="36" t="s">
        <v>62</v>
      </c>
      <c r="B23" s="36">
        <v>2021</v>
      </c>
      <c r="C23" s="36">
        <v>10</v>
      </c>
      <c r="D23" s="36" t="s">
        <v>38</v>
      </c>
      <c r="E23" s="36" t="s">
        <v>8</v>
      </c>
      <c r="F23" s="37">
        <v>718805.92</v>
      </c>
      <c r="G23" s="37">
        <v>21564.177599999999</v>
      </c>
      <c r="H23" s="47">
        <f>SUMIF('Données NH REHAB'!$A$2:$A$117,'Données opérations REHAB'!A23,'Données NH REHAB'!$F$2:$F$117)</f>
        <v>7547.46</v>
      </c>
      <c r="I23" s="38">
        <f t="shared" si="1"/>
        <v>0.35</v>
      </c>
      <c r="J23" s="39" t="str">
        <f>_xlfn.XLOOKUP(I23,Listes!$C$1:$C$15,Avancement,"?",1)</f>
        <v>APD</v>
      </c>
      <c r="K23" s="40">
        <f>Tableau4[[#This Row],[TOTAL HONORAIRES]]-Tableau4[[#This Row],[CUMUL HONORAIRES]]</f>
        <v>14016.7176</v>
      </c>
    </row>
    <row r="24" spans="1:11" s="1" customFormat="1">
      <c r="A24" s="36" t="s">
        <v>63</v>
      </c>
      <c r="B24" s="36">
        <v>2021</v>
      </c>
      <c r="C24" s="36">
        <v>86</v>
      </c>
      <c r="D24" s="36" t="s">
        <v>38</v>
      </c>
      <c r="E24" s="36" t="s">
        <v>8</v>
      </c>
      <c r="F24" s="37">
        <v>4325731.2300000004</v>
      </c>
      <c r="G24" s="37">
        <v>129771.94</v>
      </c>
      <c r="H24" s="47">
        <f>SUMIF('Données NH REHAB'!$A$2:$A$117,'Données opérations REHAB'!A24,'Données NH REHAB'!$F$2:$F$117)</f>
        <v>45420.18</v>
      </c>
      <c r="I24" s="38">
        <f t="shared" si="1"/>
        <v>0.35</v>
      </c>
      <c r="J24" s="39" t="str">
        <f>_xlfn.XLOOKUP(I24,Listes!$C$1:$C$15,Avancement,"?",1)</f>
        <v>APD</v>
      </c>
      <c r="K24" s="40">
        <f>Tableau4[[#This Row],[TOTAL HONORAIRES]]-Tableau4[[#This Row],[CUMUL HONORAIRES]]</f>
        <v>84351.760000000009</v>
      </c>
    </row>
    <row r="30" spans="1:11">
      <c r="H30" s="7"/>
    </row>
  </sheetData>
  <conditionalFormatting sqref="A2:K24">
    <cfRule type="expression" dxfId="28" priority="95">
      <formula>$I2=100%</formula>
    </cfRule>
  </conditionalFormatting>
  <dataValidations disablePrompts="1" count="2">
    <dataValidation type="list" allowBlank="1" showInputMessage="1" showErrorMessage="1" sqref="E2:E24" xr:uid="{BB2140F7-6182-4F2C-9384-A6558C0CC5D0}">
      <formula1>Phases</formula1>
    </dataValidation>
    <dataValidation type="list" allowBlank="1" showInputMessage="1" showErrorMessage="1" sqref="D2:D24" xr:uid="{1467FBFF-C7A8-4ABA-94E8-F551325B842B}">
      <formula1>Liste_RO</formula1>
    </dataValidation>
  </dataValidations>
  <pageMargins left="0.7" right="0.7" top="0.75" bottom="0.75" header="0.3" footer="0.3"/>
  <pageSetup paperSize="9" scale="50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068CB-61CA-4623-8C58-725159028D51}">
  <sheetPr>
    <tabColor theme="5"/>
  </sheetPr>
  <dimension ref="A1:F4"/>
  <sheetViews>
    <sheetView workbookViewId="0">
      <selection activeCell="D2" sqref="D2"/>
    </sheetView>
  </sheetViews>
  <sheetFormatPr baseColWidth="10" defaultRowHeight="14.4"/>
  <cols>
    <col min="1" max="1" width="12.88671875" customWidth="1"/>
    <col min="4" max="4" width="20" customWidth="1"/>
  </cols>
  <sheetData>
    <row r="1" spans="1:6">
      <c r="A1" s="49" t="s">
        <v>0</v>
      </c>
      <c r="B1" s="49" t="s">
        <v>1</v>
      </c>
      <c r="C1" s="49" t="s">
        <v>35</v>
      </c>
      <c r="D1" s="49" t="s">
        <v>2</v>
      </c>
      <c r="E1" s="49" t="s">
        <v>3</v>
      </c>
      <c r="F1" s="49" t="s">
        <v>4</v>
      </c>
    </row>
    <row r="2" spans="1:6">
      <c r="A2" s="9" t="s">
        <v>65</v>
      </c>
      <c r="B2" s="9">
        <v>2020</v>
      </c>
      <c r="C2" s="9" t="s">
        <v>36</v>
      </c>
      <c r="D2" s="9" t="s">
        <v>13</v>
      </c>
      <c r="E2" s="27">
        <v>43657</v>
      </c>
      <c r="F2" s="29">
        <v>39768</v>
      </c>
    </row>
    <row r="3" spans="1:6">
      <c r="A3" s="9" t="s">
        <v>65</v>
      </c>
      <c r="B3" s="9">
        <v>2020</v>
      </c>
      <c r="C3" s="9" t="s">
        <v>36</v>
      </c>
      <c r="D3" s="9" t="s">
        <v>7</v>
      </c>
      <c r="E3" s="27">
        <v>43768</v>
      </c>
      <c r="F3" s="29">
        <v>15520</v>
      </c>
    </row>
    <row r="4" spans="1:6">
      <c r="A4" s="9"/>
      <c r="B4" s="9"/>
      <c r="C4" s="9"/>
      <c r="D4" s="9"/>
      <c r="E4" s="27">
        <v>43803</v>
      </c>
      <c r="F4" s="29">
        <v>32916</v>
      </c>
    </row>
  </sheetData>
  <conditionalFormatting sqref="A2:F4">
    <cfRule type="expression" dxfId="27" priority="1">
      <formula>$B2=2021</formula>
    </cfRule>
    <cfRule type="expression" dxfId="26" priority="2">
      <formula>$B2=2020</formula>
    </cfRule>
    <cfRule type="expression" dxfId="25" priority="3">
      <formula>$B2=2018</formula>
    </cfRule>
    <cfRule type="expression" dxfId="24" priority="4">
      <formula>$B2=2017</formula>
    </cfRule>
  </conditionalFormatting>
  <dataValidations count="2">
    <dataValidation type="list" allowBlank="1" showInputMessage="1" showErrorMessage="1" sqref="C2:C4" xr:uid="{2ECD155F-B351-4259-A33F-9D0CB01C9D2F}">
      <formula1>Liste_RO</formula1>
    </dataValidation>
    <dataValidation type="list" allowBlank="1" showInputMessage="1" showErrorMessage="1" sqref="D2:D4" xr:uid="{BD0D9EA3-957D-492F-84CE-E4427650C422}">
      <formula1>Avancement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DDBD3-A5FD-486A-A240-B81F0468982E}">
  <sheetPr>
    <tabColor theme="5"/>
  </sheetPr>
  <dimension ref="A1:L3"/>
  <sheetViews>
    <sheetView tabSelected="1" workbookViewId="0">
      <selection activeCell="K2" sqref="K2"/>
    </sheetView>
  </sheetViews>
  <sheetFormatPr baseColWidth="10" defaultRowHeight="14.4"/>
  <cols>
    <col min="1" max="1" width="12.88671875" customWidth="1"/>
    <col min="3" max="3" width="11.5546875" style="5"/>
    <col min="8" max="8" width="20" customWidth="1"/>
    <col min="9" max="9" width="21" customWidth="1"/>
    <col min="10" max="10" width="17" customWidth="1"/>
    <col min="11" max="11" width="27.6640625" customWidth="1"/>
    <col min="12" max="12" width="19.6640625" customWidth="1"/>
  </cols>
  <sheetData>
    <row r="1" spans="1:12">
      <c r="A1" s="52" t="s">
        <v>0</v>
      </c>
      <c r="B1" s="49" t="s">
        <v>1</v>
      </c>
      <c r="C1" s="49" t="s">
        <v>57</v>
      </c>
      <c r="D1" s="49" t="s">
        <v>79</v>
      </c>
      <c r="E1" s="49" t="s">
        <v>35</v>
      </c>
      <c r="F1" s="49" t="s">
        <v>27</v>
      </c>
      <c r="G1" s="53" t="s">
        <v>25</v>
      </c>
      <c r="H1" s="53" t="s">
        <v>26</v>
      </c>
      <c r="I1" s="49" t="s">
        <v>32</v>
      </c>
      <c r="J1" s="49" t="s">
        <v>33</v>
      </c>
      <c r="K1" s="49" t="s">
        <v>34</v>
      </c>
      <c r="L1" s="54" t="s">
        <v>44</v>
      </c>
    </row>
    <row r="2" spans="1:12">
      <c r="A2" t="s">
        <v>65</v>
      </c>
      <c r="B2">
        <v>2020</v>
      </c>
      <c r="C2" s="5">
        <v>56</v>
      </c>
      <c r="D2" t="s">
        <v>80</v>
      </c>
      <c r="E2" s="9" t="s">
        <v>36</v>
      </c>
      <c r="F2" s="9" t="s">
        <v>31</v>
      </c>
      <c r="G2" s="51">
        <v>6690718</v>
      </c>
      <c r="H2" s="51">
        <v>200722</v>
      </c>
      <c r="I2" s="51">
        <f>SUMIF(Tableau2[OPERATION],A2,Tableau2[Montant])</f>
        <v>55288</v>
      </c>
      <c r="J2" s="50">
        <f>ROUND(H2/G2,3)</f>
        <v>0.03</v>
      </c>
      <c r="K2" s="5" t="str">
        <f>_xlfn.XLOOKUP(J2,Listes!$C$19:$C$34,Avancement_Propre,"?",1)</f>
        <v>Programmation</v>
      </c>
      <c r="L2" s="51">
        <f>H2-I2</f>
        <v>145434</v>
      </c>
    </row>
    <row r="3" spans="1:12">
      <c r="E3" s="9"/>
      <c r="F3" s="9"/>
      <c r="G3" s="51"/>
      <c r="H3" s="51"/>
      <c r="I3" s="51">
        <f>SUMIF(Tableau2[OPERATION],A3,Tableau2[Montant])</f>
        <v>0</v>
      </c>
      <c r="J3" s="50" t="e">
        <f t="shared" ref="J2:J3" si="0">ROUND(H3/G3,3)</f>
        <v>#DIV/0!</v>
      </c>
      <c r="K3" s="5" t="e">
        <f>_xlfn.XLOOKUP(J3,Listes!$C$19:$C$34,Avancement_Propre,"?",1)</f>
        <v>#DIV/0!</v>
      </c>
      <c r="L3" s="51">
        <f>H3-I3</f>
        <v>0</v>
      </c>
    </row>
  </sheetData>
  <conditionalFormatting sqref="E2:E3">
    <cfRule type="expression" dxfId="23" priority="3">
      <formula>$J2=100%</formula>
    </cfRule>
  </conditionalFormatting>
  <conditionalFormatting sqref="F2:F3">
    <cfRule type="expression" dxfId="22" priority="2">
      <formula>$J2=100%</formula>
    </cfRule>
  </conditionalFormatting>
  <conditionalFormatting sqref="A2:L3">
    <cfRule type="expression" dxfId="21" priority="1">
      <formula>$J2=100%</formula>
    </cfRule>
  </conditionalFormatting>
  <dataValidations count="3">
    <dataValidation type="list" allowBlank="1" showInputMessage="1" showErrorMessage="1" sqref="E2:E3" xr:uid="{B5163C07-AC01-4618-AACB-B92EC4217E64}">
      <formula1>Liste_RO</formula1>
    </dataValidation>
    <dataValidation type="list" allowBlank="1" showInputMessage="1" showErrorMessage="1" sqref="F2:F3" xr:uid="{9BACC5C8-98EB-41F4-99E9-028AFA276891}">
      <formula1>Phases</formula1>
    </dataValidation>
    <dataValidation type="list" allowBlank="1" showInputMessage="1" showErrorMessage="1" sqref="D2:D3" xr:uid="{B19156F2-59D1-412B-9D39-9AF9ECFCE566}">
      <formula1>"Propre,VEFA"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2D30C4-0C29-42A6-BE91-10D361758654}">
  <sheetPr>
    <tabColor theme="1" tint="4.9989318521683403E-2"/>
  </sheetPr>
  <dimension ref="A1:G50"/>
  <sheetViews>
    <sheetView workbookViewId="0">
      <selection activeCell="A37" sqref="A37"/>
    </sheetView>
  </sheetViews>
  <sheetFormatPr baseColWidth="10" defaultRowHeight="14.4"/>
  <cols>
    <col min="1" max="1" width="24.44140625" bestFit="1" customWidth="1"/>
    <col min="2" max="2" width="11.5546875" style="17"/>
  </cols>
  <sheetData>
    <row r="1" spans="1:7">
      <c r="A1" s="12" t="s">
        <v>13</v>
      </c>
      <c r="B1" s="16">
        <v>0.1</v>
      </c>
      <c r="C1" s="13">
        <f>B1</f>
        <v>0.1</v>
      </c>
      <c r="E1" s="18" t="s">
        <v>7</v>
      </c>
      <c r="G1" s="26" t="s">
        <v>37</v>
      </c>
    </row>
    <row r="2" spans="1:7">
      <c r="A2" s="12" t="s">
        <v>7</v>
      </c>
      <c r="B2" s="16">
        <v>0.05</v>
      </c>
      <c r="C2" s="13">
        <f>C1+B2</f>
        <v>0.15000000000000002</v>
      </c>
      <c r="E2" s="18" t="s">
        <v>8</v>
      </c>
      <c r="G2" s="26" t="s">
        <v>36</v>
      </c>
    </row>
    <row r="3" spans="1:7">
      <c r="A3" s="12" t="s">
        <v>8</v>
      </c>
      <c r="B3" s="16">
        <v>0.1</v>
      </c>
      <c r="C3" s="13">
        <f t="shared" ref="C3:C15" si="0">C2+B3</f>
        <v>0.25</v>
      </c>
      <c r="E3" s="18" t="s">
        <v>9</v>
      </c>
      <c r="G3" s="26" t="s">
        <v>38</v>
      </c>
    </row>
    <row r="4" spans="1:7">
      <c r="A4" s="12" t="s">
        <v>10</v>
      </c>
      <c r="B4" s="16">
        <v>0.1</v>
      </c>
      <c r="C4" s="13">
        <f t="shared" si="0"/>
        <v>0.35</v>
      </c>
      <c r="E4" s="18" t="s">
        <v>10</v>
      </c>
      <c r="G4" s="26" t="s">
        <v>41</v>
      </c>
    </row>
    <row r="5" spans="1:7">
      <c r="A5" s="12" t="s">
        <v>14</v>
      </c>
      <c r="B5" s="16">
        <v>0.15</v>
      </c>
      <c r="C5" s="13">
        <f t="shared" si="0"/>
        <v>0.5</v>
      </c>
      <c r="E5" s="18" t="s">
        <v>14</v>
      </c>
      <c r="G5" s="26" t="s">
        <v>39</v>
      </c>
    </row>
    <row r="6" spans="1:7">
      <c r="A6" s="12" t="s">
        <v>11</v>
      </c>
      <c r="B6" s="16">
        <v>0.05</v>
      </c>
      <c r="C6" s="13">
        <f t="shared" si="0"/>
        <v>0.55000000000000004</v>
      </c>
      <c r="E6" s="18" t="s">
        <v>28</v>
      </c>
      <c r="G6" s="26" t="s">
        <v>40</v>
      </c>
    </row>
    <row r="7" spans="1:7">
      <c r="A7" s="12" t="s">
        <v>12</v>
      </c>
      <c r="B7" s="16">
        <v>0.1</v>
      </c>
      <c r="C7" s="13">
        <f t="shared" si="0"/>
        <v>0.65</v>
      </c>
      <c r="E7" s="18" t="s">
        <v>12</v>
      </c>
    </row>
    <row r="8" spans="1:7">
      <c r="A8" s="14">
        <v>0.2</v>
      </c>
      <c r="B8" s="16">
        <v>0.05</v>
      </c>
      <c r="C8" s="13">
        <f t="shared" si="0"/>
        <v>0.70000000000000007</v>
      </c>
      <c r="E8" s="18" t="s">
        <v>29</v>
      </c>
    </row>
    <row r="9" spans="1:7">
      <c r="A9" s="14">
        <v>0.4</v>
      </c>
      <c r="B9" s="16">
        <v>0.05</v>
      </c>
      <c r="C9" s="13">
        <f t="shared" si="0"/>
        <v>0.75000000000000011</v>
      </c>
      <c r="E9" s="18" t="s">
        <v>30</v>
      </c>
    </row>
    <row r="10" spans="1:7">
      <c r="A10" s="14">
        <v>0.55000000000000004</v>
      </c>
      <c r="B10" s="16">
        <v>0.05</v>
      </c>
      <c r="C10" s="13">
        <f t="shared" si="0"/>
        <v>0.80000000000000016</v>
      </c>
      <c r="E10" s="18" t="s">
        <v>31</v>
      </c>
    </row>
    <row r="11" spans="1:7">
      <c r="A11" s="14">
        <v>0.75</v>
      </c>
      <c r="B11" s="16">
        <v>0.05</v>
      </c>
      <c r="C11" s="13">
        <f t="shared" si="0"/>
        <v>0.8500000000000002</v>
      </c>
    </row>
    <row r="12" spans="1:7">
      <c r="A12" s="14">
        <v>0.95</v>
      </c>
      <c r="B12" s="16">
        <v>0.05</v>
      </c>
      <c r="C12" s="13">
        <f t="shared" si="0"/>
        <v>0.90000000000000024</v>
      </c>
    </row>
    <row r="13" spans="1:7">
      <c r="A13" s="12" t="s">
        <v>15</v>
      </c>
      <c r="B13" s="16">
        <v>0.03</v>
      </c>
      <c r="C13" s="13">
        <f t="shared" si="0"/>
        <v>0.93000000000000027</v>
      </c>
    </row>
    <row r="14" spans="1:7">
      <c r="A14" s="12" t="s">
        <v>16</v>
      </c>
      <c r="B14" s="16">
        <v>0.02</v>
      </c>
      <c r="C14" s="13">
        <f t="shared" si="0"/>
        <v>0.95000000000000029</v>
      </c>
    </row>
    <row r="15" spans="1:7">
      <c r="A15" s="15" t="s">
        <v>17</v>
      </c>
      <c r="B15" s="16">
        <v>0.05</v>
      </c>
      <c r="C15" s="13">
        <f t="shared" si="0"/>
        <v>1.0000000000000002</v>
      </c>
    </row>
    <row r="18" spans="1:3">
      <c r="A18" s="12" t="s">
        <v>66</v>
      </c>
      <c r="B18" s="16"/>
      <c r="C18" s="13"/>
    </row>
    <row r="19" spans="1:3">
      <c r="A19" s="12" t="s">
        <v>13</v>
      </c>
      <c r="B19" s="16">
        <v>0.1</v>
      </c>
      <c r="C19" s="13">
        <f>B19</f>
        <v>0.1</v>
      </c>
    </row>
    <row r="20" spans="1:3">
      <c r="A20" s="12" t="s">
        <v>7</v>
      </c>
      <c r="B20" s="16">
        <v>0.05</v>
      </c>
      <c r="C20" s="13">
        <f>B20+C19</f>
        <v>0.15000000000000002</v>
      </c>
    </row>
    <row r="21" spans="1:3">
      <c r="A21" s="12" t="s">
        <v>8</v>
      </c>
      <c r="B21" s="16">
        <v>0.05</v>
      </c>
      <c r="C21" s="13">
        <f t="shared" ref="C21:C34" si="1">B21+C20</f>
        <v>0.2</v>
      </c>
    </row>
    <row r="22" spans="1:3">
      <c r="A22" s="12" t="s">
        <v>67</v>
      </c>
      <c r="B22" s="16">
        <v>0.1</v>
      </c>
      <c r="C22" s="13">
        <f t="shared" si="1"/>
        <v>0.30000000000000004</v>
      </c>
    </row>
    <row r="23" spans="1:3">
      <c r="A23" s="12" t="s">
        <v>10</v>
      </c>
      <c r="B23" s="16">
        <v>0.1</v>
      </c>
      <c r="C23" s="13">
        <f t="shared" si="1"/>
        <v>0.4</v>
      </c>
    </row>
    <row r="24" spans="1:3">
      <c r="A24" s="12" t="s">
        <v>14</v>
      </c>
      <c r="B24" s="16">
        <v>0.1</v>
      </c>
      <c r="C24" s="13">
        <f t="shared" si="1"/>
        <v>0.5</v>
      </c>
    </row>
    <row r="25" spans="1:3">
      <c r="A25" s="14" t="s">
        <v>11</v>
      </c>
      <c r="B25" s="16">
        <v>0.05</v>
      </c>
      <c r="C25" s="13">
        <f t="shared" si="1"/>
        <v>0.55000000000000004</v>
      </c>
    </row>
    <row r="26" spans="1:3">
      <c r="A26" s="14" t="s">
        <v>12</v>
      </c>
      <c r="B26" s="16">
        <v>0.1</v>
      </c>
      <c r="C26" s="13">
        <f t="shared" si="1"/>
        <v>0.65</v>
      </c>
    </row>
    <row r="27" spans="1:3">
      <c r="A27" s="14" t="s">
        <v>68</v>
      </c>
      <c r="B27" s="16">
        <v>0.05</v>
      </c>
      <c r="C27" s="13">
        <f t="shared" si="1"/>
        <v>0.70000000000000007</v>
      </c>
    </row>
    <row r="28" spans="1:3">
      <c r="A28" s="14" t="s">
        <v>69</v>
      </c>
      <c r="B28" s="16">
        <v>0.05</v>
      </c>
      <c r="C28" s="13">
        <f t="shared" si="1"/>
        <v>0.75000000000000011</v>
      </c>
    </row>
    <row r="29" spans="1:3">
      <c r="A29" s="14" t="s">
        <v>70</v>
      </c>
      <c r="B29" s="16">
        <v>0.05</v>
      </c>
      <c r="C29" s="13">
        <f t="shared" si="1"/>
        <v>0.80000000000000016</v>
      </c>
    </row>
    <row r="30" spans="1:3">
      <c r="A30" s="12" t="s">
        <v>71</v>
      </c>
      <c r="B30" s="16">
        <v>0.05</v>
      </c>
      <c r="C30" s="13">
        <f t="shared" si="1"/>
        <v>0.8500000000000002</v>
      </c>
    </row>
    <row r="31" spans="1:3">
      <c r="A31" s="12" t="s">
        <v>72</v>
      </c>
      <c r="B31" s="16">
        <v>0.05</v>
      </c>
      <c r="C31" s="13">
        <f t="shared" si="1"/>
        <v>0.90000000000000024</v>
      </c>
    </row>
    <row r="32" spans="1:3">
      <c r="A32" s="15" t="s">
        <v>73</v>
      </c>
      <c r="B32" s="16">
        <v>0.03</v>
      </c>
      <c r="C32" s="13">
        <f t="shared" si="1"/>
        <v>0.93000000000000027</v>
      </c>
    </row>
    <row r="33" spans="1:3">
      <c r="A33" s="12" t="s">
        <v>74</v>
      </c>
      <c r="B33" s="16">
        <v>0.02</v>
      </c>
      <c r="C33" s="13">
        <f t="shared" si="1"/>
        <v>0.95000000000000029</v>
      </c>
    </row>
    <row r="34" spans="1:3">
      <c r="A34" s="12" t="s">
        <v>17</v>
      </c>
      <c r="B34" s="16">
        <v>0.05</v>
      </c>
      <c r="C34" s="13">
        <f t="shared" si="1"/>
        <v>1.0000000000000002</v>
      </c>
    </row>
    <row r="36" spans="1:3">
      <c r="A36" s="12" t="s">
        <v>75</v>
      </c>
      <c r="B36" s="16"/>
      <c r="C36" s="13"/>
    </row>
    <row r="37" spans="1:3">
      <c r="A37" s="12" t="s">
        <v>13</v>
      </c>
      <c r="B37" s="16">
        <v>0.1</v>
      </c>
      <c r="C37" s="13">
        <f>B37</f>
        <v>0.1</v>
      </c>
    </row>
    <row r="38" spans="1:3">
      <c r="A38" s="12" t="s">
        <v>67</v>
      </c>
      <c r="B38" s="16">
        <v>0.05</v>
      </c>
      <c r="C38" s="13">
        <f>B38+C37</f>
        <v>0.15000000000000002</v>
      </c>
    </row>
    <row r="39" spans="1:3">
      <c r="A39" s="12" t="s">
        <v>76</v>
      </c>
      <c r="B39" s="16">
        <v>0.15</v>
      </c>
      <c r="C39" s="13">
        <f t="shared" ref="C39:C50" si="2">B39+C38</f>
        <v>0.30000000000000004</v>
      </c>
    </row>
    <row r="40" spans="1:3">
      <c r="A40" s="12" t="s">
        <v>77</v>
      </c>
      <c r="B40" s="16">
        <v>0.15</v>
      </c>
      <c r="C40" s="13">
        <f t="shared" si="2"/>
        <v>0.45000000000000007</v>
      </c>
    </row>
    <row r="41" spans="1:3">
      <c r="A41" s="12" t="s">
        <v>12</v>
      </c>
      <c r="B41" s="16">
        <v>0.05</v>
      </c>
      <c r="C41" s="13">
        <f t="shared" si="2"/>
        <v>0.50000000000000011</v>
      </c>
    </row>
    <row r="42" spans="1:3">
      <c r="A42" s="12" t="s">
        <v>78</v>
      </c>
      <c r="B42" s="16">
        <v>0.05</v>
      </c>
      <c r="C42" s="13">
        <f t="shared" si="2"/>
        <v>0.55000000000000016</v>
      </c>
    </row>
    <row r="43" spans="1:3">
      <c r="A43" s="14" t="s">
        <v>68</v>
      </c>
      <c r="B43" s="16">
        <v>0.1</v>
      </c>
      <c r="C43" s="13">
        <f t="shared" si="2"/>
        <v>0.65000000000000013</v>
      </c>
    </row>
    <row r="44" spans="1:3">
      <c r="A44" s="14" t="s">
        <v>69</v>
      </c>
      <c r="B44" s="16">
        <v>0.05</v>
      </c>
      <c r="C44" s="13">
        <f t="shared" si="2"/>
        <v>0.70000000000000018</v>
      </c>
    </row>
    <row r="45" spans="1:3">
      <c r="A45" s="14" t="s">
        <v>70</v>
      </c>
      <c r="B45" s="16">
        <v>0.05</v>
      </c>
      <c r="C45" s="13">
        <f t="shared" si="2"/>
        <v>0.75000000000000022</v>
      </c>
    </row>
    <row r="46" spans="1:3">
      <c r="A46" s="14" t="s">
        <v>71</v>
      </c>
      <c r="B46" s="16">
        <v>0.05</v>
      </c>
      <c r="C46" s="13">
        <f t="shared" si="2"/>
        <v>0.80000000000000027</v>
      </c>
    </row>
    <row r="47" spans="1:3">
      <c r="A47" s="14" t="s">
        <v>72</v>
      </c>
      <c r="B47" s="16">
        <v>0.05</v>
      </c>
      <c r="C47" s="13">
        <f t="shared" si="2"/>
        <v>0.85000000000000031</v>
      </c>
    </row>
    <row r="48" spans="1:3">
      <c r="A48" s="12" t="s">
        <v>73</v>
      </c>
      <c r="B48" s="16">
        <v>0.05</v>
      </c>
      <c r="C48" s="13">
        <f t="shared" si="2"/>
        <v>0.90000000000000036</v>
      </c>
    </row>
    <row r="49" spans="1:3">
      <c r="A49" s="12" t="s">
        <v>74</v>
      </c>
      <c r="B49" s="16">
        <v>0.05</v>
      </c>
      <c r="C49" s="13">
        <f t="shared" si="2"/>
        <v>0.9500000000000004</v>
      </c>
    </row>
    <row r="50" spans="1:3">
      <c r="A50" s="15" t="s">
        <v>17</v>
      </c>
      <c r="B50" s="16">
        <v>0.05</v>
      </c>
      <c r="C50" s="13">
        <f t="shared" si="2"/>
        <v>1.0000000000000004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Données NH REHAB</vt:lpstr>
      <vt:lpstr>Données opérations REHAB</vt:lpstr>
      <vt:lpstr>Données NH NEUF</vt:lpstr>
      <vt:lpstr>Données opérations NEUVES</vt:lpstr>
      <vt:lpstr>Listes</vt:lpstr>
      <vt:lpstr>Avancement</vt:lpstr>
      <vt:lpstr>Avancement_Propre</vt:lpstr>
      <vt:lpstr>Avancement_VEFA</vt:lpstr>
      <vt:lpstr>Cumul_avancement</vt:lpstr>
      <vt:lpstr>Liste_RO</vt:lpstr>
      <vt:lpstr>Phases</vt:lpstr>
      <vt:lpstr>'Données opérations REHAB'!Zone_d_impression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2021-11-16T16:07:31Z</dcterms:created>
  <dcterms:modified xsi:type="dcterms:W3CDTF">2021-11-18T12:44:11Z</dcterms:modified>
</cp:coreProperties>
</file>