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FD1099F3-205B-4BCB-998B-440F0FF8EC0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onnées initiales" sheetId="1" r:id="rId1"/>
    <sheet name="STAT REHAB" sheetId="45" r:id="rId2"/>
  </sheets>
  <externalReferences>
    <externalReference r:id="rId3"/>
  </externalReferences>
  <definedNames>
    <definedName name="_xlnm._FilterDatabase" localSheetId="0" hidden="1">'Données initiales'!$A$1:$BW$36</definedName>
    <definedName name="Communes">#REF!</definedName>
    <definedName name="Delib">[1]Données!$H$2:$H$43</definedName>
    <definedName name="Garant">[1]Données!$B$2:$B$43</definedName>
    <definedName name="Liste_Ass">#REF!</definedName>
    <definedName name="ListeRO">#REF!</definedName>
    <definedName name="Moyenne">[1]Données!$K$2:$K$43</definedName>
    <definedName name="Phases">#REF!</definedName>
    <definedName name="_xlnm.Print_Area" localSheetId="0">'Données initiales'!$A$1:$CH$133</definedName>
  </definedNames>
  <calcPr calcId="191029"/>
  <pivotCaches>
    <pivotCache cacheId="3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V2" i="1" l="1"/>
  <c r="BV3" i="1"/>
  <c r="AF16" i="1" l="1"/>
  <c r="AF14" i="1"/>
  <c r="AF13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1" i="1"/>
  <c r="T22" i="1"/>
  <c r="T23" i="1"/>
  <c r="T24" i="1"/>
  <c r="T20" i="1"/>
  <c r="T25" i="1"/>
  <c r="AA37" i="1"/>
  <c r="AF12" i="1"/>
  <c r="AW37" i="1" l="1"/>
  <c r="BO37" i="1" l="1"/>
  <c r="AN10" i="1" l="1"/>
  <c r="AN6" i="1"/>
  <c r="AN7" i="1"/>
  <c r="AN9" i="1"/>
  <c r="AN3" i="1"/>
  <c r="AN12" i="1"/>
  <c r="AN13" i="1"/>
  <c r="AN14" i="1"/>
  <c r="AN15" i="1"/>
  <c r="AN16" i="1"/>
  <c r="AN8" i="1"/>
  <c r="AN17" i="1"/>
  <c r="AN18" i="1"/>
  <c r="AN11" i="1"/>
  <c r="AN19" i="1"/>
  <c r="AN20" i="1"/>
  <c r="AN21" i="1"/>
  <c r="AN33" i="1"/>
  <c r="AN22" i="1"/>
  <c r="AN34" i="1"/>
  <c r="AN31" i="1"/>
  <c r="AK35" i="1"/>
  <c r="AM35" i="1"/>
  <c r="AK36" i="1"/>
  <c r="AM36" i="1"/>
  <c r="AP37" i="1" l="1"/>
  <c r="AL37" i="1"/>
  <c r="AI37" i="1"/>
  <c r="AE37" i="1"/>
  <c r="AB37" i="1"/>
  <c r="R37" i="1"/>
  <c r="I37" i="1"/>
  <c r="H37" i="1"/>
  <c r="F37" i="1"/>
  <c r="C37" i="1"/>
  <c r="D30" i="1" l="1"/>
  <c r="D31" i="1"/>
  <c r="L31" i="1" s="1"/>
  <c r="N30" i="1"/>
  <c r="AY30" i="1" s="1"/>
  <c r="U30" i="1"/>
  <c r="T30" i="1" s="1"/>
  <c r="BE30" i="1"/>
  <c r="BU30" i="1"/>
  <c r="N31" i="1"/>
  <c r="AZ31" i="1" s="1"/>
  <c r="U31" i="1"/>
  <c r="T31" i="1" s="1"/>
  <c r="BE31" i="1"/>
  <c r="BU31" i="1"/>
  <c r="L30" i="1" l="1"/>
  <c r="AS30" i="1" s="1"/>
  <c r="AK31" i="1"/>
  <c r="AM31" i="1"/>
  <c r="BF30" i="1"/>
  <c r="BV30" i="1" s="1"/>
  <c r="BF31" i="1"/>
  <c r="BV31" i="1" s="1"/>
  <c r="BW31" i="1" s="1"/>
  <c r="AY31" i="1"/>
  <c r="AZ30" i="1"/>
  <c r="S31" i="1"/>
  <c r="S30" i="1"/>
  <c r="X30" i="1"/>
  <c r="AS31" i="1"/>
  <c r="AC31" i="1"/>
  <c r="M31" i="1"/>
  <c r="X31" i="1"/>
  <c r="P31" i="1"/>
  <c r="AT31" i="1"/>
  <c r="O31" i="1"/>
  <c r="BW30" i="1" l="1"/>
  <c r="AU31" i="1"/>
  <c r="AV31" i="1" s="1"/>
  <c r="AT30" i="1"/>
  <c r="AU30" i="1" s="1"/>
  <c r="AV30" i="1" s="1"/>
  <c r="O30" i="1"/>
  <c r="AC30" i="1"/>
  <c r="M30" i="1"/>
  <c r="P30" i="1"/>
  <c r="L13" i="1" l="1"/>
  <c r="Z4" i="1" l="1"/>
  <c r="Z5" i="1" l="1"/>
  <c r="Z11" i="1" l="1"/>
  <c r="D32" i="1" l="1"/>
  <c r="N32" i="1"/>
  <c r="AY32" i="1" s="1"/>
  <c r="U32" i="1"/>
  <c r="T32" i="1" s="1"/>
  <c r="BE32" i="1"/>
  <c r="BU32" i="1"/>
  <c r="S32" i="1" l="1"/>
  <c r="L32" i="1"/>
  <c r="AS32" i="1" s="1"/>
  <c r="BF32" i="1"/>
  <c r="BV32" i="1" s="1"/>
  <c r="AZ32" i="1"/>
  <c r="X32" i="1"/>
  <c r="BW32" i="1" l="1"/>
  <c r="AC32" i="1"/>
  <c r="M32" i="1"/>
  <c r="P32" i="1"/>
  <c r="O32" i="1"/>
  <c r="AT32" i="1"/>
  <c r="AU32" i="1" s="1"/>
  <c r="AV32" i="1" s="1"/>
  <c r="D25" i="1" l="1"/>
  <c r="N25" i="1"/>
  <c r="AZ25" i="1" s="1"/>
  <c r="L25" i="1"/>
  <c r="AS25" i="1" s="1"/>
  <c r="BE25" i="1"/>
  <c r="BU25" i="1"/>
  <c r="BF25" i="1" l="1"/>
  <c r="BV25" i="1" s="1"/>
  <c r="BW25" i="1" s="1"/>
  <c r="AY25" i="1"/>
  <c r="S25" i="1"/>
  <c r="X25" i="1"/>
  <c r="AC25" i="1"/>
  <c r="P25" i="1"/>
  <c r="AT25" i="1"/>
  <c r="O25" i="1"/>
  <c r="M25" i="1"/>
  <c r="AU25" i="1" l="1"/>
  <c r="AV25" i="1" s="1"/>
  <c r="Y37" i="1" l="1"/>
  <c r="AD37" i="1" l="1"/>
  <c r="D2" i="1" l="1"/>
  <c r="E2" i="1" s="1"/>
  <c r="D10" i="1"/>
  <c r="D6" i="1"/>
  <c r="D7" i="1"/>
  <c r="D9" i="1"/>
  <c r="D3" i="1"/>
  <c r="D12" i="1"/>
  <c r="D16" i="1"/>
  <c r="D13" i="1"/>
  <c r="D14" i="1"/>
  <c r="D8" i="1"/>
  <c r="D5" i="1"/>
  <c r="D11" i="1"/>
  <c r="D17" i="1"/>
  <c r="D15" i="1"/>
  <c r="D18" i="1"/>
  <c r="D4" i="1"/>
  <c r="BE2" i="1"/>
  <c r="BE10" i="1"/>
  <c r="BE6" i="1"/>
  <c r="BE7" i="1"/>
  <c r="BE3" i="1"/>
  <c r="BE8" i="1"/>
  <c r="BE5" i="1"/>
  <c r="BE4" i="1"/>
  <c r="BE9" i="1"/>
  <c r="BE11" i="1"/>
  <c r="BE12" i="1"/>
  <c r="BE16" i="1"/>
  <c r="BE13" i="1"/>
  <c r="BE14" i="1"/>
  <c r="BE17" i="1"/>
  <c r="BE19" i="1"/>
  <c r="BE20" i="1"/>
  <c r="BE21" i="1"/>
  <c r="BE22" i="1"/>
  <c r="BE23" i="1"/>
  <c r="BE24" i="1"/>
  <c r="BE15" i="1"/>
  <c r="BE18" i="1"/>
  <c r="BE27" i="1"/>
  <c r="BE33" i="1"/>
  <c r="BE34" i="1"/>
  <c r="BE26" i="1"/>
  <c r="BE28" i="1"/>
  <c r="BE29" i="1"/>
  <c r="BE35" i="1"/>
  <c r="BE36" i="1"/>
  <c r="N35" i="1"/>
  <c r="S35" i="1"/>
  <c r="U35" i="1"/>
  <c r="N36" i="1"/>
  <c r="S36" i="1"/>
  <c r="U36" i="1"/>
  <c r="N2" i="1"/>
  <c r="N7" i="1"/>
  <c r="N8" i="1"/>
  <c r="N5" i="1"/>
  <c r="N10" i="1"/>
  <c r="N11" i="1"/>
  <c r="N4" i="1"/>
  <c r="N12" i="1"/>
  <c r="N16" i="1"/>
  <c r="N13" i="1"/>
  <c r="N14" i="1"/>
  <c r="N17" i="1"/>
  <c r="N15" i="1"/>
  <c r="N18" i="1"/>
  <c r="N19" i="1"/>
  <c r="N20" i="1"/>
  <c r="N21" i="1"/>
  <c r="N22" i="1"/>
  <c r="N23" i="1"/>
  <c r="N24" i="1"/>
  <c r="N27" i="1"/>
  <c r="N33" i="1"/>
  <c r="N34" i="1"/>
  <c r="N26" i="1"/>
  <c r="N29" i="1"/>
  <c r="N28" i="1"/>
  <c r="U28" i="1"/>
  <c r="T28" i="1" s="1"/>
  <c r="D28" i="1"/>
  <c r="L28" i="1" s="1"/>
  <c r="L2" i="1"/>
  <c r="L8" i="1"/>
  <c r="L7" i="1"/>
  <c r="L9" i="1"/>
  <c r="L4" i="1"/>
  <c r="AN4" i="1" s="1"/>
  <c r="L10" i="1"/>
  <c r="L11" i="1"/>
  <c r="L12" i="1"/>
  <c r="L16" i="1"/>
  <c r="L14" i="1"/>
  <c r="L17" i="1"/>
  <c r="L15" i="1"/>
  <c r="L18" i="1"/>
  <c r="N9" i="1"/>
  <c r="AF3" i="1"/>
  <c r="N3" i="1" s="1"/>
  <c r="D19" i="1"/>
  <c r="D20" i="1"/>
  <c r="D21" i="1"/>
  <c r="D22" i="1"/>
  <c r="D23" i="1"/>
  <c r="D24" i="1"/>
  <c r="D27" i="1"/>
  <c r="L27" i="1" s="1"/>
  <c r="D33" i="1"/>
  <c r="L33" i="1" s="1"/>
  <c r="D34" i="1"/>
  <c r="L34" i="1" s="1"/>
  <c r="D26" i="1"/>
  <c r="L26" i="1" s="1"/>
  <c r="D29" i="1"/>
  <c r="L29" i="1" s="1"/>
  <c r="U33" i="1"/>
  <c r="T33" i="1" s="1"/>
  <c r="U27" i="1"/>
  <c r="T27" i="1" s="1"/>
  <c r="U29" i="1"/>
  <c r="T29" i="1" s="1"/>
  <c r="U34" i="1"/>
  <c r="T34" i="1" s="1"/>
  <c r="U26" i="1"/>
  <c r="T26" i="1" s="1"/>
  <c r="L23" i="1"/>
  <c r="AN23" i="1" s="1"/>
  <c r="L21" i="1"/>
  <c r="L24" i="1"/>
  <c r="AN24" i="1" s="1"/>
  <c r="AO37" i="1"/>
  <c r="AN5" i="1"/>
  <c r="AN2" i="1"/>
  <c r="AH15" i="1"/>
  <c r="AG7" i="1"/>
  <c r="X10" i="1"/>
  <c r="L19" i="1"/>
  <c r="L20" i="1"/>
  <c r="L22" i="1"/>
  <c r="AX37" i="1" l="1"/>
  <c r="X35" i="1"/>
  <c r="T35" i="1"/>
  <c r="X36" i="1"/>
  <c r="T36" i="1"/>
  <c r="L36" i="1" s="1"/>
  <c r="AN36" i="1" s="1"/>
  <c r="X12" i="1"/>
  <c r="AK12" i="1"/>
  <c r="AM12" i="1"/>
  <c r="AK24" i="1"/>
  <c r="AM24" i="1"/>
  <c r="E17" i="1"/>
  <c r="AK17" i="1"/>
  <c r="AM17" i="1"/>
  <c r="E3" i="1"/>
  <c r="AM3" i="1"/>
  <c r="AK3" i="1"/>
  <c r="E6" i="1"/>
  <c r="AK6" i="1"/>
  <c r="AM6" i="1"/>
  <c r="AM19" i="1"/>
  <c r="AK19" i="1"/>
  <c r="AK23" i="1"/>
  <c r="AM23" i="1"/>
  <c r="E11" i="1"/>
  <c r="AK11" i="1"/>
  <c r="AM11" i="1"/>
  <c r="E8" i="1"/>
  <c r="AK8" i="1"/>
  <c r="AM8" i="1"/>
  <c r="AM22" i="1"/>
  <c r="AK22" i="1"/>
  <c r="E14" i="1"/>
  <c r="AK14" i="1"/>
  <c r="AM14" i="1"/>
  <c r="E9" i="1"/>
  <c r="AK9" i="1"/>
  <c r="AM9" i="1"/>
  <c r="AM34" i="1"/>
  <c r="AK34" i="1"/>
  <c r="AM29" i="1"/>
  <c r="AK29" i="1"/>
  <c r="AK21" i="1"/>
  <c r="AM21" i="1"/>
  <c r="E18" i="1"/>
  <c r="AK18" i="1"/>
  <c r="AM18" i="1"/>
  <c r="E13" i="1"/>
  <c r="AM13" i="1"/>
  <c r="AK13" i="1"/>
  <c r="AK26" i="1"/>
  <c r="AM26" i="1"/>
  <c r="AK20" i="1"/>
  <c r="AM20" i="1"/>
  <c r="E15" i="1"/>
  <c r="AK15" i="1"/>
  <c r="AM15" i="1"/>
  <c r="E16" i="1"/>
  <c r="AM16" i="1"/>
  <c r="AK16" i="1"/>
  <c r="E10" i="1"/>
  <c r="AM10" i="1"/>
  <c r="AK10" i="1"/>
  <c r="E7" i="1"/>
  <c r="AK7" i="1"/>
  <c r="AM7" i="1"/>
  <c r="S33" i="1"/>
  <c r="AK33" i="1"/>
  <c r="AM33" i="1"/>
  <c r="E4" i="1"/>
  <c r="AK4" i="1"/>
  <c r="AM4" i="1"/>
  <c r="N6" i="1"/>
  <c r="AY6" i="1" s="1"/>
  <c r="AF37" i="1"/>
  <c r="G37" i="1"/>
  <c r="AR37" i="1"/>
  <c r="AQ37" i="1"/>
  <c r="BV11" i="1"/>
  <c r="BW11" i="1" s="1"/>
  <c r="BF19" i="1"/>
  <c r="BV19" i="1" s="1"/>
  <c r="BW19" i="1" s="1"/>
  <c r="BV9" i="1"/>
  <c r="BW9" i="1" s="1"/>
  <c r="BV18" i="1"/>
  <c r="BW18" i="1" s="1"/>
  <c r="BV17" i="1"/>
  <c r="BW17" i="1" s="1"/>
  <c r="BV4" i="1"/>
  <c r="BW4" i="1" s="1"/>
  <c r="BV8" i="1"/>
  <c r="BW8" i="1" s="1"/>
  <c r="BF36" i="1"/>
  <c r="BV36" i="1" s="1"/>
  <c r="BF29" i="1"/>
  <c r="BV29" i="1" s="1"/>
  <c r="BW29" i="1" s="1"/>
  <c r="BV15" i="1"/>
  <c r="BW15" i="1" s="1"/>
  <c r="BV14" i="1"/>
  <c r="BW14" i="1" s="1"/>
  <c r="BW2" i="1"/>
  <c r="BF27" i="1"/>
  <c r="BV27" i="1" s="1"/>
  <c r="BW27" i="1" s="1"/>
  <c r="BF28" i="1"/>
  <c r="BV28" i="1" s="1"/>
  <c r="BW28" i="1" s="1"/>
  <c r="BF24" i="1"/>
  <c r="BV24" i="1" s="1"/>
  <c r="BW24" i="1" s="1"/>
  <c r="BV13" i="1"/>
  <c r="BW13" i="1" s="1"/>
  <c r="BV6" i="1"/>
  <c r="BF20" i="1"/>
  <c r="BV20" i="1" s="1"/>
  <c r="BW20" i="1" s="1"/>
  <c r="BF35" i="1"/>
  <c r="BV35" i="1" s="1"/>
  <c r="BF26" i="1"/>
  <c r="BV26" i="1" s="1"/>
  <c r="BW26" i="1" s="1"/>
  <c r="BF23" i="1"/>
  <c r="BV23" i="1" s="1"/>
  <c r="BW23" i="1" s="1"/>
  <c r="BV16" i="1"/>
  <c r="BW16" i="1" s="1"/>
  <c r="BV7" i="1"/>
  <c r="BW7" i="1" s="1"/>
  <c r="BF34" i="1"/>
  <c r="BV34" i="1" s="1"/>
  <c r="BW34" i="1" s="1"/>
  <c r="BF22" i="1"/>
  <c r="BV22" i="1" s="1"/>
  <c r="BW22" i="1" s="1"/>
  <c r="BV12" i="1"/>
  <c r="BW12" i="1" s="1"/>
  <c r="BF33" i="1"/>
  <c r="BV33" i="1" s="1"/>
  <c r="BW33" i="1" s="1"/>
  <c r="BF21" i="1"/>
  <c r="BV21" i="1" s="1"/>
  <c r="BW21" i="1" s="1"/>
  <c r="BV5" i="1"/>
  <c r="BV10" i="1"/>
  <c r="BW10" i="1" s="1"/>
  <c r="S19" i="1"/>
  <c r="AG19" i="1"/>
  <c r="AH19" i="1"/>
  <c r="X20" i="1"/>
  <c r="AG20" i="1"/>
  <c r="AH20" i="1"/>
  <c r="S24" i="1"/>
  <c r="AG24" i="1"/>
  <c r="AH24" i="1"/>
  <c r="S23" i="1"/>
  <c r="AG23" i="1"/>
  <c r="AH23" i="1"/>
  <c r="AH22" i="1"/>
  <c r="AG22" i="1"/>
  <c r="AH21" i="1"/>
  <c r="AG21" i="1"/>
  <c r="AG5" i="1"/>
  <c r="L5" i="1"/>
  <c r="AC5" i="1" s="1"/>
  <c r="AH2" i="1"/>
  <c r="AG2" i="1"/>
  <c r="L6" i="1"/>
  <c r="L3" i="1"/>
  <c r="BW3" i="1" s="1"/>
  <c r="AZ29" i="1"/>
  <c r="AZ14" i="1"/>
  <c r="AZ5" i="1"/>
  <c r="AY35" i="1"/>
  <c r="AY9" i="1"/>
  <c r="AZ15" i="1"/>
  <c r="AY13" i="1"/>
  <c r="AZ11" i="1"/>
  <c r="AY26" i="1"/>
  <c r="AZ17" i="1"/>
  <c r="AY16" i="1"/>
  <c r="AY8" i="1"/>
  <c r="AY36" i="1"/>
  <c r="AY3" i="1"/>
  <c r="AZ34" i="1"/>
  <c r="AZ12" i="1"/>
  <c r="AZ33" i="1"/>
  <c r="AY7" i="1"/>
  <c r="AY10" i="1"/>
  <c r="AZ2" i="1"/>
  <c r="AZ27" i="1"/>
  <c r="AZ4" i="1"/>
  <c r="X2" i="1"/>
  <c r="S2" i="1"/>
  <c r="AG9" i="1"/>
  <c r="S14" i="1"/>
  <c r="AH9" i="1"/>
  <c r="AM2" i="1"/>
  <c r="X9" i="1"/>
  <c r="AG14" i="1"/>
  <c r="AH14" i="1"/>
  <c r="X14" i="1"/>
  <c r="AK2" i="1"/>
  <c r="S9" i="1"/>
  <c r="AH7" i="1"/>
  <c r="X7" i="1"/>
  <c r="AH4" i="1"/>
  <c r="S7" i="1"/>
  <c r="AG12" i="1"/>
  <c r="S12" i="1"/>
  <c r="E5" i="1"/>
  <c r="AM5" i="1"/>
  <c r="E12" i="1"/>
  <c r="AH12" i="1"/>
  <c r="AK5" i="1"/>
  <c r="S5" i="1"/>
  <c r="AH5" i="1"/>
  <c r="X5" i="1"/>
  <c r="AH11" i="1"/>
  <c r="AG8" i="1"/>
  <c r="AH8" i="1"/>
  <c r="S11" i="1"/>
  <c r="S6" i="1"/>
  <c r="X11" i="1"/>
  <c r="S8" i="1"/>
  <c r="X8" i="1"/>
  <c r="AG11" i="1"/>
  <c r="X6" i="1"/>
  <c r="AH3" i="1"/>
  <c r="X3" i="1"/>
  <c r="AH17" i="1"/>
  <c r="S3" i="1"/>
  <c r="AG17" i="1"/>
  <c r="AH6" i="1"/>
  <c r="S17" i="1"/>
  <c r="AG6" i="1"/>
  <c r="AG3" i="1"/>
  <c r="X17" i="1"/>
  <c r="AG15" i="1"/>
  <c r="S15" i="1"/>
  <c r="AG10" i="1"/>
  <c r="X16" i="1"/>
  <c r="X15" i="1"/>
  <c r="AH10" i="1"/>
  <c r="S4" i="1"/>
  <c r="AG16" i="1"/>
  <c r="AH16" i="1"/>
  <c r="S16" i="1"/>
  <c r="AY14" i="1"/>
  <c r="X4" i="1"/>
  <c r="AG4" i="1"/>
  <c r="S10" i="1"/>
  <c r="P4" i="1"/>
  <c r="AY33" i="1"/>
  <c r="AY12" i="1"/>
  <c r="M20" i="1"/>
  <c r="AH18" i="1"/>
  <c r="AG18" i="1"/>
  <c r="AZ3" i="1"/>
  <c r="AY5" i="1"/>
  <c r="AZ13" i="1"/>
  <c r="AY29" i="1"/>
  <c r="AH13" i="1"/>
  <c r="S13" i="1"/>
  <c r="S18" i="1"/>
  <c r="AY11" i="1"/>
  <c r="AZ26" i="1"/>
  <c r="AY15" i="1"/>
  <c r="O22" i="1"/>
  <c r="AG13" i="1"/>
  <c r="X18" i="1"/>
  <c r="P15" i="1"/>
  <c r="AZ8" i="1"/>
  <c r="X33" i="1"/>
  <c r="AY17" i="1"/>
  <c r="AZ9" i="1"/>
  <c r="X19" i="1"/>
  <c r="S29" i="1"/>
  <c r="AZ16" i="1"/>
  <c r="AY34" i="1"/>
  <c r="X13" i="1"/>
  <c r="AY2" i="1"/>
  <c r="AZ10" i="1"/>
  <c r="AZ7" i="1"/>
  <c r="AY27" i="1"/>
  <c r="X23" i="1"/>
  <c r="S21" i="1"/>
  <c r="X21" i="1"/>
  <c r="AY4" i="1"/>
  <c r="AU19" i="1"/>
  <c r="AV19" i="1" s="1"/>
  <c r="X27" i="1"/>
  <c r="X24" i="1"/>
  <c r="S20" i="1"/>
  <c r="S26" i="1"/>
  <c r="AY28" i="1"/>
  <c r="AZ28" i="1"/>
  <c r="AN26" i="1"/>
  <c r="X26" i="1"/>
  <c r="AZ36" i="1"/>
  <c r="P16" i="1"/>
  <c r="X34" i="1"/>
  <c r="AN29" i="1"/>
  <c r="X29" i="1"/>
  <c r="S22" i="1"/>
  <c r="X22" i="1"/>
  <c r="AZ18" i="1"/>
  <c r="AY18" i="1"/>
  <c r="AC4" i="1"/>
  <c r="L35" i="1"/>
  <c r="AN35" i="1" s="1"/>
  <c r="S34" i="1"/>
  <c r="S27" i="1"/>
  <c r="S28" i="1"/>
  <c r="X28" i="1"/>
  <c r="AZ35" i="1"/>
  <c r="BW36" i="1" l="1"/>
  <c r="BW6" i="1"/>
  <c r="BW35" i="1"/>
  <c r="BW5" i="1"/>
  <c r="AZ6" i="1"/>
  <c r="W37" i="1"/>
  <c r="D37" i="1"/>
  <c r="C39" i="1" s="1"/>
  <c r="Q37" i="1"/>
  <c r="Z37" i="1"/>
  <c r="V37" i="1"/>
  <c r="AC33" i="1"/>
  <c r="M22" i="1"/>
  <c r="AS33" i="1"/>
  <c r="AC19" i="1"/>
  <c r="O33" i="1"/>
  <c r="P33" i="1"/>
  <c r="M33" i="1"/>
  <c r="AT33" i="1"/>
  <c r="AU33" i="1" s="1"/>
  <c r="AV33" i="1" s="1"/>
  <c r="O19" i="1"/>
  <c r="P13" i="1"/>
  <c r="M19" i="1"/>
  <c r="AS4" i="1"/>
  <c r="O16" i="1"/>
  <c r="AC20" i="1"/>
  <c r="O4" i="1"/>
  <c r="P17" i="1"/>
  <c r="O17" i="1"/>
  <c r="P20" i="1"/>
  <c r="O20" i="1"/>
  <c r="AT4" i="1"/>
  <c r="AC16" i="1"/>
  <c r="AT15" i="1"/>
  <c r="AU15" i="1" s="1"/>
  <c r="AV15" i="1" s="1"/>
  <c r="AS28" i="1"/>
  <c r="AT28" i="1"/>
  <c r="O15" i="1"/>
  <c r="AS15" i="1"/>
  <c r="O9" i="1"/>
  <c r="P27" i="1"/>
  <c r="AC15" i="1"/>
  <c r="P7" i="1"/>
  <c r="AS27" i="1"/>
  <c r="AC27" i="1"/>
  <c r="O27" i="1"/>
  <c r="M27" i="1"/>
  <c r="AU20" i="1"/>
  <c r="AV20" i="1" s="1"/>
  <c r="P22" i="1"/>
  <c r="AC22" i="1"/>
  <c r="AC28" i="1"/>
  <c r="AT27" i="1"/>
  <c r="P28" i="1"/>
  <c r="M28" i="1"/>
  <c r="O28" i="1"/>
  <c r="P19" i="1"/>
  <c r="AS17" i="1"/>
  <c r="AC17" i="1"/>
  <c r="AT17" i="1"/>
  <c r="AU17" i="1" s="1"/>
  <c r="AV17" i="1" s="1"/>
  <c r="AC7" i="1"/>
  <c r="P24" i="1"/>
  <c r="AC24" i="1"/>
  <c r="AT7" i="1"/>
  <c r="AU7" i="1" s="1"/>
  <c r="AV7" i="1" s="1"/>
  <c r="AS7" i="1"/>
  <c r="O24" i="1"/>
  <c r="P5" i="1"/>
  <c r="M24" i="1"/>
  <c r="O7" i="1"/>
  <c r="AT9" i="1"/>
  <c r="AU9" i="1" s="1"/>
  <c r="AV9" i="1" s="1"/>
  <c r="AS9" i="1"/>
  <c r="AC9" i="1"/>
  <c r="P9" i="1"/>
  <c r="AS5" i="1"/>
  <c r="AT5" i="1"/>
  <c r="AU5" i="1" s="1"/>
  <c r="AV5" i="1" s="1"/>
  <c r="O5" i="1"/>
  <c r="AS13" i="1"/>
  <c r="O13" i="1"/>
  <c r="AT13" i="1"/>
  <c r="AU13" i="1" s="1"/>
  <c r="AV13" i="1" s="1"/>
  <c r="AC13" i="1"/>
  <c r="O18" i="1"/>
  <c r="AT18" i="1"/>
  <c r="AC18" i="1"/>
  <c r="AS18" i="1"/>
  <c r="P18" i="1"/>
  <c r="AS16" i="1"/>
  <c r="AT16" i="1"/>
  <c r="P26" i="1"/>
  <c r="AS26" i="1"/>
  <c r="AC26" i="1"/>
  <c r="O26" i="1"/>
  <c r="AT26" i="1"/>
  <c r="AU26" i="1" s="1"/>
  <c r="AV26" i="1" s="1"/>
  <c r="M26" i="1"/>
  <c r="P23" i="1"/>
  <c r="AC23" i="1"/>
  <c r="O23" i="1"/>
  <c r="M23" i="1"/>
  <c r="AU21" i="1"/>
  <c r="AV21" i="1" s="1"/>
  <c r="P35" i="1"/>
  <c r="O35" i="1"/>
  <c r="AS35" i="1"/>
  <c r="M35" i="1"/>
  <c r="AT35" i="1"/>
  <c r="AC35" i="1"/>
  <c r="AS2" i="1"/>
  <c r="P2" i="1"/>
  <c r="AT2" i="1"/>
  <c r="AU2" i="1" s="1"/>
  <c r="AV2" i="1" s="1"/>
  <c r="O2" i="1"/>
  <c r="AC2" i="1"/>
  <c r="AC10" i="1"/>
  <c r="P10" i="1"/>
  <c r="O10" i="1"/>
  <c r="AS10" i="1"/>
  <c r="AT10" i="1"/>
  <c r="AU10" i="1" s="1"/>
  <c r="AV10" i="1" s="1"/>
  <c r="AS3" i="1"/>
  <c r="P3" i="1"/>
  <c r="AT3" i="1"/>
  <c r="AU3" i="1" s="1"/>
  <c r="AV3" i="1" s="1"/>
  <c r="O3" i="1"/>
  <c r="AC3" i="1"/>
  <c r="AS34" i="1"/>
  <c r="AC34" i="1"/>
  <c r="O34" i="1"/>
  <c r="P34" i="1"/>
  <c r="AT34" i="1"/>
  <c r="M34" i="1"/>
  <c r="AU24" i="1"/>
  <c r="AV24" i="1" s="1"/>
  <c r="AT29" i="1"/>
  <c r="AC29" i="1"/>
  <c r="P29" i="1"/>
  <c r="O29" i="1"/>
  <c r="M29" i="1"/>
  <c r="AS29" i="1"/>
  <c r="P8" i="1"/>
  <c r="O8" i="1"/>
  <c r="AT8" i="1"/>
  <c r="AU8" i="1" s="1"/>
  <c r="AV8" i="1" s="1"/>
  <c r="AC8" i="1"/>
  <c r="AS8" i="1"/>
  <c r="AC14" i="1"/>
  <c r="AT14" i="1"/>
  <c r="AS14" i="1"/>
  <c r="P14" i="1"/>
  <c r="O14" i="1"/>
  <c r="AC36" i="1"/>
  <c r="O36" i="1"/>
  <c r="AS36" i="1"/>
  <c r="P36" i="1"/>
  <c r="AT36" i="1"/>
  <c r="M36" i="1"/>
  <c r="P6" i="1"/>
  <c r="AT6" i="1"/>
  <c r="AU6" i="1" s="1"/>
  <c r="AV6" i="1" s="1"/>
  <c r="AC6" i="1"/>
  <c r="AS6" i="1"/>
  <c r="O6" i="1"/>
  <c r="O21" i="1"/>
  <c r="AC21" i="1"/>
  <c r="M21" i="1"/>
  <c r="P21" i="1"/>
  <c r="AU23" i="1"/>
  <c r="AV23" i="1" s="1"/>
  <c r="AU22" i="1"/>
  <c r="AV22" i="1" s="1"/>
  <c r="O11" i="1"/>
  <c r="P11" i="1"/>
  <c r="AS11" i="1"/>
  <c r="AT11" i="1"/>
  <c r="AU11" i="1" s="1"/>
  <c r="AV11" i="1" s="1"/>
  <c r="AC11" i="1"/>
  <c r="P12" i="1"/>
  <c r="AS12" i="1"/>
  <c r="O12" i="1"/>
  <c r="AC12" i="1"/>
  <c r="AT12" i="1"/>
  <c r="S38" i="1" l="1"/>
  <c r="AU35" i="1"/>
  <c r="AV35" i="1" s="1"/>
  <c r="AU16" i="1"/>
  <c r="AV16" i="1" s="1"/>
  <c r="AU29" i="1"/>
  <c r="AV29" i="1" s="1"/>
  <c r="AU14" i="1"/>
  <c r="AV14" i="1" s="1"/>
  <c r="AU36" i="1"/>
  <c r="AV36" i="1" s="1"/>
  <c r="AU28" i="1"/>
  <c r="AV28" i="1" s="1"/>
  <c r="AU18" i="1"/>
  <c r="AV18" i="1" s="1"/>
  <c r="AU12" i="1"/>
  <c r="AV12" i="1" s="1"/>
  <c r="AU4" i="1"/>
  <c r="AV4" i="1" s="1"/>
  <c r="AU34" i="1"/>
  <c r="AV34" i="1" s="1"/>
  <c r="AU27" i="1"/>
  <c r="AV27" i="1" s="1"/>
  <c r="AJ37" i="1"/>
  <c r="AM37" i="1"/>
  <c r="E37" i="1"/>
  <c r="U37" i="1"/>
  <c r="N37" i="1"/>
  <c r="AY37" i="1"/>
  <c r="P38" i="1" l="1"/>
  <c r="L37" i="1"/>
  <c r="Q38" i="1" s="1"/>
  <c r="T37" i="1"/>
  <c r="T38" i="1" l="1"/>
  <c r="N38" i="1"/>
  <c r="AT37" i="1"/>
  <c r="M37" i="1"/>
  <c r="O38" i="1" s="1"/>
</calcChain>
</file>

<file path=xl/sharedStrings.xml><?xml version="1.0" encoding="utf-8"?>
<sst xmlns="http://schemas.openxmlformats.org/spreadsheetml/2006/main" count="190" uniqueCount="137">
  <si>
    <t>OPERATION</t>
  </si>
  <si>
    <t>N</t>
  </si>
  <si>
    <t>LLS</t>
  </si>
  <si>
    <t>LLTS</t>
  </si>
  <si>
    <t>CONSTRUCTION</t>
  </si>
  <si>
    <t>PRP /m² SF</t>
  </si>
  <si>
    <t>Prog</t>
  </si>
  <si>
    <t>Étiquettes de lignes</t>
  </si>
  <si>
    <t>Total général</t>
  </si>
  <si>
    <t>Somme de N</t>
  </si>
  <si>
    <t>Étiquettes de colonnes</t>
  </si>
  <si>
    <t xml:space="preserve">PRP TTC </t>
  </si>
  <si>
    <t xml:space="preserve">PRÊT </t>
  </si>
  <si>
    <t xml:space="preserve">LBU / lgt
</t>
  </si>
  <si>
    <t>Total</t>
  </si>
  <si>
    <t>CA SUD</t>
  </si>
  <si>
    <t>CIVIS</t>
  </si>
  <si>
    <t>FRAFU</t>
  </si>
  <si>
    <t>AIDES ETAT / lgt</t>
  </si>
  <si>
    <t>TYPE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</si>
  <si>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</si>
  <si>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</si>
  <si>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</si>
  <si>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</si>
  <si>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</si>
  <si>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</si>
  <si>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FONDS PROPRES CONSTRUCTION</t>
  </si>
  <si>
    <t>PRP FRAFU hors TVA résiduelle</t>
  </si>
  <si>
    <t>AUTRES SUBVENTIONS</t>
  </si>
  <si>
    <t>% LBU / PRP</t>
  </si>
  <si>
    <t>CESSION FONCIERE</t>
  </si>
  <si>
    <t>% AIDES PUBLIQUES</t>
  </si>
  <si>
    <t>CAF</t>
  </si>
  <si>
    <t xml:space="preserve">LBU </t>
  </si>
  <si>
    <t>LBU+Défisc/lgt</t>
  </si>
  <si>
    <t>OS démarrage</t>
  </si>
  <si>
    <t>HONORAIRES</t>
  </si>
  <si>
    <t>PLS</t>
  </si>
  <si>
    <t>Bougainvillées</t>
  </si>
  <si>
    <t>Rehab</t>
  </si>
  <si>
    <t>Caramboles</t>
  </si>
  <si>
    <t>Hubert Delisle</t>
  </si>
  <si>
    <t>Citronnelles</t>
  </si>
  <si>
    <t>Bras des Etangs</t>
  </si>
  <si>
    <t>La Cure</t>
  </si>
  <si>
    <t>Canal Lilis</t>
  </si>
  <si>
    <t>Poinsétias</t>
  </si>
  <si>
    <t>Bellevue A-B-C</t>
  </si>
  <si>
    <t>Casabianca</t>
  </si>
  <si>
    <t>Chemin Galet 1</t>
  </si>
  <si>
    <t>Chemin Galet 2</t>
  </si>
  <si>
    <t>La Cure 2</t>
  </si>
  <si>
    <t>Programmation</t>
  </si>
  <si>
    <t>REHAB</t>
  </si>
  <si>
    <t>ANNEE DEMARRAGE</t>
  </si>
  <si>
    <t xml:space="preserve">Somme de LBU </t>
  </si>
  <si>
    <t>PRÊT CREDIT D'IMPOT (PM)</t>
  </si>
  <si>
    <t>N hors REHAB</t>
  </si>
  <si>
    <t>TERRAIN</t>
  </si>
  <si>
    <t>CREDIT IMPOT ACTUEL</t>
  </si>
  <si>
    <t>DEPENSES COMPTABILISEES</t>
  </si>
  <si>
    <t>SUBVENTIONS TOTALES</t>
  </si>
  <si>
    <t>SUBVENTIONS COMPTABILISEES</t>
  </si>
  <si>
    <t>RESTE A DEPENSER</t>
  </si>
  <si>
    <t>SUBVENTIONS RESTANTES</t>
  </si>
  <si>
    <t>OBS</t>
  </si>
  <si>
    <t>SUB ETAT</t>
  </si>
  <si>
    <t>OS en  attente de délivrance</t>
  </si>
  <si>
    <t xml:space="preserve">PROGRAMMATION PAR BASSIN </t>
  </si>
  <si>
    <t>dont prix foncier</t>
  </si>
  <si>
    <t>GO</t>
  </si>
  <si>
    <t>HDE  (bardage / étanchéité / couverture)</t>
  </si>
  <si>
    <t>PRP TTC AVEC FRAFU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</si>
  <si>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</si>
  <si>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</si>
  <si>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</si>
  <si>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</si>
  <si>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</si>
  <si>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</si>
  <si>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</si>
  <si>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</si>
  <si>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</si>
  <si>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</si>
  <si>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</si>
  <si>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100 Marches</t>
  </si>
  <si>
    <t>REHABILITATION</t>
  </si>
  <si>
    <t>PRETS TOTAUX</t>
  </si>
  <si>
    <t>BERIVE</t>
  </si>
  <si>
    <t>Cr14</t>
  </si>
  <si>
    <t>% subventions</t>
  </si>
  <si>
    <t>FONCIER2</t>
  </si>
  <si>
    <t>VRD / Espaces verts</t>
  </si>
  <si>
    <t>TRAVAUX BATIS</t>
  </si>
  <si>
    <t>AUTRES FRAIS</t>
  </si>
  <si>
    <t>ELECTRICITE</t>
  </si>
  <si>
    <t>PLOMBERIE</t>
  </si>
  <si>
    <t>ECS</t>
  </si>
  <si>
    <t>ASCENSEUR</t>
  </si>
  <si>
    <t>METALLERIE</t>
  </si>
  <si>
    <t>MENUISERIES INTERIEURES</t>
  </si>
  <si>
    <t>CLOISONS</t>
  </si>
  <si>
    <t>PEINTURE</t>
  </si>
  <si>
    <t>SOLS SOUPLES</t>
  </si>
  <si>
    <t>MENUISERIES EXTERIEURES</t>
  </si>
  <si>
    <t>CARRELAGE</t>
  </si>
  <si>
    <t>Orchidées 1</t>
  </si>
  <si>
    <t>Choka Bleu</t>
  </si>
  <si>
    <t xml:space="preserve">Somme de PRP TTC </t>
  </si>
  <si>
    <t>La Chapelle</t>
  </si>
  <si>
    <t>Benjoins 1</t>
  </si>
  <si>
    <t>Baies Roses</t>
  </si>
  <si>
    <t>Les Remparts</t>
  </si>
  <si>
    <t>Don Juan 2</t>
  </si>
  <si>
    <t>PRETS COMPTABILISES</t>
  </si>
  <si>
    <t>% AVANCEMENT dépenses</t>
  </si>
  <si>
    <t>% dépenses à fin 2021</t>
  </si>
  <si>
    <t>31/12/21</t>
  </si>
  <si>
    <t>PRÊT ACL</t>
  </si>
  <si>
    <t>PRÊT COMPLEMENTAIRE BOOSTER</t>
  </si>
  <si>
    <t xml:space="preserve">PHB 2.0 </t>
  </si>
  <si>
    <t>TOTAL TRAVAUX</t>
  </si>
  <si>
    <t>TOTAL PRP TTC</t>
  </si>
  <si>
    <t>Valeurs</t>
  </si>
  <si>
    <t>Coût total €</t>
  </si>
  <si>
    <t>Dont Coût bâtiment €</t>
  </si>
  <si>
    <t>Dont Coût honoraires €</t>
  </si>
  <si>
    <t xml:space="preserve"> LBU </t>
  </si>
  <si>
    <t>Nbre de lgts</t>
  </si>
  <si>
    <t>DECOMPOSITION DES COUTS ET FINANCEMENTS (par année OS)</t>
  </si>
  <si>
    <t>Nbre d'opés</t>
  </si>
  <si>
    <t>Coût Bât / lgt</t>
  </si>
  <si>
    <t>Coût Honoraires / lgt</t>
  </si>
  <si>
    <t>Coût Total / lgt</t>
  </si>
  <si>
    <t>Total LBU/lgt</t>
  </si>
  <si>
    <t>% Bâtiment / Coût Total</t>
  </si>
  <si>
    <t>% LBU/coût total</t>
  </si>
  <si>
    <t>% honoraires / Coût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</si>
</sst>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1" formatCode="[$-40C]mmm\-yy;@"/>
    <numFmt numFmtId="194" formatCode="#,##0_ ;\-#,##0\ "/>
    <numFmt numFmtId="202" formatCode="&quot;RESTE A DEPENSER JUSQU'AU&quot;\ dd/mm/yy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505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sz val="10"/>
      <name val="Arial"/>
      <family val="2"/>
    </font>
    <font>
      <b/>
      <i/>
      <sz val="12"/>
      <name val="Verdana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9" fontId="6" fillId="0" borderId="0" applyFont="0" applyFill="0" applyBorder="0" applyAlignment="0" applyProtection="0"/>
    <xf numFmtId="0" fontId="6" fillId="0" borderId="0">
      <alignment vertical="center"/>
    </xf>
    <xf numFmtId="0" fontId="11" fillId="0" borderId="0"/>
    <xf numFmtId="9" fontId="12" fillId="0" borderId="0" applyFont="0" applyFill="0" applyBorder="0" applyAlignment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4" fillId="0" borderId="0" applyNumberFormat="0" applyBorder="0" applyProtection="0"/>
    <xf numFmtId="0" fontId="16" fillId="0" borderId="0">
      <alignment vertical="center"/>
    </xf>
    <xf numFmtId="165" fontId="1" fillId="0" borderId="0" applyFont="0" applyFill="0" applyBorder="0" applyAlignment="0" applyProtection="0"/>
    <xf numFmtId="0" fontId="6" fillId="0" borderId="0"/>
  </cellStyleXfs>
  <cellXfs count="15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7" fontId="0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3" fontId="0" fillId="0" borderId="0" xfId="0" applyNumberFormat="1"/>
    <xf numFmtId="0" fontId="0" fillId="0" borderId="0" xfId="0" applyNumberFormat="1"/>
    <xf numFmtId="9" fontId="0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4" fillId="3" borderId="1" xfId="2" applyFont="1" applyFill="1" applyBorder="1" applyAlignment="1">
      <alignment horizontal="center" vertical="center" wrapText="1"/>
    </xf>
    <xf numFmtId="0" fontId="3" fillId="0" borderId="0" xfId="0" applyFont="1"/>
    <xf numFmtId="167" fontId="0" fillId="7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167" fontId="0" fillId="3" borderId="2" xfId="0" applyNumberFormat="1" applyFont="1" applyFill="1" applyBorder="1" applyAlignment="1">
      <alignment horizontal="center" vertical="center"/>
    </xf>
    <xf numFmtId="167" fontId="4" fillId="3" borderId="2" xfId="0" applyNumberFormat="1" applyFont="1" applyFill="1" applyBorder="1" applyAlignment="1">
      <alignment horizontal="center" vertical="center"/>
    </xf>
    <xf numFmtId="167" fontId="0" fillId="4" borderId="2" xfId="0" applyNumberFormat="1" applyFont="1" applyFill="1" applyBorder="1" applyAlignment="1">
      <alignment horizontal="center" vertical="center"/>
    </xf>
    <xf numFmtId="9" fontId="4" fillId="3" borderId="2" xfId="2" applyFont="1" applyFill="1" applyBorder="1" applyAlignment="1">
      <alignment horizontal="center" vertical="center" wrapText="1"/>
    </xf>
    <xf numFmtId="165" fontId="4" fillId="10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/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1" fontId="0" fillId="2" borderId="2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1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166" fontId="0" fillId="12" borderId="5" xfId="0" applyNumberFormat="1" applyFont="1" applyFill="1" applyBorder="1" applyAlignment="1">
      <alignment horizontal="center" vertical="center"/>
    </xf>
    <xf numFmtId="167" fontId="0" fillId="5" borderId="2" xfId="0" applyNumberFormat="1" applyFont="1" applyFill="1" applyBorder="1" applyAlignment="1">
      <alignment horizontal="center" vertical="center"/>
    </xf>
    <xf numFmtId="165" fontId="4" fillId="5" borderId="2" xfId="1" applyFont="1" applyFill="1" applyBorder="1" applyAlignment="1">
      <alignment horizontal="center" vertical="center" wrapText="1"/>
    </xf>
    <xf numFmtId="166" fontId="4" fillId="12" borderId="5" xfId="0" applyNumberFormat="1" applyFont="1" applyFill="1" applyBorder="1" applyAlignment="1">
      <alignment horizontal="center" vertical="center"/>
    </xf>
    <xf numFmtId="0" fontId="4" fillId="12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14" borderId="4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3" fontId="15" fillId="6" borderId="1" xfId="1" applyNumberFormat="1" applyFont="1" applyFill="1" applyBorder="1" applyAlignment="1">
      <alignment horizontal="center" vertical="center" wrapText="1"/>
    </xf>
    <xf numFmtId="165" fontId="15" fillId="3" borderId="1" xfId="1" applyFont="1" applyFill="1" applyBorder="1" applyAlignment="1">
      <alignment horizontal="center" vertical="center" wrapText="1"/>
    </xf>
    <xf numFmtId="165" fontId="15" fillId="6" borderId="1" xfId="1" applyFont="1" applyFill="1" applyBorder="1" applyAlignment="1">
      <alignment horizontal="center" vertical="center" wrapText="1"/>
    </xf>
    <xf numFmtId="165" fontId="15" fillId="3" borderId="2" xfId="1" applyFont="1" applyFill="1" applyBorder="1" applyAlignment="1">
      <alignment horizontal="center" vertical="center" wrapText="1"/>
    </xf>
    <xf numFmtId="165" fontId="15" fillId="6" borderId="2" xfId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0" fillId="0" borderId="0" xfId="0" applyNumberFormat="1" applyFont="1" applyAlignment="1">
      <alignment horizontal="center" vertical="center"/>
    </xf>
    <xf numFmtId="168" fontId="15" fillId="6" borderId="1" xfId="1" applyNumberFormat="1" applyFont="1" applyFill="1" applyBorder="1" applyAlignment="1">
      <alignment horizontal="center" vertical="center" wrapText="1"/>
    </xf>
    <xf numFmtId="168" fontId="0" fillId="7" borderId="2" xfId="1" applyNumberFormat="1" applyFont="1" applyFill="1" applyBorder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15" fillId="6" borderId="4" xfId="1" applyFont="1" applyFill="1" applyBorder="1" applyAlignment="1">
      <alignment horizontal="center" vertical="center" wrapText="1"/>
    </xf>
    <xf numFmtId="165" fontId="15" fillId="3" borderId="6" xfId="1" applyFont="1" applyFill="1" applyBorder="1" applyAlignment="1">
      <alignment horizontal="center" vertical="center" wrapText="1"/>
    </xf>
    <xf numFmtId="167" fontId="4" fillId="9" borderId="5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166" fontId="5" fillId="2" borderId="5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66" fontId="17" fillId="3" borderId="7" xfId="3" applyNumberFormat="1" applyFont="1" applyFill="1" applyBorder="1" applyAlignment="1">
      <alignment horizontal="center" vertical="center" wrapText="1"/>
    </xf>
    <xf numFmtId="0" fontId="15" fillId="18" borderId="1" xfId="0" applyFont="1" applyFill="1" applyBorder="1" applyAlignment="1">
      <alignment horizontal="center" vertical="center" wrapText="1"/>
    </xf>
    <xf numFmtId="1" fontId="0" fillId="18" borderId="1" xfId="0" applyNumberFormat="1" applyFont="1" applyFill="1" applyBorder="1" applyAlignment="1">
      <alignment horizontal="center" vertical="center"/>
    </xf>
    <xf numFmtId="1" fontId="0" fillId="18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65" fontId="0" fillId="0" borderId="0" xfId="0" applyNumberFormat="1"/>
    <xf numFmtId="3" fontId="15" fillId="3" borderId="2" xfId="1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/>
    </xf>
    <xf numFmtId="167" fontId="0" fillId="5" borderId="5" xfId="0" applyNumberFormat="1" applyFont="1" applyFill="1" applyBorder="1" applyAlignment="1">
      <alignment horizontal="center" vertical="center"/>
    </xf>
    <xf numFmtId="165" fontId="4" fillId="2" borderId="2" xfId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/>
    </xf>
    <xf numFmtId="3" fontId="2" fillId="3" borderId="2" xfId="1" applyNumberFormat="1" applyFont="1" applyFill="1" applyBorder="1" applyAlignment="1">
      <alignment horizontal="center" vertical="center" wrapText="1"/>
    </xf>
    <xf numFmtId="3" fontId="15" fillId="8" borderId="2" xfId="1" applyNumberFormat="1" applyFont="1" applyFill="1" applyBorder="1" applyAlignment="1">
      <alignment horizontal="center" vertical="center" wrapText="1"/>
    </xf>
    <xf numFmtId="167" fontId="0" fillId="8" borderId="2" xfId="0" applyNumberFormat="1" applyFont="1" applyFill="1" applyBorder="1" applyAlignment="1">
      <alignment horizontal="center" vertical="center"/>
    </xf>
    <xf numFmtId="167" fontId="3" fillId="8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15" borderId="0" xfId="0" applyFont="1" applyFill="1"/>
    <xf numFmtId="165" fontId="15" fillId="11" borderId="2" xfId="1" applyFont="1" applyFill="1" applyBorder="1" applyAlignment="1">
      <alignment horizontal="center" vertical="center" wrapText="1"/>
    </xf>
    <xf numFmtId="165" fontId="4" fillId="11" borderId="2" xfId="1" applyFont="1" applyFill="1" applyBorder="1" applyAlignment="1">
      <alignment horizontal="center" vertical="center" wrapText="1"/>
    </xf>
    <xf numFmtId="3" fontId="2" fillId="2" borderId="2" xfId="1" applyNumberFormat="1" applyFont="1" applyFill="1" applyBorder="1" applyAlignment="1">
      <alignment horizontal="center" vertical="center" wrapText="1"/>
    </xf>
    <xf numFmtId="165" fontId="15" fillId="13" borderId="1" xfId="1" applyFont="1" applyFill="1" applyBorder="1" applyAlignment="1">
      <alignment horizontal="center" vertical="center" wrapText="1"/>
    </xf>
    <xf numFmtId="165" fontId="15" fillId="13" borderId="2" xfId="1" applyFont="1" applyFill="1" applyBorder="1" applyAlignment="1">
      <alignment horizontal="center" vertical="center" wrapText="1"/>
    </xf>
    <xf numFmtId="9" fontId="0" fillId="19" borderId="2" xfId="2" applyFont="1" applyFill="1" applyBorder="1" applyAlignment="1">
      <alignment horizontal="center" vertical="center"/>
    </xf>
    <xf numFmtId="167" fontId="0" fillId="19" borderId="2" xfId="0" applyNumberFormat="1" applyFont="1" applyFill="1" applyBorder="1" applyAlignment="1">
      <alignment horizontal="center" vertical="center"/>
    </xf>
    <xf numFmtId="194" fontId="0" fillId="0" borderId="0" xfId="1" applyNumberFormat="1" applyFont="1" applyAlignment="1">
      <alignment horizontal="center" vertical="center"/>
    </xf>
    <xf numFmtId="3" fontId="15" fillId="20" borderId="2" xfId="1" applyNumberFormat="1" applyFont="1" applyFill="1" applyBorder="1" applyAlignment="1">
      <alignment horizontal="center" vertical="center" wrapText="1"/>
    </xf>
    <xf numFmtId="167" fontId="0" fillId="20" borderId="2" xfId="0" applyNumberFormat="1" applyFont="1" applyFill="1" applyBorder="1" applyAlignment="1">
      <alignment horizontal="center" vertical="center"/>
    </xf>
    <xf numFmtId="9" fontId="0" fillId="20" borderId="2" xfId="2" applyFont="1" applyFill="1" applyBorder="1" applyAlignment="1">
      <alignment horizontal="center" vertical="center"/>
    </xf>
    <xf numFmtId="3" fontId="0" fillId="20" borderId="2" xfId="2" applyNumberFormat="1" applyFont="1" applyFill="1" applyBorder="1" applyAlignment="1">
      <alignment horizontal="center" vertical="center"/>
    </xf>
    <xf numFmtId="3" fontId="15" fillId="13" borderId="2" xfId="1" applyNumberFormat="1" applyFont="1" applyFill="1" applyBorder="1" applyAlignment="1">
      <alignment horizontal="center" vertical="center" wrapText="1"/>
    </xf>
    <xf numFmtId="167" fontId="0" fillId="13" borderId="2" xfId="0" applyNumberFormat="1" applyFont="1" applyFill="1" applyBorder="1" applyAlignment="1">
      <alignment horizontal="center" vertical="center"/>
    </xf>
    <xf numFmtId="3" fontId="2" fillId="2" borderId="3" xfId="1" applyNumberFormat="1" applyFont="1" applyFill="1" applyBorder="1" applyAlignment="1">
      <alignment horizontal="center" vertical="center" wrapText="1"/>
    </xf>
    <xf numFmtId="165" fontId="4" fillId="2" borderId="3" xfId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166" fontId="5" fillId="2" borderId="10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3" fontId="4" fillId="3" borderId="9" xfId="1" applyNumberFormat="1" applyFont="1" applyFill="1" applyBorder="1" applyAlignment="1">
      <alignment horizontal="center" vertical="center" wrapText="1"/>
    </xf>
    <xf numFmtId="167" fontId="0" fillId="13" borderId="9" xfId="0" applyNumberFormat="1" applyFont="1" applyFill="1" applyBorder="1" applyAlignment="1">
      <alignment horizontal="center" vertical="center"/>
    </xf>
    <xf numFmtId="167" fontId="3" fillId="8" borderId="9" xfId="0" applyNumberFormat="1" applyFont="1" applyFill="1" applyBorder="1" applyAlignment="1">
      <alignment horizontal="center" vertical="center"/>
    </xf>
    <xf numFmtId="167" fontId="0" fillId="7" borderId="9" xfId="0" applyNumberFormat="1" applyFont="1" applyFill="1" applyBorder="1" applyAlignment="1">
      <alignment horizontal="center" vertical="center"/>
    </xf>
    <xf numFmtId="167" fontId="0" fillId="8" borderId="9" xfId="0" applyNumberFormat="1" applyFont="1" applyFill="1" applyBorder="1" applyAlignment="1">
      <alignment horizontal="center" vertical="center"/>
    </xf>
    <xf numFmtId="167" fontId="4" fillId="9" borderId="10" xfId="0" applyNumberFormat="1" applyFont="1" applyFill="1" applyBorder="1" applyAlignment="1">
      <alignment horizontal="center" vertical="center"/>
    </xf>
    <xf numFmtId="167" fontId="0" fillId="3" borderId="9" xfId="0" applyNumberFormat="1" applyFont="1" applyFill="1" applyBorder="1" applyAlignment="1">
      <alignment horizontal="center" vertical="center"/>
    </xf>
    <xf numFmtId="168" fontId="0" fillId="7" borderId="9" xfId="1" applyNumberFormat="1" applyFont="1" applyFill="1" applyBorder="1" applyAlignment="1">
      <alignment horizontal="center" vertical="center"/>
    </xf>
    <xf numFmtId="167" fontId="0" fillId="19" borderId="9" xfId="0" applyNumberFormat="1" applyFont="1" applyFill="1" applyBorder="1" applyAlignment="1">
      <alignment horizontal="center" vertical="center"/>
    </xf>
    <xf numFmtId="167" fontId="0" fillId="20" borderId="9" xfId="0" applyNumberFormat="1" applyFont="1" applyFill="1" applyBorder="1" applyAlignment="1">
      <alignment horizontal="center" vertical="center"/>
    </xf>
    <xf numFmtId="9" fontId="0" fillId="20" borderId="9" xfId="2" applyFont="1" applyFill="1" applyBorder="1" applyAlignment="1">
      <alignment horizontal="center" vertical="center"/>
    </xf>
    <xf numFmtId="165" fontId="4" fillId="11" borderId="9" xfId="1" applyFont="1" applyFill="1" applyBorder="1" applyAlignment="1">
      <alignment horizontal="center" vertical="center" wrapText="1"/>
    </xf>
    <xf numFmtId="165" fontId="4" fillId="10" borderId="9" xfId="1" applyFont="1" applyFill="1" applyBorder="1" applyAlignment="1">
      <alignment horizontal="center" vertical="center" wrapText="1"/>
    </xf>
    <xf numFmtId="165" fontId="4" fillId="2" borderId="9" xfId="1" applyFont="1" applyFill="1" applyBorder="1" applyAlignment="1">
      <alignment horizontal="center" vertical="center" wrapText="1"/>
    </xf>
    <xf numFmtId="165" fontId="4" fillId="3" borderId="2" xfId="2" applyNumberFormat="1" applyFont="1" applyFill="1" applyBorder="1" applyAlignment="1">
      <alignment horizontal="center" vertical="center" wrapText="1"/>
    </xf>
    <xf numFmtId="168" fontId="0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5" fontId="4" fillId="11" borderId="2" xfId="1" applyNumberFormat="1" applyFont="1" applyFill="1" applyBorder="1" applyAlignment="1">
      <alignment horizontal="center" vertical="center" wrapText="1"/>
    </xf>
    <xf numFmtId="1" fontId="3" fillId="18" borderId="1" xfId="0" applyNumberFormat="1" applyFont="1" applyFill="1" applyBorder="1" applyAlignment="1">
      <alignment horizontal="center" vertical="center"/>
    </xf>
    <xf numFmtId="171" fontId="5" fillId="2" borderId="5" xfId="0" applyNumberFormat="1" applyFont="1" applyFill="1" applyBorder="1" applyAlignment="1">
      <alignment horizontal="center" vertical="center"/>
    </xf>
    <xf numFmtId="9" fontId="3" fillId="0" borderId="0" xfId="2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167" fontId="0" fillId="4" borderId="9" xfId="0" applyNumberFormat="1" applyFont="1" applyFill="1" applyBorder="1" applyAlignment="1">
      <alignment horizontal="center" vertical="center"/>
    </xf>
    <xf numFmtId="165" fontId="4" fillId="3" borderId="9" xfId="2" applyNumberFormat="1" applyFont="1" applyFill="1" applyBorder="1" applyAlignment="1">
      <alignment horizontal="center" vertical="center" wrapText="1"/>
    </xf>
    <xf numFmtId="167" fontId="0" fillId="13" borderId="2" xfId="1" applyNumberFormat="1" applyFont="1" applyFill="1" applyBorder="1" applyAlignment="1">
      <alignment horizontal="center" vertical="center"/>
    </xf>
    <xf numFmtId="167" fontId="0" fillId="20" borderId="2" xfId="2" applyNumberFormat="1" applyFont="1" applyFill="1" applyBorder="1" applyAlignment="1">
      <alignment horizontal="center" vertical="center"/>
    </xf>
    <xf numFmtId="1" fontId="3" fillId="18" borderId="2" xfId="0" applyNumberFormat="1" applyFont="1" applyFill="1" applyBorder="1" applyAlignment="1">
      <alignment horizontal="center" vertical="center"/>
    </xf>
    <xf numFmtId="194" fontId="3" fillId="0" borderId="0" xfId="1" applyNumberFormat="1" applyFont="1" applyAlignment="1">
      <alignment horizontal="center" vertical="center"/>
    </xf>
    <xf numFmtId="194" fontId="0" fillId="0" borderId="0" xfId="0" applyNumberFormat="1" applyFont="1" applyAlignment="1">
      <alignment horizontal="center" vertical="center"/>
    </xf>
    <xf numFmtId="167" fontId="4" fillId="5" borderId="5" xfId="0" applyNumberFormat="1" applyFont="1" applyFill="1" applyBorder="1" applyAlignment="1">
      <alignment horizontal="center" vertical="center"/>
    </xf>
    <xf numFmtId="167" fontId="0" fillId="3" borderId="2" xfId="1" applyNumberFormat="1" applyFont="1" applyFill="1" applyBorder="1" applyAlignment="1">
      <alignment horizontal="center" vertical="center"/>
    </xf>
    <xf numFmtId="167" fontId="0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21" borderId="14" xfId="0" applyFont="1" applyFill="1" applyBorder="1" applyAlignment="1">
      <alignment horizontal="center" vertical="center" wrapText="1"/>
    </xf>
    <xf numFmtId="0" fontId="0" fillId="21" borderId="14" xfId="0" applyFont="1" applyFill="1" applyBorder="1" applyAlignment="1">
      <alignment horizontal="center" vertical="center"/>
    </xf>
    <xf numFmtId="0" fontId="5" fillId="21" borderId="15" xfId="0" applyFont="1" applyFill="1" applyBorder="1" applyAlignment="1">
      <alignment horizontal="center" vertical="center"/>
    </xf>
    <xf numFmtId="0" fontId="8" fillId="21" borderId="13" xfId="0" applyFont="1" applyFill="1" applyBorder="1" applyAlignment="1">
      <alignment horizontal="center" vertical="center"/>
    </xf>
    <xf numFmtId="0" fontId="4" fillId="21" borderId="14" xfId="0" applyNumberFormat="1" applyFont="1" applyFill="1" applyBorder="1" applyAlignment="1">
      <alignment horizontal="center" vertical="center" wrapText="1"/>
    </xf>
    <xf numFmtId="165" fontId="4" fillId="21" borderId="12" xfId="0" applyNumberFormat="1" applyFont="1" applyFill="1" applyBorder="1" applyAlignment="1">
      <alignment horizontal="center" vertical="center" wrapText="1"/>
    </xf>
    <xf numFmtId="167" fontId="0" fillId="21" borderId="14" xfId="0" applyNumberFormat="1" applyFont="1" applyFill="1" applyBorder="1" applyAlignment="1">
      <alignment horizontal="center" vertical="center"/>
    </xf>
    <xf numFmtId="167" fontId="3" fillId="21" borderId="14" xfId="0" applyNumberFormat="1" applyFont="1" applyFill="1" applyBorder="1" applyAlignment="1">
      <alignment horizontal="center" vertical="center"/>
    </xf>
    <xf numFmtId="167" fontId="4" fillId="21" borderId="15" xfId="0" applyNumberFormat="1" applyFont="1" applyFill="1" applyBorder="1" applyAlignment="1">
      <alignment horizontal="center" vertical="center"/>
    </xf>
    <xf numFmtId="171" fontId="5" fillId="2" borderId="8" xfId="0" applyNumberFormat="1" applyFont="1" applyFill="1" applyBorder="1" applyAlignment="1">
      <alignment horizontal="center" vertical="center"/>
    </xf>
    <xf numFmtId="0" fontId="0" fillId="21" borderId="14" xfId="0" applyNumberFormat="1" applyFont="1" applyFill="1" applyBorder="1" applyAlignment="1">
      <alignment horizontal="center" vertical="center"/>
    </xf>
    <xf numFmtId="168" fontId="0" fillId="21" borderId="14" xfId="0" applyNumberFormat="1" applyFont="1" applyFill="1" applyBorder="1" applyAlignment="1">
      <alignment horizontal="center" vertical="center"/>
    </xf>
    <xf numFmtId="3" fontId="0" fillId="21" borderId="14" xfId="0" applyNumberFormat="1" applyFont="1" applyFill="1" applyBorder="1" applyAlignment="1">
      <alignment horizontal="center" vertical="center"/>
    </xf>
    <xf numFmtId="165" fontId="4" fillId="21" borderId="14" xfId="0" applyNumberFormat="1" applyFont="1" applyFill="1" applyBorder="1" applyAlignment="1">
      <alignment horizontal="center" vertical="center" wrapText="1"/>
    </xf>
    <xf numFmtId="168" fontId="3" fillId="21" borderId="14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3" fontId="0" fillId="20" borderId="9" xfId="2" applyNumberFormat="1" applyFont="1" applyFill="1" applyBorder="1" applyAlignment="1">
      <alignment horizontal="center" vertical="center"/>
    </xf>
    <xf numFmtId="202" fontId="15" fillId="20" borderId="2" xfId="1" applyNumberFormat="1" applyFont="1" applyFill="1" applyBorder="1" applyAlignment="1">
      <alignment horizontal="center" vertical="center" wrapText="1"/>
    </xf>
    <xf numFmtId="3" fontId="2" fillId="21" borderId="14" xfId="0" applyNumberFormat="1" applyFont="1" applyFill="1" applyBorder="1" applyAlignment="1">
      <alignment horizontal="center" vertical="center" wrapText="1"/>
    </xf>
    <xf numFmtId="165" fontId="15" fillId="17" borderId="2" xfId="1" applyFont="1" applyFill="1" applyBorder="1" applyAlignment="1">
      <alignment horizontal="center" vertical="center" wrapText="1"/>
    </xf>
    <xf numFmtId="165" fontId="4" fillId="17" borderId="2" xfId="1" applyFont="1" applyFill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0" fontId="19" fillId="6" borderId="0" xfId="0" applyFont="1" applyFill="1" applyAlignment="1">
      <alignment horizontal="center"/>
    </xf>
    <xf numFmtId="3" fontId="3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</cellXfs>
  <cellStyles count="14">
    <cellStyle name="Excel Built-in RowLevel_0" xfId="8" xr:uid="{00000000-0005-0000-0000-000005000000}"/>
    <cellStyle name="Excel_BuiltIn_RowLevel_1" xfId="10" xr:uid="{00000000-0005-0000-0000-000006000000}"/>
    <cellStyle name="Milliers" xfId="1" builtinId="3"/>
    <cellStyle name="Milliers 2" xfId="4" xr:uid="{00000000-0005-0000-0000-000009000000}"/>
    <cellStyle name="Milliers 3" xfId="12" xr:uid="{00000000-0005-0000-0000-00000A000000}"/>
    <cellStyle name="NiveauLigne_8" xfId="9" xr:uid="{00000000-0005-0000-0000-00000C000000}"/>
    <cellStyle name="Normal" xfId="0" builtinId="0"/>
    <cellStyle name="Normal 2" xfId="3" xr:uid="{00000000-0005-0000-0000-00000E000000}"/>
    <cellStyle name="Normal 2 2" xfId="13" xr:uid="{00000000-0005-0000-0000-00000F000000}"/>
    <cellStyle name="Normal 3" xfId="5" xr:uid="{00000000-0005-0000-0000-000010000000}"/>
    <cellStyle name="Normal 4" xfId="6" xr:uid="{00000000-0005-0000-0000-000011000000}"/>
    <cellStyle name="Normal 5" xfId="11" xr:uid="{00000000-0005-0000-0000-000012000000}"/>
    <cellStyle name="Pourcentage" xfId="2" builtinId="5"/>
    <cellStyle name="Pourcentage 2" xfId="7" xr:uid="{00000000-0005-0000-0000-000016000000}"/>
  </cellStyles>
  <dxfs count="205"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i/>
      </font>
    </dxf>
    <dxf>
      <font>
        <i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alignment horizontal="center"/>
    </dxf>
    <dxf>
      <numFmt numFmtId="13" formatCode="0%"/>
    </dxf>
    <dxf>
      <font>
        <b/>
      </font>
    </dxf>
    <dxf>
      <font>
        <b/>
      </font>
    </dxf>
    <dxf>
      <numFmt numFmtId="13" formatCode="0%"/>
    </dxf>
    <dxf>
      <numFmt numFmtId="13" formatCode="0%"/>
    </dxf>
    <dxf>
      <font>
        <b/>
      </font>
    </dxf>
    <dxf>
      <font>
        <b/>
      </font>
    </dxf>
    <dxf>
      <numFmt numFmtId="13" formatCode="0%"/>
    </dxf>
    <dxf>
      <numFmt numFmtId="13" formatCode="0%"/>
    </dxf>
    <dxf>
      <numFmt numFmtId="3" formatCode="#,##0"/>
    </dxf>
    <dxf>
      <alignment horizontal="center"/>
    </dxf>
    <dxf>
      <alignment horizontal="center"/>
    </dxf>
    <dxf>
      <alignment horizontal="center"/>
    </dxf>
    <dxf>
      <numFmt numFmtId="13" formatCode="0%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i/>
      </font>
    </dxf>
    <dxf>
      <font>
        <i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right style="thin">
          <color indexed="64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0066"/>
      <color rgb="FFFF5050"/>
      <color rgb="FFDA4646"/>
      <color rgb="FFFF9999"/>
      <color rgb="FF08E61D"/>
      <color rgb="FFFF33CC"/>
      <color rgb="FF0099FF"/>
      <color rgb="FFFFFF9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('Données initiales'!#REF!,'Données initiales'!#REF!,'Données initiales'!#REF!,'Données initiales'!#REF!,'Données initiales'!#REF!,'Données initiales'!#REF!,'Données initiales'!#REF!)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initiales'!#REF!,'Données initiales'!#REF!,'Données initiales'!#REF!,'Données initiales'!#REF!,'Données initiales'!#REF!,'Données initiales'!#REF!,'Données initiales'!#REF!)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strRef>
                          <c:extLst>
                            <c:ext uri="{02D57815-91ED-43cb-92C2-25804820EDAC}">
                              <c15:formulaRef>
                                <c15:sqref>('Données initiales'!#REF!,'Données initiales'!#REF!,'Données initiales'!#REF!,'Données initiales'!#REF!,'Données initiales'!#REF!,'Données initiales'!#REF!,'Données initiales'!#REF!)</c15:sqref>
                              </c15:formulaRef>
                            </c:ext>
                          </c:extLst>
                        </c: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[% dans TCD.xlsm]STAT REHAB!Tableau croisé dynamique3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programmation par bassin</a:t>
            </a:r>
          </a:p>
        </c:rich>
      </c:tx>
      <c:layout>
        <c:manualLayout>
          <c:xMode val="edge"/>
          <c:yMode val="edge"/>
          <c:x val="0.18102777777777779"/>
          <c:y val="4.88845144356955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'STAT REHAB'!$B$3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'STAT REHAB'!$A$4:$A$10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</c:strCache>
            </c:strRef>
          </c:cat>
          <c:val>
            <c:numRef>
              <c:f>'STAT REHAB'!$B$4:$B$10</c:f>
              <c:numCache>
                <c:formatCode>General</c:formatCode>
                <c:ptCount val="6"/>
                <c:pt idx="0">
                  <c:v>192</c:v>
                </c:pt>
                <c:pt idx="1">
                  <c:v>215</c:v>
                </c:pt>
                <c:pt idx="2">
                  <c:v>243</c:v>
                </c:pt>
                <c:pt idx="3">
                  <c:v>258</c:v>
                </c:pt>
                <c:pt idx="4">
                  <c:v>130</c:v>
                </c:pt>
                <c:pt idx="5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5F-4A09-81A0-BB0E01EDD13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718833008"/>
        <c:axId val="718835088"/>
      </c:barChart>
      <c:catAx>
        <c:axId val="71883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835088"/>
        <c:crosses val="autoZero"/>
        <c:auto val="1"/>
        <c:lblAlgn val="ctr"/>
        <c:lblOffset val="100"/>
        <c:noMultiLvlLbl val="0"/>
      </c:catAx>
      <c:valAx>
        <c:axId val="71883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83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programmation par bassin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'STAT REHAB'!$B$21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'STAT REHAB'!$A$22:$A$26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'STAT REHAB'!$B$22:$B$26</c:f>
              <c:numCache>
                <c:formatCode>General</c:formatCode>
                <c:ptCount val="5"/>
                <c:pt idx="0">
                  <c:v>161</c:v>
                </c:pt>
                <c:pt idx="1">
                  <c:v>215</c:v>
                </c:pt>
                <c:pt idx="2">
                  <c:v>243</c:v>
                </c:pt>
                <c:pt idx="3">
                  <c:v>219</c:v>
                </c:pt>
                <c:pt idx="4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F-47BA-9724-D05FE8EF2783}"/>
            </c:ext>
          </c:extLst>
        </c:ser>
        <c:ser>
          <c:idx val="2"/>
          <c:order val="2"/>
          <c:tx>
            <c:strRef>
              <c:f>'STAT REHAB'!$C$21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'STAT REHAB'!$A$22:$A$26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'STAT REHAB'!$C$22:$C$26</c:f>
              <c:numCache>
                <c:formatCode>General</c:formatCode>
                <c:ptCount val="5"/>
                <c:pt idx="0">
                  <c:v>31</c:v>
                </c:pt>
                <c:pt idx="3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F-47BA-9724-D05FE8EF2783}"/>
            </c:ext>
          </c:extLst>
        </c:ser>
        <c:ser>
          <c:idx val="3"/>
          <c:order val="3"/>
          <c:tx>
            <c:strRef>
              <c:f>'STAT REHAB'!$D$21</c:f>
              <c:strCache>
                <c:ptCount val="1"/>
                <c:pt idx="0">
                  <c:v>Total général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'STAT REHAB'!$A$22:$A$26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'STAT REHAB'!$D$22:$D$26</c:f>
              <c:numCache>
                <c:formatCode>General</c:formatCode>
                <c:ptCount val="5"/>
                <c:pt idx="0">
                  <c:v>192</c:v>
                </c:pt>
                <c:pt idx="1">
                  <c:v>215</c:v>
                </c:pt>
                <c:pt idx="2">
                  <c:v>243</c:v>
                </c:pt>
                <c:pt idx="3">
                  <c:v>258</c:v>
                </c:pt>
                <c:pt idx="4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42F-47BA-9724-D05FE8EF278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31892832"/>
        <c:axId val="6319007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'STAT REHAB'!$A$21</c15:sqref>
                        </c15:formulaRef>
                      </c:ext>
                    </c:extLst>
                    <c:strCache>
                      <c:ptCount val="1"/>
                      <c:pt idx="0">
                        <c:v>Programmation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'STAT REHAB'!$A$22:$A$26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2020</c:v>
                      </c:pt>
                      <c:pt idx="3">
                        <c:v>2021</c:v>
                      </c:pt>
                      <c:pt idx="4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'STAT REHAB'!$A$22:$A$26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2020</c:v>
                      </c:pt>
                      <c:pt idx="3">
                        <c:v>2021</c:v>
                      </c:pt>
                      <c:pt idx="4">
                        <c:v>2022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42F-47BA-9724-D05FE8EF2783}"/>
                  </c:ext>
                </c:extLst>
              </c15:ser>
            </c15:filteredBarSeries>
          </c:ext>
        </c:extLst>
      </c:barChart>
      <c:catAx>
        <c:axId val="63189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900736"/>
        <c:crosses val="autoZero"/>
        <c:auto val="1"/>
        <c:lblAlgn val="ctr"/>
        <c:lblOffset val="100"/>
        <c:noMultiLvlLbl val="0"/>
      </c:catAx>
      <c:valAx>
        <c:axId val="63190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89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76</xdr:row>
      <xdr:rowOff>178377</xdr:rowOff>
    </xdr:from>
    <xdr:to>
      <xdr:col>2</xdr:col>
      <xdr:colOff>0</xdr:colOff>
      <xdr:row>91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93</xdr:row>
      <xdr:rowOff>54429</xdr:rowOff>
    </xdr:from>
    <xdr:to>
      <xdr:col>2</xdr:col>
      <xdr:colOff>0</xdr:colOff>
      <xdr:row>107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312420</xdr:colOff>
      <xdr:row>1</xdr:row>
      <xdr:rowOff>156210</xdr:rowOff>
    </xdr:from>
    <xdr:to>
      <xdr:col>16</xdr:col>
      <xdr:colOff>251460</xdr:colOff>
      <xdr:row>16</xdr:row>
      <xdr:rowOff>156210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2BFB754-C99A-4DDC-9CB8-38036F7CB6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320040</xdr:colOff>
      <xdr:row>18</xdr:row>
      <xdr:rowOff>19050</xdr:rowOff>
    </xdr:from>
    <xdr:to>
      <xdr:col>16</xdr:col>
      <xdr:colOff>259080</xdr:colOff>
      <xdr:row>33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B62E24E-B185-418F-8B4D-AE2E5AD69A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0%20-%20%20DOP%20G&#233;n&#233;ral\suivi%20d'activit&#233;\PCA\1.%20FINANCEMENTS\CDC\Suivi%20des%20garant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Statistiques"/>
      <sheetName val="Renouvellement de composants"/>
    </sheetNames>
    <sheetDataSet>
      <sheetData sheetId="0">
        <row r="2">
          <cell r="B2" t="str">
            <v>CASUD</v>
          </cell>
          <cell r="H2">
            <v>43798</v>
          </cell>
          <cell r="K2">
            <v>1.0666666666666667</v>
          </cell>
        </row>
        <row r="3">
          <cell r="B3" t="str">
            <v>St Joseph</v>
          </cell>
          <cell r="H3">
            <v>44008</v>
          </cell>
          <cell r="K3">
            <v>7.2666666666666666</v>
          </cell>
        </row>
        <row r="4">
          <cell r="B4" t="str">
            <v>CASUD</v>
          </cell>
          <cell r="H4">
            <v>43651</v>
          </cell>
          <cell r="K4">
            <v>1.3</v>
          </cell>
        </row>
        <row r="5">
          <cell r="B5" t="str">
            <v>Le Tampon</v>
          </cell>
          <cell r="H5">
            <v>43764</v>
          </cell>
          <cell r="K5">
            <v>5.0666666666666664</v>
          </cell>
        </row>
        <row r="6">
          <cell r="B6" t="str">
            <v>CASUD</v>
          </cell>
          <cell r="H6">
            <v>43798</v>
          </cell>
          <cell r="K6">
            <v>1.0666666666666667</v>
          </cell>
        </row>
        <row r="7">
          <cell r="B7" t="str">
            <v>St Joseph</v>
          </cell>
          <cell r="H7">
            <v>44008</v>
          </cell>
          <cell r="K7">
            <v>7.2666666666666666</v>
          </cell>
        </row>
        <row r="8">
          <cell r="B8" t="str">
            <v>ENTRE DEUX</v>
          </cell>
          <cell r="H8">
            <v>44273</v>
          </cell>
          <cell r="K8">
            <v>1.8333333333333333</v>
          </cell>
        </row>
        <row r="9">
          <cell r="B9" t="str">
            <v>CASUD</v>
          </cell>
          <cell r="H9">
            <v>44253</v>
          </cell>
          <cell r="K9">
            <v>1.1666666666666667</v>
          </cell>
        </row>
        <row r="10">
          <cell r="B10" t="str">
            <v>CIVIS</v>
          </cell>
          <cell r="H10">
            <v>43818</v>
          </cell>
          <cell r="K10">
            <v>0.76666666666666672</v>
          </cell>
        </row>
        <row r="11">
          <cell r="B11" t="str">
            <v>CASUD</v>
          </cell>
          <cell r="H11">
            <v>43546</v>
          </cell>
          <cell r="K11">
            <v>1.7333333333333334</v>
          </cell>
        </row>
        <row r="12">
          <cell r="B12" t="str">
            <v>St Joseph</v>
          </cell>
          <cell r="H12">
            <v>43553</v>
          </cell>
          <cell r="K12">
            <v>1.9666666666666666</v>
          </cell>
        </row>
        <row r="13">
          <cell r="B13" t="str">
            <v>CASUD</v>
          </cell>
          <cell r="H13">
            <v>43798</v>
          </cell>
          <cell r="K13">
            <v>1.0666666666666667</v>
          </cell>
        </row>
        <row r="14">
          <cell r="B14" t="str">
            <v>Entre-Deux</v>
          </cell>
          <cell r="H14">
            <v>43949</v>
          </cell>
          <cell r="K14">
            <v>5.3</v>
          </cell>
        </row>
        <row r="15">
          <cell r="B15" t="str">
            <v>St Louis</v>
          </cell>
          <cell r="H15">
            <v>44251</v>
          </cell>
          <cell r="K15">
            <v>3.9666666666666668</v>
          </cell>
        </row>
        <row r="16">
          <cell r="B16" t="str">
            <v>TCO</v>
          </cell>
          <cell r="H16">
            <v>44242</v>
          </cell>
          <cell r="K16">
            <v>3.6333333333333333</v>
          </cell>
        </row>
        <row r="17">
          <cell r="B17" t="str">
            <v>St Leu</v>
          </cell>
          <cell r="H17">
            <v>44280</v>
          </cell>
          <cell r="K17">
            <v>4.9000000000000004</v>
          </cell>
        </row>
        <row r="18">
          <cell r="B18" t="str">
            <v>TCO</v>
          </cell>
          <cell r="H18">
            <v>44242</v>
          </cell>
          <cell r="K18">
            <v>3.6333333333333333</v>
          </cell>
        </row>
        <row r="19">
          <cell r="B19" t="str">
            <v>CASUD</v>
          </cell>
          <cell r="H19">
            <v>43546</v>
          </cell>
          <cell r="K19">
            <v>1.7333333333333334</v>
          </cell>
        </row>
        <row r="20">
          <cell r="B20" t="str">
            <v>St Joseph</v>
          </cell>
          <cell r="H20">
            <v>43553</v>
          </cell>
          <cell r="K20">
            <v>1.9666666666666666</v>
          </cell>
        </row>
        <row r="21">
          <cell r="B21" t="str">
            <v>CASUD</v>
          </cell>
          <cell r="H21">
            <v>43798</v>
          </cell>
          <cell r="K21">
            <v>1.0666666666666667</v>
          </cell>
        </row>
        <row r="22">
          <cell r="B22" t="str">
            <v>St Joseph</v>
          </cell>
          <cell r="H22">
            <v>44008</v>
          </cell>
          <cell r="K22">
            <v>7.2666666666666666</v>
          </cell>
        </row>
        <row r="23">
          <cell r="B23" t="str">
            <v>Etang-Salé</v>
          </cell>
          <cell r="H23">
            <v>43545</v>
          </cell>
          <cell r="K23">
            <v>1.4333333333333333</v>
          </cell>
        </row>
        <row r="24">
          <cell r="B24" t="str">
            <v>Etang-Salé</v>
          </cell>
          <cell r="H24">
            <v>43755</v>
          </cell>
          <cell r="K24">
            <v>0.3</v>
          </cell>
        </row>
        <row r="25">
          <cell r="B25" t="str">
            <v>CASUD</v>
          </cell>
          <cell r="H25">
            <v>44299</v>
          </cell>
          <cell r="K25">
            <v>1.2</v>
          </cell>
        </row>
        <row r="26">
          <cell r="B26" t="str">
            <v>Le Tampon</v>
          </cell>
          <cell r="H26">
            <v>44310</v>
          </cell>
          <cell r="K26">
            <v>1.3</v>
          </cell>
        </row>
        <row r="27">
          <cell r="B27" t="str">
            <v>Le Tampon</v>
          </cell>
          <cell r="H27">
            <v>44226</v>
          </cell>
          <cell r="K27">
            <v>1.5333333333333334</v>
          </cell>
        </row>
        <row r="28">
          <cell r="B28" t="str">
            <v>CASUD</v>
          </cell>
          <cell r="H28">
            <v>43546</v>
          </cell>
          <cell r="K28">
            <v>1.7333333333333334</v>
          </cell>
        </row>
        <row r="29">
          <cell r="B29" t="str">
            <v>Entre-Deux</v>
          </cell>
          <cell r="H29">
            <v>43566</v>
          </cell>
          <cell r="K29">
            <v>2.4</v>
          </cell>
        </row>
        <row r="30">
          <cell r="B30" t="str">
            <v>CASUD</v>
          </cell>
          <cell r="H30">
            <v>43854</v>
          </cell>
          <cell r="K30">
            <v>1.2333333333333334</v>
          </cell>
        </row>
        <row r="31">
          <cell r="B31" t="str">
            <v>Entre-Deux</v>
          </cell>
          <cell r="H31">
            <v>43949</v>
          </cell>
          <cell r="K31">
            <v>4.4000000000000004</v>
          </cell>
        </row>
        <row r="32">
          <cell r="B32" t="str">
            <v>CIVIS</v>
          </cell>
          <cell r="H32">
            <v>43885</v>
          </cell>
          <cell r="K32">
            <v>2.2666666666666666</v>
          </cell>
        </row>
        <row r="33">
          <cell r="B33" t="str">
            <v>CIVIS</v>
          </cell>
          <cell r="H33">
            <v>43885</v>
          </cell>
          <cell r="K33">
            <v>2.2666666666666666</v>
          </cell>
        </row>
        <row r="34">
          <cell r="B34" t="str">
            <v>CASUD</v>
          </cell>
          <cell r="H34">
            <v>43854</v>
          </cell>
          <cell r="K34">
            <v>1.2333333333333334</v>
          </cell>
        </row>
        <row r="35">
          <cell r="B35" t="str">
            <v>St Joseph</v>
          </cell>
          <cell r="H35">
            <v>44008</v>
          </cell>
          <cell r="K35">
            <v>6.3666666666666663</v>
          </cell>
        </row>
        <row r="36">
          <cell r="B36" t="str">
            <v>TCO</v>
          </cell>
          <cell r="H36"/>
          <cell r="K36" t="e">
            <v>#NUM!</v>
          </cell>
        </row>
        <row r="37">
          <cell r="B37" t="str">
            <v>CIVIS</v>
          </cell>
          <cell r="H37">
            <v>43885</v>
          </cell>
          <cell r="K37">
            <v>2.2666666666666666</v>
          </cell>
        </row>
        <row r="38">
          <cell r="B38" t="str">
            <v>CIVIS</v>
          </cell>
          <cell r="H38">
            <v>43885</v>
          </cell>
          <cell r="K38">
            <v>2.2666666666666666</v>
          </cell>
        </row>
        <row r="39">
          <cell r="B39" t="str">
            <v>CASUD</v>
          </cell>
          <cell r="H39">
            <v>43854</v>
          </cell>
          <cell r="K39">
            <v>1.2333333333333334</v>
          </cell>
        </row>
        <row r="40">
          <cell r="B40" t="str">
            <v>CASUD</v>
          </cell>
          <cell r="H40">
            <v>43854</v>
          </cell>
          <cell r="K40">
            <v>1.2333333333333334</v>
          </cell>
        </row>
        <row r="41">
          <cell r="B41" t="str">
            <v>CASUD</v>
          </cell>
          <cell r="H41">
            <v>44029</v>
          </cell>
          <cell r="K41">
            <v>6.666666666666667</v>
          </cell>
        </row>
        <row r="42">
          <cell r="B42" t="str">
            <v>Le Tampon</v>
          </cell>
          <cell r="H42">
            <v>43862</v>
          </cell>
          <cell r="K42">
            <v>1.1000000000000001</v>
          </cell>
        </row>
        <row r="43">
          <cell r="B43" t="str">
            <v>Le Tampon</v>
          </cell>
          <cell r="H43">
            <v>44282</v>
          </cell>
          <cell r="K43">
            <v>1.7</v>
          </cell>
        </row>
      </sheetData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Nathalie BLANDINO" refreshedDate="44457.472336689818" createdVersion="6" refreshedVersion="7" minRefreshableVersion="3" recordCount="35" xr:uid="{B3B2E9BC-76D0-400F-8FE4-7A2F974E26CF}">
  <cacheSource type="worksheet">
    <worksheetSource name="Tableau6"/>
  </cacheSource>
  <cacheFields count="92">
    <cacheField name="OPERATION" numFmtId="0">
      <sharedItems containsBlank="1"/>
    </cacheField>
    <cacheField name="Prog" numFmtId="0">
      <sharedItems containsString="0" containsBlank="1" containsNumber="1" containsInteger="1" minValue="2010" maxValue="2024" count="16">
        <n v="2017"/>
        <n v="2018"/>
        <n v="2020"/>
        <n v="2021"/>
        <n v="2022"/>
        <n v="2023"/>
        <m/>
        <n v="2015" u="1"/>
        <n v="2013" u="1"/>
        <n v="2011" u="1"/>
        <n v="2016" u="1"/>
        <n v="2014" u="1"/>
        <n v="2019" u="1"/>
        <n v="2012" u="1"/>
        <n v="2024" u="1"/>
        <n v="2010" u="1"/>
      </sharedItems>
    </cacheField>
    <cacheField name="TYPE" numFmtId="0">
      <sharedItems containsBlank="1" count="5">
        <s v="Rehab"/>
        <m/>
        <s v="LLS" u="1"/>
        <s v="PLS" u="1"/>
        <s v="LLTS" u="1"/>
      </sharedItems>
    </cacheField>
    <cacheField name="N" numFmtId="1">
      <sharedItems containsString="0" containsBlank="1" containsNumber="1" containsInteger="1" minValue="6" maxValue="128"/>
    </cacheField>
    <cacheField name="N hors REHAB" numFmtId="1">
      <sharedItems containsString="0" containsBlank="1" containsNumber="1" containsInteger="1" minValue="0" maxValue="0"/>
    </cacheField>
    <cacheField name="LLS" numFmtId="0">
      <sharedItems containsNonDate="0" containsString="0" containsBlank="1"/>
    </cacheField>
    <cacheField name="LLTS" numFmtId="0">
      <sharedItems containsNonDate="0" containsString="0" containsBlank="1"/>
    </cacheField>
    <cacheField name="PLS" numFmtId="0">
      <sharedItems containsNonDate="0" containsString="0" containsBlank="1"/>
    </cacheField>
    <cacheField name="REHAB" numFmtId="0">
      <sharedItems containsString="0" containsBlank="1" containsNumber="1" containsInteger="1" minValue="6" maxValue="128"/>
    </cacheField>
    <cacheField name="OS démarrage" numFmtId="0">
      <sharedItems containsNonDate="0" containsDate="1" containsString="0" containsBlank="1" minDate="2018-09-12T00:00:00" maxDate="2024-05-03T00:00:00" count="16">
        <d v="2018-09-19T00:00:00"/>
        <d v="2018-12-18T00:00:00"/>
        <d v="2019-07-04T00:00:00"/>
        <d v="2018-09-12T00:00:00"/>
        <d v="2018-09-20T00:00:00"/>
        <d v="2018-12-07T00:00:00"/>
        <d v="2019-07-19T00:00:00"/>
        <d v="2019-07-22T00:00:00"/>
        <d v="2020-02-12T00:00:00"/>
        <d v="2022-02-01T00:00:00"/>
        <d v="2022-12-19T00:00:00"/>
        <d v="2022-02-23T00:00:00"/>
        <d v="2023-04-15T00:00:00"/>
        <d v="2023-05-23T00:00:00"/>
        <d v="2024-05-02T00:00:00"/>
        <m/>
      </sharedItems>
      <fieldGroup par="76" base="9">
        <rangePr groupBy="months" startDate="2018-09-12T00:00:00" endDate="2024-05-0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5/2024"/>
        </groupItems>
      </fieldGroup>
    </cacheField>
    <cacheField name="ANNEE DEMARRAGE" numFmtId="0">
      <sharedItems containsString="0" containsBlank="1" containsNumber="1" containsInteger="1" minValue="2011" maxValue="2021" count="12">
        <n v="2018"/>
        <n v="2019"/>
        <n v="2020"/>
        <m/>
        <n v="2015" u="1"/>
        <n v="2013" u="1"/>
        <n v="2011" u="1"/>
        <n v="2016" u="1"/>
        <n v="2021" u="1"/>
        <n v="2014" u="1"/>
        <n v="2012" u="1"/>
        <n v="2017" u="1"/>
      </sharedItems>
    </cacheField>
    <cacheField name="PRP TTC " numFmtId="3">
      <sharedItems containsSemiMixedTypes="0" containsString="0" containsNumber="1" minValue="0" maxValue="4326000.01"/>
    </cacheField>
    <cacheField name="PRP TTC AVEC FRAFU" numFmtId="167">
      <sharedItems containsString="0" containsBlank="1" containsNumber="1" minValue="0" maxValue="4326000.01"/>
    </cacheField>
    <cacheField name="SUBVENTIONS TOTALES" numFmtId="167">
      <sharedItems containsSemiMixedTypes="0" containsString="0" containsNumber="1" minValue="0" maxValue="886822.55999999994"/>
    </cacheField>
    <cacheField name="PRP /m² SF" numFmtId="167">
      <sharedItems/>
    </cacheField>
    <cacheField name="PRP / lgt" numFmtId="167">
      <sharedItems containsMixedTypes="1" containsNumber="1" minValue="30111.209375000002" maxValue="73304.2"/>
    </cacheField>
    <cacheField name="CREDIT IMPOT ACTUEL" numFmtId="167">
      <sharedItems containsString="0" containsBlank="1" containsNumber="1" minValue="167040" maxValue="1104714.57"/>
    </cacheField>
    <cacheField name="PRÊT CREDIT D'IMPOT (PM)" numFmtId="167">
      <sharedItems containsNonDate="0" containsString="0" containsBlank="1"/>
    </cacheField>
    <cacheField name="DEFISC / lgt" numFmtId="167">
      <sharedItems containsMixedTypes="1" containsNumber="1" minValue="0" maxValue="12845.518255813955"/>
    </cacheField>
    <cacheField name="PRETS TOTAUX" numFmtId="167">
      <sharedItems containsSemiMixedTypes="0" containsString="0" containsNumber="1" minValue="0" maxValue="2967412.24"/>
    </cacheField>
    <cacheField name="PRÊT " numFmtId="167">
      <sharedItems containsSemiMixedTypes="0" containsString="0" containsNumber="1" minValue="0" maxValue="2681265.44"/>
    </cacheField>
    <cacheField name="FONCIER2" numFmtId="167">
      <sharedItems containsNonDate="0" containsString="0" containsBlank="1"/>
    </cacheField>
    <cacheField name="CONSTRUCTION" numFmtId="167">
      <sharedItems containsNonDate="0" containsString="0" containsBlank="1"/>
    </cacheField>
    <cacheField name="PRÊT / lgt" numFmtId="168">
      <sharedItems containsMixedTypes="1" containsNumber="1" minValue="0" maxValue="53146.7"/>
    </cacheField>
    <cacheField name="PRÊT COMPLEMENTAIRE BOOSTER" numFmtId="167">
      <sharedItems containsString="0" containsBlank="1" containsNumber="1" containsInteger="1" minValue="100000" maxValue="581000"/>
    </cacheField>
    <cacheField name="LBU " numFmtId="167">
      <sharedItems containsString="0" containsBlank="1" containsNumber="1" minValue="10920" maxValue="747000"/>
    </cacheField>
    <cacheField name="PRÊT ACL" numFmtId="167">
      <sharedItems containsString="0" containsBlank="1" containsNumber="1" containsInteger="1" minValue="0" maxValue="1200000"/>
    </cacheField>
    <cacheField name="CAF" numFmtId="167">
      <sharedItems containsNonDate="0" containsString="0" containsBlank="1"/>
    </cacheField>
    <cacheField name="% LBU / PRP" numFmtId="0">
      <sharedItems containsMixedTypes="1" containsNumber="1" minValue="0" maxValue="0.31069400624999999"/>
    </cacheField>
    <cacheField name="PHB 2.0 " numFmtId="0">
      <sharedItems containsString="0" containsBlank="1" containsNumber="1" containsInteger="1" minValue="60000" maxValue="740000"/>
    </cacheField>
    <cacheField name="SUB ETAT" numFmtId="167">
      <sharedItems containsNonDate="0" containsString="0" containsBlank="1"/>
    </cacheField>
    <cacheField name="AUTRES SUBVENTIONS" numFmtId="167">
      <sharedItems containsString="0" containsBlank="1" containsNumber="1" minValue="1470" maxValue="231117"/>
    </cacheField>
    <cacheField name="LBU / lgt_x000a_" numFmtId="167">
      <sharedItems containsString="0" containsBlank="1" containsNumber="1" minValue="1820" maxValue="20000"/>
    </cacheField>
    <cacheField name="LBU+Défisc/lgt" numFmtId="167">
      <sharedItems containsString="0" containsBlank="1" containsNumber="1" minValue="1820" maxValue="21381.052631578947"/>
    </cacheField>
    <cacheField name="PRP FRAFU hors TVA résiduelle" numFmtId="167">
      <sharedItems containsNonDate="0" containsString="0" containsBlank="1"/>
    </cacheField>
    <cacheField name="FRAFU" numFmtId="167">
      <sharedItems containsNonDate="0" containsString="0" containsBlank="1"/>
    </cacheField>
    <cacheField name="AIDES ETAT / lgt" numFmtId="167">
      <sharedItems containsBlank="1" containsMixedTypes="1" containsNumber="1" minValue="0" maxValue="19095.518255813953"/>
    </cacheField>
    <cacheField name="SUBVENTION COLLECTIVITE FRAFU" numFmtId="167">
      <sharedItems containsNonDate="0" containsString="0" containsBlank="1"/>
    </cacheField>
    <cacheField name="AIDES PUBLIQUES / lgt" numFmtId="167">
      <sharedItems containsBlank="1" containsMixedTypes="1" containsNumber="1" minValue="0" maxValue="21381.052631578947"/>
    </cacheField>
    <cacheField name="% AIDES PUBLIQUES" numFmtId="9">
      <sharedItems containsBlank="1" containsMixedTypes="1" containsNumber="1" minValue="0" maxValue="0.37961501761531435"/>
    </cacheField>
    <cacheField name="CESSION FONCIERE" numFmtId="167">
      <sharedItems containsNonDate="0" containsString="0" containsBlank="1"/>
    </cacheField>
    <cacheField name="FONDS PROPRES FRAFU" numFmtId="167">
      <sharedItems containsNonDate="0" containsString="0" containsBlank="1"/>
    </cacheField>
    <cacheField name="FONDS PROPRES CONSTRUCTION" numFmtId="167">
      <sharedItems containsNonDate="0" containsString="0" containsBlank="1"/>
    </cacheField>
    <cacheField name="DEPENSES COMPTABILISEES" numFmtId="167">
      <sharedItems containsString="0" containsBlank="1" containsNumber="1" minValue="49386.413229999991" maxValue="2391683.2648499999"/>
    </cacheField>
    <cacheField name="% AVANCEMENT dépenses" numFmtId="9">
      <sharedItems containsBlank="1" containsMixedTypes="1" containsNumber="1" minValue="0" maxValue="0.6205338773989586"/>
    </cacheField>
    <cacheField name="RESTE A DEPENSER" numFmtId="167">
      <sharedItems containsString="0" containsBlank="1" containsNumber="1" minValue="0" maxValue="4175000"/>
    </cacheField>
    <cacheField name="31/12/21" numFmtId="167">
      <sharedItems/>
    </cacheField>
    <cacheField name="% dépenses à fin 2021" numFmtId="9">
      <sharedItems/>
    </cacheField>
    <cacheField name="PRETS COMPTABILISES" numFmtId="3">
      <sharedItems containsNonDate="0" containsString="0" containsBlank="1"/>
    </cacheField>
    <cacheField name="SUBVENTIONS COMPTABILISEES" numFmtId="167">
      <sharedItems containsNonDate="0" containsString="0" containsBlank="1"/>
    </cacheField>
    <cacheField name="SUBVENTIONS RESTANTES" numFmtId="167">
      <sharedItems containsString="0" containsBlank="1" containsNumber="1" minValue="0" maxValue="886822.55999999994"/>
    </cacheField>
    <cacheField name="% subventions" numFmtId="167">
      <sharedItems containsBlank="1" containsMixedTypes="1" containsNumber="1" containsInteger="1" minValue="0" maxValue="0"/>
    </cacheField>
    <cacheField name="OBS" numFmtId="167">
      <sharedItems containsBlank="1"/>
    </cacheField>
    <cacheField name="TERRAIN" numFmtId="165">
      <sharedItems containsNonDate="0" containsString="0" containsBlank="1"/>
    </cacheField>
    <cacheField name="dont prix foncier" numFmtId="165">
      <sharedItems containsNonDate="0" containsString="0" containsBlank="1"/>
    </cacheField>
    <cacheField name="VRD / Espaces verts" numFmtId="165">
      <sharedItems containsNonDate="0" containsString="0" containsBlank="1"/>
    </cacheField>
    <cacheField name="TRAVAUX BATIS" numFmtId="165">
      <sharedItems containsSemiMixedTypes="0" containsString="0" containsNumber="1" containsInteger="1" minValue="0" maxValue="0"/>
    </cacheField>
    <cacheField name="TOTAL TRAVAUX" numFmtId="165">
      <sharedItems containsMixedTypes="1" containsNumber="1" minValue="0" maxValue="3200210.04"/>
    </cacheField>
    <cacheField name="GO" numFmtId="165">
      <sharedItems containsNonDate="0" containsString="0" containsBlank="1"/>
    </cacheField>
    <cacheField name="HDE  (bardage / étanchéité / couverture)" numFmtId="165">
      <sharedItems containsNonDate="0" containsString="0" containsBlank="1"/>
    </cacheField>
    <cacheField name="MENUISERIES EXTERIEURES" numFmtId="165">
      <sharedItems containsNonDate="0" containsString="0" containsBlank="1"/>
    </cacheField>
    <cacheField name="METALLERIE" numFmtId="165">
      <sharedItems containsNonDate="0" containsString="0" containsBlank="1"/>
    </cacheField>
    <cacheField name="MENUISERIES INTERIEURES" numFmtId="165">
      <sharedItems containsNonDate="0" containsString="0" containsBlank="1"/>
    </cacheField>
    <cacheField name="CLOISONS" numFmtId="165">
      <sharedItems containsNonDate="0" containsString="0" containsBlank="1"/>
    </cacheField>
    <cacheField name="ELECTRICITE" numFmtId="165">
      <sharedItems containsNonDate="0" containsString="0" containsBlank="1"/>
    </cacheField>
    <cacheField name="PLOMBERIE" numFmtId="165">
      <sharedItems containsNonDate="0" containsString="0" containsBlank="1"/>
    </cacheField>
    <cacheField name="ECS" numFmtId="165">
      <sharedItems containsNonDate="0" containsString="0" containsBlank="1"/>
    </cacheField>
    <cacheField name="ASCENSEUR" numFmtId="165">
      <sharedItems containsNonDate="0" containsString="0" containsBlank="1"/>
    </cacheField>
    <cacheField name="PEINTURE" numFmtId="165">
      <sharedItems containsNonDate="0" containsString="0" containsBlank="1"/>
    </cacheField>
    <cacheField name="SOLS SOUPLES" numFmtId="165">
      <sharedItems containsNonDate="0" containsString="0" containsBlank="1"/>
    </cacheField>
    <cacheField name="CARRELAGE" numFmtId="165">
      <sharedItems containsNonDate="0" containsString="0" containsBlank="1"/>
    </cacheField>
    <cacheField name="HONORAIRES" numFmtId="165">
      <sharedItems containsString="0" containsBlank="1" containsNumber="1" minValue="86339.798069999888" maxValue="1462858.4922100003"/>
    </cacheField>
    <cacheField name="AUTRES FRAIS" numFmtId="165">
      <sharedItems containsString="0" containsBlank="1" containsNumber="1" minValue="234137.55" maxValue="234137.55"/>
    </cacheField>
    <cacheField name="TOTAL PRP TTC" numFmtId="165">
      <sharedItems containsMixedTypes="1" containsNumber="1" minValue="0" maxValue="4175000"/>
    </cacheField>
    <cacheField name="Cr14" numFmtId="165">
      <sharedItems containsMixedTypes="1" containsNumber="1" minValue="-4326000.01" maxValue="0.92289999988861382"/>
    </cacheField>
    <cacheField name="Trimestres2" numFmtId="0" databaseField="0">
      <fieldGroup base="9">
        <rangePr groupBy="quarters" startDate="2018-09-12T00:00:00" endDate="2024-05-03T00:00:00"/>
        <groupItems count="6">
          <s v="&lt;12/09/2018"/>
          <s v="Trimestre1"/>
          <s v="Trimestre2"/>
          <s v="Trimestre3"/>
          <s v="Trimestre4"/>
          <s v="&gt;03/05/2024"/>
        </groupItems>
      </fieldGroup>
    </cacheField>
    <cacheField name="Années2" numFmtId="0" databaseField="0">
      <fieldGroup base="9">
        <rangePr groupBy="years" startDate="2018-09-12T00:00:00" endDate="2024-05-03T00:00:00"/>
        <groupItems count="9">
          <s v="&lt;12/09/2018"/>
          <s v="2018"/>
          <s v="2019"/>
          <s v="2020"/>
          <s v="2021"/>
          <s v="2022"/>
          <s v="2023"/>
          <s v="2024"/>
          <s v="&gt;03/05/2024"/>
        </groupItems>
      </fieldGroup>
    </cacheField>
    <cacheField name="LBU_lgt" numFmtId="0" formula="'LBU '/N" databaseField="0"/>
    <cacheField name="LBU/lgt" numFmtId="0" formula="'LBU '/N" databaseField="0"/>
    <cacheField name="Champ1" numFmtId="0" formula="#NAME?/N" databaseField="0"/>
    <cacheField name="Calcul SF moy" numFmtId="0" formula="#NAME?/N" databaseField="0"/>
    <cacheField name="% PRET" numFmtId="0" formula="'PRETS TOTAUX'/'PRP TTC '" databaseField="0"/>
    <cacheField name="Part subventions" numFmtId="0" formula="'SUBVENTIONS TOTALES'/'PRP TTC '" databaseField="0"/>
    <cacheField name="Part CI" numFmtId="0" formula="'CREDIT IMPOT ACTUEL'/'PRP TTC '" databaseField="0"/>
    <cacheField name="Part Fonds Propres" numFmtId="0" formula="'FONDS PROPRES CONSTRUCTION'/'PRP TTC '" databaseField="0"/>
    <cacheField name="Champ2" numFmtId="0" formula="LLS/N" databaseField="0"/>
    <cacheField name="LBU/coût total" numFmtId="0" formula="'LBU '/'PRP TTC '" databaseField="0"/>
    <cacheField name="Bât / lgt" numFmtId="0" formula="'TOTAL TRAVAUX' /N" databaseField="0"/>
    <cacheField name="Honoraires / lgt" numFmtId="0" formula="HONORAIRES /N" databaseField="0"/>
    <cacheField name="Total / lgt" numFmtId="0" formula="'PRP TTC ' /N" databaseField="0"/>
    <cacheField name="Part Bâtiment " numFmtId="0" formula="'TOTAL TRAVAUX' /'PRP TTC '" databaseField="0"/>
    <cacheField name="Part honoraires" numFmtId="0" formula="HONORAIRES /'PRP TTC '" databaseField="0"/>
  </cacheFields>
  <extLst>
    <ext xmlns:x14="http://schemas.microsoft.com/office/spreadsheetml/2009/9/main" uri="{725AE2AE-9491-48be-B2B4-4EB974FC3084}">
      <x14:pivotCacheDefinition pivotCacheId="11507103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s v="100 Marches"/>
    <x v="0"/>
    <x v="0"/>
    <n v="10"/>
    <n v="0"/>
    <m/>
    <m/>
    <m/>
    <n v="10"/>
    <x v="0"/>
    <x v="0"/>
    <n v="362636"/>
    <m/>
    <n v="35480"/>
    <e v="#REF!"/>
    <n v="36263.599999999999"/>
    <m/>
    <m/>
    <e v="#REF!"/>
    <n v="327156"/>
    <n v="177156"/>
    <m/>
    <m/>
    <n v="17715.599999999999"/>
    <n v="150000"/>
    <n v="18200"/>
    <m/>
    <m/>
    <n v="5.0188067373344067E-2"/>
    <m/>
    <m/>
    <n v="17280"/>
    <n v="1820"/>
    <n v="1820"/>
    <m/>
    <m/>
    <e v="#REF!"/>
    <m/>
    <n v="1820"/>
    <e v="#REF!"/>
    <m/>
    <m/>
    <m/>
    <n v="49386.413229999991"/>
    <n v="0.13618728761071705"/>
    <n v="313249.58676999999"/>
    <e v="#REF!"/>
    <e v="#REF!"/>
    <m/>
    <m/>
    <n v="35480"/>
    <n v="0"/>
    <m/>
    <m/>
    <m/>
    <m/>
    <n v="0"/>
    <n v="203994.247"/>
    <m/>
    <m/>
    <m/>
    <m/>
    <m/>
    <m/>
    <m/>
    <m/>
    <m/>
    <m/>
    <m/>
    <m/>
    <m/>
    <n v="158641.73150000005"/>
    <m/>
    <n v="362635.97850000008"/>
    <n v="-2.1499999915249646E-2"/>
  </r>
  <r>
    <s v="Caramboles"/>
    <x v="0"/>
    <x v="0"/>
    <n v="6"/>
    <n v="0"/>
    <m/>
    <m/>
    <m/>
    <n v="6"/>
    <x v="1"/>
    <x v="0"/>
    <n v="263550"/>
    <m/>
    <n v="20940"/>
    <e v="#REF!"/>
    <n v="43925"/>
    <m/>
    <m/>
    <e v="#REF!"/>
    <n v="242610"/>
    <n v="82610"/>
    <m/>
    <m/>
    <n v="13768.333333333334"/>
    <n v="100000"/>
    <n v="10920"/>
    <m/>
    <m/>
    <n v="4.1434262948207172E-2"/>
    <n v="60000"/>
    <m/>
    <n v="10020"/>
    <n v="1820"/>
    <n v="1820"/>
    <m/>
    <m/>
    <e v="#REF!"/>
    <m/>
    <n v="1820"/>
    <e v="#REF!"/>
    <m/>
    <m/>
    <m/>
    <n v="74757.429999999993"/>
    <n v="0.28365558717510908"/>
    <n v="188792.57"/>
    <e v="#REF!"/>
    <e v="#REF!"/>
    <m/>
    <m/>
    <n v="20940"/>
    <n v="0"/>
    <m/>
    <m/>
    <m/>
    <m/>
    <n v="0"/>
    <n v="177210.20192999998"/>
    <m/>
    <m/>
    <m/>
    <m/>
    <m/>
    <m/>
    <m/>
    <m/>
    <m/>
    <m/>
    <m/>
    <m/>
    <m/>
    <n v="86339.798069999888"/>
    <m/>
    <n v="263549.99999999988"/>
    <n v="0"/>
  </r>
  <r>
    <s v="Poinsétias"/>
    <x v="1"/>
    <x v="0"/>
    <n v="34"/>
    <n v="0"/>
    <m/>
    <m/>
    <m/>
    <n v="34"/>
    <x v="2"/>
    <x v="1"/>
    <n v="1067716.22"/>
    <m/>
    <n v="172606.02"/>
    <e v="#REF!"/>
    <e v="#REF!"/>
    <m/>
    <m/>
    <n v="0"/>
    <n v="895110.2"/>
    <n v="555110.19999999995"/>
    <m/>
    <m/>
    <n v="16326.770588235293"/>
    <m/>
    <n v="170926.02"/>
    <m/>
    <m/>
    <n v="0.16008562649727284"/>
    <n v="340000"/>
    <m/>
    <n v="1680"/>
    <n v="5027.2358823529412"/>
    <n v="5027.2358823529412"/>
    <m/>
    <m/>
    <n v="5027.2358823529412"/>
    <m/>
    <n v="5027.2358823529412"/>
    <n v="0.16008562649727284"/>
    <m/>
    <m/>
    <m/>
    <n v="77547.36976999999"/>
    <n v="7.2629195208816805E-2"/>
    <n v="990168.85022999998"/>
    <e v="#REF!"/>
    <e v="#REF!"/>
    <m/>
    <m/>
    <n v="172606.02"/>
    <n v="0"/>
    <m/>
    <m/>
    <m/>
    <m/>
    <n v="0"/>
    <n v="851762.25"/>
    <m/>
    <m/>
    <m/>
    <m/>
    <m/>
    <m/>
    <m/>
    <m/>
    <m/>
    <m/>
    <m/>
    <m/>
    <m/>
    <n v="215953.76921380474"/>
    <m/>
    <n v="1067716.0192138047"/>
    <n v="-0.20078619522973895"/>
  </r>
  <r>
    <s v="Hubert Delisle"/>
    <x v="0"/>
    <x v="0"/>
    <n v="74"/>
    <n v="0"/>
    <m/>
    <m/>
    <m/>
    <n v="74"/>
    <x v="3"/>
    <x v="0"/>
    <n v="3806192.29"/>
    <m/>
    <n v="851436.29"/>
    <e v="#REF!"/>
    <n v="51435.030945945946"/>
    <m/>
    <m/>
    <e v="#REF!"/>
    <n v="2954756"/>
    <n v="2214756"/>
    <m/>
    <m/>
    <n v="29929.135135135137"/>
    <m/>
    <n v="661072.80000000005"/>
    <m/>
    <m/>
    <n v="0.1736835003677652"/>
    <n v="740000"/>
    <m/>
    <n v="190363.49"/>
    <n v="8933.4162162162174"/>
    <n v="8933.4162162162174"/>
    <m/>
    <m/>
    <e v="#REF!"/>
    <m/>
    <n v="8933.4162162162174"/>
    <e v="#REF!"/>
    <m/>
    <m/>
    <m/>
    <n v="896776.81884999992"/>
    <n v="0.23560996148463112"/>
    <n v="2909415.4711500001"/>
    <e v="#REF!"/>
    <e v="#REF!"/>
    <m/>
    <m/>
    <n v="851436.29"/>
    <n v="0"/>
    <m/>
    <m/>
    <m/>
    <m/>
    <n v="0"/>
    <n v="3200210.04"/>
    <m/>
    <m/>
    <m/>
    <m/>
    <m/>
    <m/>
    <m/>
    <m/>
    <m/>
    <m/>
    <m/>
    <m/>
    <m/>
    <n v="605982.25431000034"/>
    <m/>
    <n v="3806192.2943100003"/>
    <n v="4.3100002221763134E-3"/>
  </r>
  <r>
    <s v="Bougainvillées"/>
    <x v="0"/>
    <x v="0"/>
    <n v="26"/>
    <n v="0"/>
    <m/>
    <m/>
    <m/>
    <n v="26"/>
    <x v="4"/>
    <x v="0"/>
    <n v="1067865.8"/>
    <m/>
    <n v="90525.8"/>
    <e v="#REF!"/>
    <n v="41071.761538461542"/>
    <m/>
    <m/>
    <e v="#REF!"/>
    <n v="977340"/>
    <n v="827340"/>
    <m/>
    <m/>
    <n v="31820.76923076923"/>
    <n v="150000"/>
    <n v="47320"/>
    <m/>
    <m/>
    <n v="4.4312684234292361E-2"/>
    <m/>
    <m/>
    <n v="43205.8"/>
    <n v="1820"/>
    <n v="1820"/>
    <m/>
    <m/>
    <e v="#REF!"/>
    <m/>
    <n v="1820"/>
    <e v="#REF!"/>
    <m/>
    <m/>
    <m/>
    <n v="185676.66064999998"/>
    <n v="0.17387639968430488"/>
    <n v="882189.13935000007"/>
    <e v="#REF!"/>
    <e v="#REF!"/>
    <m/>
    <m/>
    <n v="90525.8"/>
    <n v="0"/>
    <m/>
    <m/>
    <m/>
    <m/>
    <n v="0"/>
    <n v="818917.26"/>
    <m/>
    <m/>
    <m/>
    <m/>
    <m/>
    <m/>
    <m/>
    <m/>
    <m/>
    <m/>
    <m/>
    <m/>
    <m/>
    <n v="248948.54209000003"/>
    <m/>
    <n v="1067865.8020900001"/>
    <n v="2.090000081807375E-3"/>
  </r>
  <r>
    <s v="Bras des Etangs"/>
    <x v="0"/>
    <x v="0"/>
    <n v="31"/>
    <n v="0"/>
    <m/>
    <m/>
    <m/>
    <n v="31"/>
    <x v="5"/>
    <x v="0"/>
    <n v="2154524"/>
    <m/>
    <n v="517954"/>
    <e v="#REF!"/>
    <n v="69500.774193548394"/>
    <m/>
    <m/>
    <e v="#REF!"/>
    <n v="1636570"/>
    <n v="989127"/>
    <m/>
    <m/>
    <n v="31907.322580645163"/>
    <n v="347443"/>
    <n v="401760"/>
    <m/>
    <m/>
    <n v="0.1864727429353305"/>
    <n v="300000"/>
    <m/>
    <n v="116194"/>
    <n v="12960"/>
    <n v="12960"/>
    <m/>
    <m/>
    <e v="#REF!"/>
    <m/>
    <n v="12960"/>
    <e v="#REF!"/>
    <m/>
    <m/>
    <m/>
    <n v="241383.86025999996"/>
    <n v="0.11203581870519889"/>
    <n v="1913140.13974"/>
    <e v="#REF!"/>
    <e v="#REF!"/>
    <m/>
    <m/>
    <n v="517954"/>
    <n v="0"/>
    <m/>
    <m/>
    <m/>
    <m/>
    <n v="0"/>
    <n v="1752943.91"/>
    <m/>
    <m/>
    <m/>
    <m/>
    <m/>
    <m/>
    <m/>
    <m/>
    <m/>
    <m/>
    <m/>
    <m/>
    <m/>
    <n v="401580.08629319421"/>
    <m/>
    <n v="2154523.9962931941"/>
    <n v="-3.7068058736622334E-3"/>
  </r>
  <r>
    <s v="Citronnelles"/>
    <x v="0"/>
    <x v="0"/>
    <n v="45"/>
    <n v="0"/>
    <m/>
    <m/>
    <m/>
    <n v="45"/>
    <x v="0"/>
    <x v="0"/>
    <n v="2205644"/>
    <m/>
    <n v="407136"/>
    <e v="#REF!"/>
    <n v="49014.311111111114"/>
    <m/>
    <m/>
    <e v="#REF!"/>
    <n v="1798508"/>
    <n v="1348508"/>
    <m/>
    <m/>
    <n v="29966.844444444443"/>
    <m/>
    <n v="281250"/>
    <m/>
    <m/>
    <n v="0.12751377828879004"/>
    <n v="450000"/>
    <m/>
    <n v="125886"/>
    <n v="6250"/>
    <n v="6250"/>
    <m/>
    <m/>
    <e v="#REF!"/>
    <m/>
    <n v="6250"/>
    <e v="#REF!"/>
    <m/>
    <m/>
    <m/>
    <n v="435509.55661999999"/>
    <n v="0.19745233438397131"/>
    <n v="1770134.4433800001"/>
    <e v="#REF!"/>
    <e v="#REF!"/>
    <m/>
    <m/>
    <n v="407136"/>
    <n v="0"/>
    <m/>
    <m/>
    <m/>
    <m/>
    <n v="0"/>
    <n v="1699959.04"/>
    <m/>
    <m/>
    <m/>
    <m/>
    <m/>
    <m/>
    <m/>
    <m/>
    <m/>
    <m/>
    <m/>
    <m/>
    <m/>
    <n v="505685.00167490001"/>
    <m/>
    <n v="2205644.0416748999"/>
    <n v="4.1674899868667126E-2"/>
  </r>
  <r>
    <s v="Canal Lilis"/>
    <x v="1"/>
    <x v="0"/>
    <n v="23"/>
    <n v="0"/>
    <m/>
    <m/>
    <m/>
    <n v="23"/>
    <x v="6"/>
    <x v="1"/>
    <n v="1167532.54"/>
    <m/>
    <n v="202739.6"/>
    <e v="#REF!"/>
    <n v="50762.284347826091"/>
    <m/>
    <m/>
    <n v="0"/>
    <n v="964792.94"/>
    <n v="784792.94"/>
    <m/>
    <m/>
    <n v="34121.432173913039"/>
    <m/>
    <n v="165991"/>
    <m/>
    <m/>
    <n v="0.14217248283289816"/>
    <n v="180000"/>
    <m/>
    <n v="36748.6"/>
    <n v="7217"/>
    <n v="7217"/>
    <m/>
    <m/>
    <e v="#REF!"/>
    <m/>
    <n v="7217"/>
    <e v="#REF!"/>
    <m/>
    <m/>
    <m/>
    <n v="73063.454279999991"/>
    <n v="6.2579372974050029E-2"/>
    <n v="1094469.0857200001"/>
    <e v="#REF!"/>
    <e v="#REF!"/>
    <m/>
    <m/>
    <n v="202739.6"/>
    <n v="0"/>
    <s v="OS en  attente de délivrance"/>
    <m/>
    <m/>
    <m/>
    <n v="0"/>
    <n v="892673.91"/>
    <m/>
    <m/>
    <m/>
    <m/>
    <m/>
    <m/>
    <m/>
    <m/>
    <m/>
    <m/>
    <m/>
    <m/>
    <m/>
    <n v="274858.69006999995"/>
    <m/>
    <n v="1167532.6000699999"/>
    <n v="6.0069999890401959E-2"/>
  </r>
  <r>
    <s v="Bellevue A-B-C"/>
    <x v="1"/>
    <x v="0"/>
    <n v="128"/>
    <n v="0"/>
    <m/>
    <m/>
    <m/>
    <n v="128"/>
    <x v="7"/>
    <x v="1"/>
    <n v="3854234.8000000003"/>
    <m/>
    <n v="886822.55999999994"/>
    <e v="#REF!"/>
    <n v="30111.209375000002"/>
    <m/>
    <m/>
    <n v="0"/>
    <n v="2967412.24"/>
    <n v="2287412.2400000002"/>
    <m/>
    <m/>
    <n v="17870.408125000002"/>
    <m/>
    <n v="655705.55999999994"/>
    <m/>
    <m/>
    <n v="0.17012600270227438"/>
    <n v="680000"/>
    <m/>
    <n v="231117"/>
    <n v="5122.6996874999995"/>
    <n v="5122.6996874999995"/>
    <m/>
    <m/>
    <e v="#REF!"/>
    <m/>
    <n v="5122.6996874999995"/>
    <e v="#REF!"/>
    <m/>
    <m/>
    <m/>
    <n v="2391683.2648499999"/>
    <n v="0.6205338773989586"/>
    <n v="1462551.5351500004"/>
    <e v="#REF!"/>
    <e v="#REF!"/>
    <m/>
    <m/>
    <n v="886822.55999999994"/>
    <n v="0"/>
    <s v="OS en  attente de délivrance"/>
    <m/>
    <m/>
    <m/>
    <n v="0"/>
    <n v="3169843.04"/>
    <m/>
    <m/>
    <m/>
    <m/>
    <m/>
    <m/>
    <m/>
    <m/>
    <m/>
    <m/>
    <m/>
    <m/>
    <m/>
    <n v="684391.96492000041"/>
    <m/>
    <n v="3854235.0049200002"/>
    <n v="0.20491999993100762"/>
  </r>
  <r>
    <s v="La Cure"/>
    <x v="1"/>
    <x v="0"/>
    <n v="30"/>
    <n v="0"/>
    <m/>
    <m/>
    <m/>
    <n v="30"/>
    <x v="8"/>
    <x v="2"/>
    <n v="1325066.52"/>
    <m/>
    <n v="277496.83999999997"/>
    <e v="#REF!"/>
    <n v="44168.883999999998"/>
    <m/>
    <m/>
    <n v="0"/>
    <n v="1047569.68"/>
    <n v="617569.68000000005"/>
    <m/>
    <m/>
    <n v="20585.656000000003"/>
    <n v="180000"/>
    <n v="232391.84"/>
    <m/>
    <m/>
    <n v="0.17538126312330343"/>
    <n v="250000"/>
    <m/>
    <n v="45105"/>
    <n v="7746.3946666666661"/>
    <n v="7746.3946666666661"/>
    <m/>
    <m/>
    <e v="#REF!"/>
    <m/>
    <n v="7746.3946666666661"/>
    <e v="#REF!"/>
    <m/>
    <m/>
    <m/>
    <n v="102326.36590999999"/>
    <n v="7.7223569055235045E-2"/>
    <n v="1222740.1540900001"/>
    <e v="#REF!"/>
    <e v="#REF!"/>
    <m/>
    <m/>
    <n v="277496.83999999997"/>
    <n v="0"/>
    <s v="OS en  attente de délivrance"/>
    <m/>
    <m/>
    <m/>
    <n v="0"/>
    <n v="1042048.02"/>
    <m/>
    <m/>
    <m/>
    <m/>
    <m/>
    <m/>
    <m/>
    <m/>
    <m/>
    <m/>
    <m/>
    <m/>
    <m/>
    <n v="283019.42289999983"/>
    <m/>
    <n v="1325067.4428999999"/>
    <n v="0.92289999988861382"/>
  </r>
  <r>
    <s v="Casabianca"/>
    <x v="2"/>
    <x v="0"/>
    <n v="16"/>
    <n v="0"/>
    <m/>
    <m/>
    <m/>
    <n v="16"/>
    <x v="9"/>
    <x v="3"/>
    <n v="880000"/>
    <m/>
    <n v="217455"/>
    <e v="#REF!"/>
    <n v="55000"/>
    <m/>
    <m/>
    <e v="#REF!"/>
    <n v="662545"/>
    <n v="526545"/>
    <m/>
    <m/>
    <n v="32909.0625"/>
    <n v="136000"/>
    <n v="207360"/>
    <n v="0"/>
    <m/>
    <n v="0.23563636363636364"/>
    <m/>
    <m/>
    <n v="10095"/>
    <n v="12960"/>
    <n v="12960"/>
    <m/>
    <m/>
    <e v="#REF!"/>
    <m/>
    <n v="12960"/>
    <e v="#REF!"/>
    <m/>
    <m/>
    <m/>
    <m/>
    <n v="0"/>
    <n v="880000"/>
    <e v="#REF!"/>
    <e v="#REF!"/>
    <m/>
    <m/>
    <n v="217455"/>
    <n v="0"/>
    <m/>
    <m/>
    <m/>
    <m/>
    <n v="0"/>
    <n v="479304.21"/>
    <m/>
    <m/>
    <m/>
    <m/>
    <m/>
    <m/>
    <m/>
    <m/>
    <m/>
    <m/>
    <m/>
    <m/>
    <m/>
    <n v="400695.78665793617"/>
    <m/>
    <n v="879999.99665793614"/>
    <n v="-3.3420638646930456E-3"/>
  </r>
  <r>
    <s v="Chemin Galet 1"/>
    <x v="2"/>
    <x v="0"/>
    <n v="30"/>
    <n v="0"/>
    <m/>
    <m/>
    <m/>
    <n v="30"/>
    <x v="9"/>
    <x v="3"/>
    <n v="1508999.78"/>
    <m/>
    <n v="323920"/>
    <e v="#REF!"/>
    <n v="50299.992666666665"/>
    <n v="339880"/>
    <m/>
    <e v="#REF!"/>
    <n v="845199.78"/>
    <n v="575199.78"/>
    <m/>
    <m/>
    <n v="19173.326000000001"/>
    <n v="270000"/>
    <n v="270000"/>
    <n v="0"/>
    <m/>
    <n v="0.17892646743792104"/>
    <m/>
    <m/>
    <n v="53920"/>
    <n v="9000"/>
    <n v="20329.333333333332"/>
    <m/>
    <m/>
    <e v="#REF!"/>
    <m/>
    <n v="20329.333333333332"/>
    <e v="#REF!"/>
    <m/>
    <m/>
    <m/>
    <m/>
    <n v="0"/>
    <n v="1508999.78"/>
    <e v="#REF!"/>
    <e v="#REF!"/>
    <m/>
    <m/>
    <n v="323920"/>
    <n v="0"/>
    <m/>
    <m/>
    <m/>
    <m/>
    <n v="0"/>
    <n v="1143214.27"/>
    <m/>
    <m/>
    <m/>
    <m/>
    <m/>
    <m/>
    <m/>
    <m/>
    <m/>
    <m/>
    <m/>
    <m/>
    <m/>
    <n v="365785.72824000008"/>
    <m/>
    <n v="1508999.9982400001"/>
    <n v="0.21824000007472932"/>
  </r>
  <r>
    <s v="Chemin Galet 2"/>
    <x v="2"/>
    <x v="0"/>
    <n v="32"/>
    <n v="0"/>
    <m/>
    <m/>
    <m/>
    <n v="32"/>
    <x v="9"/>
    <x v="3"/>
    <n v="1609999.51"/>
    <m/>
    <n v="305170"/>
    <e v="#REF!"/>
    <n v="50312.4846875"/>
    <n v="317180"/>
    <m/>
    <e v="#REF!"/>
    <n v="987649.51"/>
    <n v="267649.51"/>
    <m/>
    <m/>
    <n v="8364.0471875000003"/>
    <n v="320000"/>
    <n v="288000"/>
    <n v="400000"/>
    <m/>
    <n v="0.17888204202000035"/>
    <m/>
    <m/>
    <n v="17170"/>
    <n v="9000"/>
    <n v="18911.875"/>
    <m/>
    <m/>
    <e v="#REF!"/>
    <m/>
    <n v="18911.875"/>
    <e v="#REF!"/>
    <m/>
    <m/>
    <m/>
    <m/>
    <n v="0"/>
    <n v="1609999.51"/>
    <e v="#REF!"/>
    <e v="#REF!"/>
    <m/>
    <m/>
    <n v="305170"/>
    <n v="0"/>
    <m/>
    <m/>
    <m/>
    <m/>
    <n v="0"/>
    <n v="1103651.21"/>
    <m/>
    <m/>
    <m/>
    <m/>
    <m/>
    <m/>
    <m/>
    <m/>
    <m/>
    <m/>
    <m/>
    <m/>
    <m/>
    <n v="506348.79417000018"/>
    <m/>
    <n v="1610000.0041700001"/>
    <n v="0.49417000007815659"/>
  </r>
  <r>
    <s v="Choka Bleu"/>
    <x v="2"/>
    <x v="0"/>
    <n v="26"/>
    <n v="0"/>
    <m/>
    <m/>
    <m/>
    <n v="26"/>
    <x v="9"/>
    <x v="3"/>
    <n v="1306999.58"/>
    <m/>
    <n v="235470"/>
    <e v="#REF!"/>
    <n v="50269.214615384619"/>
    <n v="318422"/>
    <m/>
    <e v="#REF!"/>
    <n v="753107.58"/>
    <n v="571107.57999999996"/>
    <m/>
    <m/>
    <n v="21965.676153846151"/>
    <n v="182000"/>
    <n v="234000"/>
    <n v="0"/>
    <m/>
    <n v="0.17903601774684577"/>
    <m/>
    <m/>
    <n v="1470"/>
    <n v="9000"/>
    <n v="21247"/>
    <m/>
    <m/>
    <e v="#REF!"/>
    <m/>
    <n v="21247"/>
    <e v="#REF!"/>
    <m/>
    <m/>
    <m/>
    <m/>
    <n v="0"/>
    <n v="1306999.58"/>
    <e v="#REF!"/>
    <e v="#REF!"/>
    <m/>
    <m/>
    <n v="235470"/>
    <n v="0"/>
    <m/>
    <m/>
    <m/>
    <m/>
    <n v="0"/>
    <n v="1051687.23"/>
    <m/>
    <m/>
    <m/>
    <m/>
    <m/>
    <m/>
    <m/>
    <m/>
    <m/>
    <m/>
    <m/>
    <m/>
    <m/>
    <n v="255312.77295000025"/>
    <m/>
    <n v="1307000.0029500001"/>
    <n v="0.42295000003650784"/>
  </r>
  <r>
    <s v="La Chapelle"/>
    <x v="2"/>
    <x v="0"/>
    <n v="38"/>
    <n v="0"/>
    <m/>
    <m/>
    <m/>
    <n v="38"/>
    <x v="9"/>
    <x v="3"/>
    <n v="2342998"/>
    <m/>
    <n v="562400"/>
    <e v="#REF!"/>
    <n v="61657.84210526316"/>
    <m/>
    <m/>
    <e v="#REF!"/>
    <n v="1780598"/>
    <n v="457598"/>
    <m/>
    <m/>
    <n v="12042.052631578947"/>
    <n v="323000"/>
    <n v="492480"/>
    <n v="1000000"/>
    <m/>
    <n v="0.21019224088112751"/>
    <m/>
    <m/>
    <n v="69920"/>
    <n v="12960"/>
    <n v="12960"/>
    <m/>
    <m/>
    <e v="#REF!"/>
    <m/>
    <n v="12960"/>
    <e v="#REF!"/>
    <m/>
    <m/>
    <m/>
    <m/>
    <n v="0"/>
    <n v="2342998"/>
    <e v="#REF!"/>
    <e v="#REF!"/>
    <m/>
    <m/>
    <n v="562400"/>
    <n v="0"/>
    <m/>
    <m/>
    <m/>
    <m/>
    <n v="0"/>
    <n v="1922127.4529999997"/>
    <m/>
    <m/>
    <m/>
    <m/>
    <m/>
    <m/>
    <m/>
    <m/>
    <m/>
    <m/>
    <m/>
    <m/>
    <m/>
    <n v="420870.65336916619"/>
    <m/>
    <n v="2342998.1063691657"/>
    <n v="0.10636916570365429"/>
  </r>
  <r>
    <s v="La Cure 2"/>
    <x v="2"/>
    <x v="0"/>
    <n v="18"/>
    <n v="0"/>
    <m/>
    <m/>
    <m/>
    <n v="18"/>
    <x v="9"/>
    <x v="3"/>
    <n v="905000"/>
    <m/>
    <n v="163470"/>
    <e v="#REF!"/>
    <n v="50277.777777777781"/>
    <n v="167040"/>
    <m/>
    <e v="#REF!"/>
    <n v="574490"/>
    <n v="439490"/>
    <m/>
    <m/>
    <n v="24416.111111111109"/>
    <n v="135000"/>
    <n v="162000"/>
    <n v="0"/>
    <m/>
    <n v="0.17900552486187846"/>
    <m/>
    <m/>
    <n v="1470"/>
    <n v="9000"/>
    <n v="18280"/>
    <m/>
    <m/>
    <e v="#REF!"/>
    <m/>
    <n v="18280"/>
    <e v="#REF!"/>
    <m/>
    <m/>
    <m/>
    <m/>
    <n v="0"/>
    <n v="905000"/>
    <e v="#REF!"/>
    <e v="#REF!"/>
    <m/>
    <m/>
    <n v="163470"/>
    <n v="0"/>
    <m/>
    <m/>
    <m/>
    <m/>
    <n v="0"/>
    <n v="591771.65104999999"/>
    <m/>
    <m/>
    <m/>
    <m/>
    <m/>
    <m/>
    <m/>
    <m/>
    <m/>
    <m/>
    <m/>
    <m/>
    <m/>
    <n v="313228.34895000013"/>
    <m/>
    <n v="905000.00000000012"/>
    <n v="0"/>
  </r>
  <r>
    <s v="Orchidées 1"/>
    <x v="2"/>
    <x v="0"/>
    <n v="83"/>
    <n v="0"/>
    <m/>
    <m/>
    <m/>
    <n v="83"/>
    <x v="9"/>
    <x v="3"/>
    <n v="4175000"/>
    <m/>
    <n v="749800"/>
    <e v="#REF!"/>
    <n v="50301.204819277111"/>
    <n v="763743"/>
    <m/>
    <e v="#REF!"/>
    <n v="2661457"/>
    <n v="880457"/>
    <m/>
    <m/>
    <n v="10607.915662650603"/>
    <n v="581000"/>
    <n v="747000"/>
    <n v="1200000"/>
    <m/>
    <n v="0.17892215568862274"/>
    <m/>
    <m/>
    <n v="2800"/>
    <n v="9000"/>
    <n v="18201.722891566264"/>
    <m/>
    <m/>
    <e v="#REF!"/>
    <m/>
    <n v="18201.722891566264"/>
    <e v="#REF!"/>
    <m/>
    <m/>
    <m/>
    <m/>
    <n v="0"/>
    <n v="4175000"/>
    <e v="#REF!"/>
    <e v="#REF!"/>
    <m/>
    <m/>
    <n v="749800"/>
    <n v="0"/>
    <m/>
    <m/>
    <m/>
    <m/>
    <n v="0"/>
    <n v="2712141.5077899997"/>
    <m/>
    <m/>
    <m/>
    <m/>
    <m/>
    <m/>
    <m/>
    <m/>
    <m/>
    <m/>
    <m/>
    <m/>
    <m/>
    <n v="1462858.4922100003"/>
    <m/>
    <n v="4175000"/>
    <n v="0"/>
  </r>
  <r>
    <s v="Cazala"/>
    <x v="3"/>
    <x v="0"/>
    <n v="57"/>
    <m/>
    <m/>
    <m/>
    <m/>
    <n v="57"/>
    <x v="10"/>
    <x v="3"/>
    <n v="2867000"/>
    <n v="2867000"/>
    <n v="740540"/>
    <e v="#REF!"/>
    <n v="50298.245614035084"/>
    <n v="480000"/>
    <m/>
    <n v="8421.0526315789466"/>
    <n v="1646460"/>
    <n v="1646460"/>
    <m/>
    <m/>
    <n v="28885.263157894737"/>
    <m/>
    <n v="738720"/>
    <m/>
    <m/>
    <n v="0.25766306243460063"/>
    <m/>
    <m/>
    <n v="1820"/>
    <n v="12960"/>
    <n v="21381.052631578947"/>
    <m/>
    <m/>
    <e v="#REF!"/>
    <m/>
    <n v="21381.052631578947"/>
    <e v="#REF!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2867000"/>
  </r>
  <r>
    <s v="Cœur de village 40"/>
    <x v="3"/>
    <x v="0"/>
    <n v="40"/>
    <m/>
    <m/>
    <m/>
    <m/>
    <n v="40"/>
    <x v="11"/>
    <x v="3"/>
    <n v="1600000"/>
    <n v="1600000"/>
    <n v="498930.41"/>
    <e v="#REF!"/>
    <n v="40000"/>
    <m/>
    <m/>
    <n v="0"/>
    <n v="1101069.5900000001"/>
    <n v="1101069.5900000001"/>
    <m/>
    <m/>
    <n v="27526.739750000001"/>
    <m/>
    <n v="497110.41"/>
    <m/>
    <m/>
    <n v="0.31069400624999999"/>
    <m/>
    <m/>
    <n v="1820"/>
    <n v="12427.760249999999"/>
    <n v="12427.760249999999"/>
    <m/>
    <m/>
    <e v="#REF!"/>
    <m/>
    <n v="12427.760249999999"/>
    <e v="#REF!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1600000"/>
  </r>
  <r>
    <s v="La Forêt"/>
    <x v="3"/>
    <x v="0"/>
    <n v="10"/>
    <m/>
    <m/>
    <m/>
    <m/>
    <n v="10"/>
    <x v="10"/>
    <x v="3"/>
    <n v="733042"/>
    <n v="733042"/>
    <n v="201575"/>
    <e v="#REF!"/>
    <n v="73304.2"/>
    <m/>
    <m/>
    <n v="0"/>
    <n v="531467"/>
    <n v="531467"/>
    <m/>
    <m/>
    <n v="53146.7"/>
    <m/>
    <n v="200000"/>
    <m/>
    <m/>
    <n v="0.27283566289516836"/>
    <m/>
    <m/>
    <n v="1575"/>
    <n v="20000"/>
    <n v="20000"/>
    <m/>
    <m/>
    <e v="#REF!"/>
    <m/>
    <n v="20000"/>
    <e v="#REF!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733042"/>
  </r>
  <r>
    <s v="Lacaussade 1"/>
    <x v="3"/>
    <x v="0"/>
    <n v="36"/>
    <m/>
    <m/>
    <m/>
    <m/>
    <n v="36"/>
    <x v="10"/>
    <x v="3"/>
    <n v="1807870"/>
    <n v="1807870"/>
    <n v="226575"/>
    <e v="#REF!"/>
    <n v="50218.611111111109"/>
    <n v="460624"/>
    <m/>
    <n v="12795.111111111111"/>
    <n v="1120671"/>
    <n v="1120671"/>
    <m/>
    <m/>
    <n v="31129.75"/>
    <m/>
    <n v="225000"/>
    <m/>
    <m/>
    <n v="0.12445585136099388"/>
    <m/>
    <m/>
    <n v="1575"/>
    <n v="6250"/>
    <n v="19045.111111111109"/>
    <m/>
    <m/>
    <e v="#REF!"/>
    <m/>
    <n v="19045.111111111109"/>
    <e v="#REF!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1807870"/>
  </r>
  <r>
    <s v="Le Ruisseau"/>
    <x v="3"/>
    <x v="0"/>
    <n v="29"/>
    <m/>
    <m/>
    <m/>
    <m/>
    <n v="29"/>
    <x v="10"/>
    <x v="3"/>
    <n v="1160000"/>
    <n v="1160000"/>
    <n v="359999.04"/>
    <e v="#REF!"/>
    <n v="40000"/>
    <m/>
    <m/>
    <n v="0"/>
    <n v="800000.96"/>
    <n v="800000.96"/>
    <m/>
    <m/>
    <n v="27586.239999999998"/>
    <m/>
    <n v="358424.04"/>
    <m/>
    <m/>
    <n v="0.3089862413793103"/>
    <m/>
    <m/>
    <n v="1575"/>
    <n v="12359.449655172413"/>
    <n v="12359.449655172413"/>
    <m/>
    <m/>
    <n v="12359.449655172413"/>
    <m/>
    <n v="12359.449655172413"/>
    <n v="0.3089862413793103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1160000"/>
  </r>
  <r>
    <s v="Orchidées 2"/>
    <x v="3"/>
    <x v="0"/>
    <n v="86"/>
    <m/>
    <m/>
    <m/>
    <m/>
    <n v="86"/>
    <x v="10"/>
    <x v="3"/>
    <n v="4326000.01"/>
    <n v="4326000.01"/>
    <n v="540020"/>
    <e v="#REF!"/>
    <n v="50302.325697674416"/>
    <n v="1104714.57"/>
    <m/>
    <n v="12845.518255813955"/>
    <n v="2681265.44"/>
    <n v="2681265.44"/>
    <m/>
    <m/>
    <n v="31177.50511627907"/>
    <m/>
    <n v="537500"/>
    <m/>
    <m/>
    <n v="0.12424872833044677"/>
    <m/>
    <m/>
    <n v="2520"/>
    <n v="6250"/>
    <n v="19095.518255813953"/>
    <m/>
    <m/>
    <n v="19095.518255813953"/>
    <m/>
    <n v="19095.518255813953"/>
    <n v="0.37961501761531435"/>
    <m/>
    <m/>
    <m/>
    <m/>
    <m/>
    <m/>
    <e v="#REF!"/>
    <e v="#REF!"/>
    <m/>
    <m/>
    <m/>
    <m/>
    <m/>
    <m/>
    <m/>
    <m/>
    <n v="0"/>
    <n v="0"/>
    <m/>
    <m/>
    <m/>
    <m/>
    <m/>
    <m/>
    <m/>
    <m/>
    <m/>
    <m/>
    <m/>
    <m/>
    <m/>
    <m/>
    <m/>
    <n v="0"/>
    <n v="-4326000.01"/>
  </r>
  <r>
    <s v="Benjoins 1"/>
    <x v="4"/>
    <x v="0"/>
    <n v="24"/>
    <m/>
    <m/>
    <m/>
    <m/>
    <n v="24"/>
    <x v="12"/>
    <x v="3"/>
    <n v="958424.99999999977"/>
    <n v="958424.99999999977"/>
    <n v="43680.000000000007"/>
    <e v="#REF!"/>
    <n v="39934.374999999993"/>
    <m/>
    <m/>
    <n v="0"/>
    <n v="914744.99999999977"/>
    <n v="914744.99999999977"/>
    <m/>
    <m/>
    <n v="38114.374999999993"/>
    <m/>
    <n v="43680.000000000007"/>
    <m/>
    <m/>
    <n v="4.5574771108850477E-2"/>
    <m/>
    <m/>
    <m/>
    <m/>
    <m/>
    <m/>
    <m/>
    <m/>
    <m/>
    <m/>
    <m/>
    <m/>
    <m/>
    <m/>
    <m/>
    <n v="0"/>
    <n v="958424.99999999977"/>
    <e v="#REF!"/>
    <e v="#REF!"/>
    <m/>
    <m/>
    <n v="43680.000000000007"/>
    <n v="0"/>
    <m/>
    <m/>
    <m/>
    <m/>
    <n v="0"/>
    <n v="0"/>
    <m/>
    <m/>
    <m/>
    <m/>
    <m/>
    <m/>
    <m/>
    <m/>
    <m/>
    <m/>
    <m/>
    <m/>
    <m/>
    <m/>
    <n v="234137.55"/>
    <n v="234137.55"/>
    <n v="-724287.44999999972"/>
  </r>
  <r>
    <s v="Nid Joli"/>
    <x v="4"/>
    <x v="0"/>
    <n v="22"/>
    <m/>
    <m/>
    <m/>
    <m/>
    <n v="22"/>
    <x v="12"/>
    <x v="3"/>
    <n v="1100000"/>
    <n v="1100000"/>
    <n v="0"/>
    <e v="#REF!"/>
    <n v="50000"/>
    <m/>
    <m/>
    <n v="0"/>
    <n v="0"/>
    <n v="0"/>
    <m/>
    <m/>
    <n v="0"/>
    <m/>
    <m/>
    <m/>
    <m/>
    <n v="0"/>
    <m/>
    <m/>
    <m/>
    <m/>
    <m/>
    <m/>
    <m/>
    <n v="0"/>
    <m/>
    <n v="0"/>
    <n v="0"/>
    <m/>
    <m/>
    <m/>
    <m/>
    <n v="0"/>
    <n v="11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1100000"/>
  </r>
  <r>
    <s v="Cœur de Village 45"/>
    <x v="5"/>
    <x v="0"/>
    <n v="45"/>
    <m/>
    <m/>
    <m/>
    <m/>
    <n v="45"/>
    <x v="13"/>
    <x v="3"/>
    <n v="2250000"/>
    <n v="2250000"/>
    <n v="0"/>
    <e v="#REF!"/>
    <n v="50000"/>
    <m/>
    <m/>
    <n v="0"/>
    <n v="0"/>
    <n v="0"/>
    <m/>
    <m/>
    <n v="0"/>
    <m/>
    <m/>
    <m/>
    <m/>
    <n v="0"/>
    <m/>
    <m/>
    <m/>
    <m/>
    <m/>
    <m/>
    <m/>
    <m/>
    <m/>
    <m/>
    <m/>
    <m/>
    <m/>
    <m/>
    <m/>
    <n v="0"/>
    <n v="225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2250000"/>
  </r>
  <r>
    <s v="BERIVE"/>
    <x v="4"/>
    <x v="0"/>
    <n v="40"/>
    <m/>
    <m/>
    <m/>
    <m/>
    <n v="40"/>
    <x v="12"/>
    <x v="3"/>
    <n v="2000000"/>
    <n v="2000000"/>
    <n v="0"/>
    <e v="#REF!"/>
    <n v="50000"/>
    <m/>
    <m/>
    <n v="0"/>
    <n v="0"/>
    <n v="0"/>
    <m/>
    <m/>
    <n v="0"/>
    <m/>
    <m/>
    <m/>
    <m/>
    <n v="0"/>
    <m/>
    <m/>
    <m/>
    <m/>
    <m/>
    <m/>
    <m/>
    <m/>
    <m/>
    <m/>
    <m/>
    <m/>
    <m/>
    <m/>
    <m/>
    <n v="0"/>
    <n v="20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2000000"/>
  </r>
  <r>
    <s v="Usine à Vetyver"/>
    <x v="4"/>
    <x v="0"/>
    <n v="44"/>
    <m/>
    <m/>
    <m/>
    <m/>
    <n v="44"/>
    <x v="12"/>
    <x v="3"/>
    <n v="2200000"/>
    <n v="2200000"/>
    <n v="0"/>
    <e v="#REF!"/>
    <n v="50000"/>
    <m/>
    <m/>
    <n v="0"/>
    <n v="0"/>
    <n v="0"/>
    <m/>
    <m/>
    <n v="0"/>
    <m/>
    <m/>
    <m/>
    <m/>
    <n v="0"/>
    <m/>
    <m/>
    <m/>
    <m/>
    <m/>
    <m/>
    <m/>
    <n v="0"/>
    <m/>
    <n v="0"/>
    <n v="0"/>
    <m/>
    <m/>
    <m/>
    <m/>
    <n v="0"/>
    <n v="22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2200000"/>
  </r>
  <r>
    <s v="Don Juan 2"/>
    <x v="5"/>
    <x v="0"/>
    <n v="20"/>
    <m/>
    <m/>
    <m/>
    <m/>
    <n v="20"/>
    <x v="12"/>
    <x v="3"/>
    <n v="1000000"/>
    <n v="1000000"/>
    <n v="0"/>
    <e v="#REF!"/>
    <n v="50000"/>
    <m/>
    <m/>
    <n v="0"/>
    <n v="0"/>
    <n v="0"/>
    <m/>
    <m/>
    <n v="0"/>
    <m/>
    <m/>
    <m/>
    <m/>
    <n v="0"/>
    <m/>
    <m/>
    <m/>
    <m/>
    <m/>
    <m/>
    <m/>
    <m/>
    <m/>
    <m/>
    <m/>
    <m/>
    <m/>
    <m/>
    <m/>
    <n v="0"/>
    <n v="10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n v="234137.55"/>
    <n v="234137.55"/>
    <n v="-765862.45"/>
  </r>
  <r>
    <s v="Les Remparts"/>
    <x v="5"/>
    <x v="0"/>
    <n v="22"/>
    <m/>
    <m/>
    <m/>
    <m/>
    <n v="22"/>
    <x v="12"/>
    <x v="3"/>
    <n v="1100000"/>
    <n v="1100000"/>
    <n v="0"/>
    <e v="#REF!"/>
    <n v="50000"/>
    <m/>
    <m/>
    <n v="0"/>
    <n v="0"/>
    <n v="0"/>
    <m/>
    <m/>
    <n v="0"/>
    <m/>
    <m/>
    <m/>
    <m/>
    <n v="0"/>
    <m/>
    <m/>
    <m/>
    <m/>
    <m/>
    <m/>
    <m/>
    <e v="#REF!"/>
    <m/>
    <n v="0"/>
    <e v="#REF!"/>
    <m/>
    <m/>
    <m/>
    <m/>
    <n v="0"/>
    <n v="11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n v="234137.55"/>
    <n v="234137.55"/>
    <n v="-865862.45"/>
  </r>
  <r>
    <s v="Baies Roses"/>
    <x v="5"/>
    <x v="0"/>
    <n v="19"/>
    <m/>
    <m/>
    <m/>
    <m/>
    <n v="19"/>
    <x v="14"/>
    <x v="3"/>
    <n v="950000"/>
    <n v="950000"/>
    <n v="0"/>
    <e v="#REF!"/>
    <n v="50000"/>
    <m/>
    <m/>
    <n v="0"/>
    <n v="0"/>
    <n v="0"/>
    <m/>
    <m/>
    <n v="0"/>
    <m/>
    <m/>
    <m/>
    <m/>
    <n v="0"/>
    <m/>
    <m/>
    <m/>
    <m/>
    <m/>
    <m/>
    <m/>
    <m/>
    <m/>
    <m/>
    <m/>
    <m/>
    <m/>
    <m/>
    <m/>
    <n v="0"/>
    <n v="95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n v="234137.55"/>
    <n v="234137.55"/>
    <n v="-715862.45"/>
  </r>
  <r>
    <s v="Lacaussade 2"/>
    <x v="5"/>
    <x v="0"/>
    <n v="12"/>
    <m/>
    <m/>
    <m/>
    <m/>
    <n v="12"/>
    <x v="14"/>
    <x v="3"/>
    <n v="600000"/>
    <n v="600000"/>
    <n v="0"/>
    <e v="#REF!"/>
    <n v="50000"/>
    <m/>
    <m/>
    <n v="0"/>
    <n v="0"/>
    <n v="0"/>
    <m/>
    <m/>
    <n v="0"/>
    <m/>
    <m/>
    <m/>
    <m/>
    <n v="0"/>
    <m/>
    <m/>
    <m/>
    <m/>
    <m/>
    <m/>
    <m/>
    <e v="#REF!"/>
    <m/>
    <n v="0"/>
    <e v="#REF!"/>
    <m/>
    <m/>
    <m/>
    <m/>
    <n v="0"/>
    <n v="60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600000"/>
  </r>
  <r>
    <s v="Les Quais"/>
    <x v="5"/>
    <x v="0"/>
    <n v="29"/>
    <m/>
    <m/>
    <m/>
    <m/>
    <n v="29"/>
    <x v="14"/>
    <x v="3"/>
    <n v="1450000"/>
    <n v="1450000"/>
    <n v="0"/>
    <e v="#REF!"/>
    <n v="50000"/>
    <m/>
    <m/>
    <n v="0"/>
    <n v="0"/>
    <n v="0"/>
    <m/>
    <m/>
    <n v="0"/>
    <m/>
    <m/>
    <m/>
    <m/>
    <n v="0"/>
    <m/>
    <m/>
    <m/>
    <m/>
    <m/>
    <m/>
    <m/>
    <e v="#REF!"/>
    <m/>
    <n v="0"/>
    <e v="#REF!"/>
    <m/>
    <m/>
    <m/>
    <m/>
    <n v="0"/>
    <n v="1450000"/>
    <e v="#REF!"/>
    <e v="#REF!"/>
    <m/>
    <m/>
    <n v="0"/>
    <e v="#DIV/0!"/>
    <m/>
    <m/>
    <m/>
    <m/>
    <n v="0"/>
    <n v="0"/>
    <m/>
    <m/>
    <m/>
    <m/>
    <m/>
    <m/>
    <m/>
    <m/>
    <m/>
    <m/>
    <m/>
    <m/>
    <m/>
    <m/>
    <m/>
    <n v="0"/>
    <n v="-1450000"/>
  </r>
  <r>
    <m/>
    <x v="6"/>
    <x v="1"/>
    <m/>
    <m/>
    <m/>
    <m/>
    <m/>
    <m/>
    <x v="15"/>
    <x v="3"/>
    <n v="0"/>
    <n v="0"/>
    <n v="0"/>
    <e v="#REF!"/>
    <e v="#DIV/0!"/>
    <m/>
    <m/>
    <e v="#DIV/0!"/>
    <n v="0"/>
    <n v="0"/>
    <m/>
    <m/>
    <e v="#DIV/0!"/>
    <m/>
    <m/>
    <m/>
    <m/>
    <e v="#DIV/0!"/>
    <m/>
    <m/>
    <m/>
    <m/>
    <m/>
    <m/>
    <m/>
    <e v="#DIV/0!"/>
    <m/>
    <e v="#DIV/0!"/>
    <e v="#DIV/0!"/>
    <m/>
    <m/>
    <m/>
    <m/>
    <e v="#DIV/0!"/>
    <n v="0"/>
    <e v="#REF!"/>
    <e v="#REF!"/>
    <m/>
    <m/>
    <n v="0"/>
    <e v="#DIV/0!"/>
    <m/>
    <m/>
    <m/>
    <m/>
    <n v="0"/>
    <e v="#DIV/0!"/>
    <m/>
    <m/>
    <m/>
    <m/>
    <m/>
    <m/>
    <m/>
    <m/>
    <m/>
    <m/>
    <m/>
    <m/>
    <m/>
    <m/>
    <m/>
    <e v="#DIV/0!"/>
    <e v="#DIV/0!"/>
  </r>
  <r>
    <m/>
    <x v="6"/>
    <x v="1"/>
    <m/>
    <m/>
    <m/>
    <m/>
    <m/>
    <m/>
    <x v="15"/>
    <x v="3"/>
    <n v="0"/>
    <n v="0"/>
    <n v="0"/>
    <e v="#REF!"/>
    <e v="#DIV/0!"/>
    <m/>
    <m/>
    <e v="#DIV/0!"/>
    <n v="0"/>
    <n v="0"/>
    <m/>
    <m/>
    <e v="#DIV/0!"/>
    <m/>
    <m/>
    <m/>
    <m/>
    <e v="#DIV/0!"/>
    <m/>
    <m/>
    <m/>
    <m/>
    <m/>
    <m/>
    <m/>
    <e v="#DIV/0!"/>
    <m/>
    <e v="#DIV/0!"/>
    <e v="#DIV/0!"/>
    <m/>
    <m/>
    <m/>
    <m/>
    <e v="#DIV/0!"/>
    <n v="0"/>
    <e v="#REF!"/>
    <e v="#REF!"/>
    <m/>
    <m/>
    <n v="0"/>
    <e v="#DIV/0!"/>
    <m/>
    <m/>
    <m/>
    <m/>
    <n v="0"/>
    <e v="#DIV/0!"/>
    <m/>
    <m/>
    <m/>
    <m/>
    <m/>
    <m/>
    <m/>
    <m/>
    <m/>
    <m/>
    <m/>
    <m/>
    <m/>
    <m/>
    <m/>
    <e v="#DIV/0!"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C80BB6-4C79-4066-8B90-DDB1C81F687A}" name="Tableau croisé dynamique6" cacheId="31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compact="0" outline="1" outlineData="1" compactData="0" multipleFieldFilters="0">
  <location ref="A65:E73" firstHeaderRow="1" firstDataRow="2" firstDataCol="1" rowPageCount="1" colPageCount="1"/>
  <pivotFields count="92"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multipleItemSelectionAllowed="1" showAll="0">
      <items count="6">
        <item h="1" m="1" x="2"/>
        <item h="1" m="1" x="4"/>
        <item h="1" m="1" x="3"/>
        <item x="0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showAll="0">
      <items count="13">
        <item m="1" x="6"/>
        <item m="1" x="10"/>
        <item m="1" x="5"/>
        <item m="1" x="9"/>
        <item m="1" x="4"/>
        <item m="1" x="7"/>
        <item m="1" x="11"/>
        <item x="0"/>
        <item x="1"/>
        <item x="2"/>
        <item m="1" x="8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10"/>
  </colFields>
  <colItems count="4">
    <i>
      <x v="7"/>
    </i>
    <i>
      <x v="8"/>
    </i>
    <i>
      <x v="9"/>
    </i>
    <i t="grand">
      <x/>
    </i>
  </colItems>
  <pageFields count="1">
    <pageField fld="2" hier="-1"/>
  </pageFields>
  <dataFields count="7">
    <dataField name="% Bâtiment / Coût Total" fld="90" baseField="0" baseItem="0"/>
    <dataField name="% honoraires / Coût total" fld="91" baseField="0" baseItem="0" numFmtId="3"/>
    <dataField name="% LBU/coût total" fld="86" baseField="0" baseItem="0"/>
    <dataField name="Total LBU/lgt" fld="78" baseField="0" baseItem="0"/>
    <dataField name="Coût Bât / lgt" fld="87" baseField="0" baseItem="0"/>
    <dataField name="Coût Honoraires / lgt" fld="88" baseField="0" baseItem="0"/>
    <dataField name="Coût Total / lgt" fld="89" baseField="0" baseItem="0" numFmtId="3"/>
  </dataFields>
  <formats count="10">
    <format dxfId="29">
      <pivotArea outline="0" collapsedLevelsAreSubtotals="1" fieldPosition="0"/>
    </format>
    <format dxfId="30">
      <pivotArea outline="0" collapsedLevelsAreSubtotals="1" fieldPosition="0"/>
    </format>
    <format dxfId="31">
      <pivotArea dataOnly="0" labelOnly="1" outline="0" fieldPosition="0">
        <references count="1">
          <reference field="10" count="3">
            <x v="7"/>
            <x v="8"/>
            <x v="9"/>
          </reference>
        </references>
      </pivotArea>
    </format>
    <format dxfId="32">
      <pivotArea dataOnly="0" labelOnly="1" grandCol="1" outline="0" fieldPosition="0"/>
    </format>
    <format dxfId="33">
      <pivotArea fieldPosition="0">
        <references count="1">
          <reference field="4294967294" count="1">
            <x v="2"/>
          </reference>
        </references>
      </pivotArea>
    </format>
    <format dxfId="34">
      <pivotArea fieldPosition="0">
        <references count="1">
          <reference field="4294967294" count="1">
            <x v="6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28">
      <pivotArea fieldPosition="0">
        <references count="1">
          <reference field="4294967294" count="1">
            <x v="0"/>
          </reference>
        </references>
      </pivotArea>
    </format>
    <format dxfId="27">
      <pivotArea fieldPosition="0">
        <references count="1">
          <reference field="4294967294" count="1">
            <x v="1"/>
          </reference>
        </references>
      </pivotArea>
    </format>
    <format dxfId="26">
      <pivotArea dataOnly="0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C66643-F019-45C8-9A7C-B529507E3B29}" name="Tableau croisé dynamique4" cacheId="31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compact="0" outline="1" outlineData="1" compactData="0" multipleFieldFilters="0">
  <location ref="A53:E60" firstHeaderRow="1" firstDataRow="2" firstDataCol="1" rowPageCount="1" colPageCount="1"/>
  <pivotFields count="92"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multipleItemSelectionAllowed="1" showAll="0">
      <items count="6">
        <item h="1" m="1" x="2"/>
        <item h="1" m="1" x="4"/>
        <item h="1" m="1" x="3"/>
        <item x="0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showAll="0">
      <items count="13">
        <item m="1" x="6"/>
        <item m="1" x="10"/>
        <item m="1" x="5"/>
        <item m="1" x="9"/>
        <item m="1" x="4"/>
        <item m="1" x="7"/>
        <item m="1" x="11"/>
        <item x="0"/>
        <item x="1"/>
        <item x="2"/>
        <item m="1" x="8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-2"/>
  </rowFields>
  <rowItems count="6">
    <i>
      <x/>
    </i>
    <i i="1">
      <x v="1"/>
    </i>
    <i i="2">
      <x v="2"/>
    </i>
    <i i="3">
      <x v="3"/>
    </i>
    <i i="4">
      <x v="4"/>
    </i>
    <i i="5">
      <x v="5"/>
    </i>
  </rowItems>
  <colFields count="1">
    <field x="10"/>
  </colFields>
  <colItems count="4">
    <i>
      <x v="7"/>
    </i>
    <i>
      <x v="8"/>
    </i>
    <i>
      <x v="9"/>
    </i>
    <i t="grand">
      <x/>
    </i>
  </colItems>
  <pageFields count="1">
    <pageField fld="2" hier="-1"/>
  </pageFields>
  <dataFields count="6">
    <dataField name="Nbre d'opés" fld="0" subtotal="count" baseField="0" baseItem="0"/>
    <dataField name="Nbre de lgts" fld="3" baseField="0" baseItem="0"/>
    <dataField name="Coût total €" fld="11" baseField="105" baseItem="7"/>
    <dataField name="Dont Coût bâtiment €" fld="57" baseField="105" baseItem="7"/>
    <dataField name="Dont Coût honoraires €" fld="71" baseField="0" baseItem="0"/>
    <dataField name=" LBU " fld="25" baseField="0" baseItem="0"/>
  </dataFields>
  <formats count="14">
    <format dxfId="49">
      <pivotArea outline="0" collapsedLevelsAreSubtotals="1" fieldPosition="0"/>
    </format>
    <format dxfId="48">
      <pivotArea fieldPosition="0">
        <references count="1">
          <reference field="4294967294" count="1">
            <x v="2"/>
          </reference>
        </references>
      </pivotArea>
    </format>
    <format dxfId="4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46">
      <pivotArea fieldPosition="0">
        <references count="1">
          <reference field="4294967294" count="1">
            <x v="5"/>
          </reference>
        </references>
      </pivotArea>
    </format>
    <format dxfId="45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44">
      <pivotArea fieldPosition="0">
        <references count="1">
          <reference field="4294967294" count="2">
            <x v="3"/>
            <x v="4"/>
          </reference>
        </references>
      </pivotArea>
    </format>
    <format dxfId="43">
      <pivotArea dataOnly="0" labelOnly="1" outline="0" fieldPosition="0">
        <references count="1">
          <reference field="4294967294" count="2">
            <x v="3"/>
            <x v="4"/>
          </reference>
        </references>
      </pivotArea>
    </format>
    <format dxfId="42">
      <pivotArea dataOnly="0" outline="0" fieldPosition="0">
        <references count="1">
          <reference field="4294967294" count="1">
            <x v="1"/>
          </reference>
        </references>
      </pivotArea>
    </format>
    <format dxfId="41">
      <pivotArea fieldPosition="0">
        <references count="1">
          <reference field="4294967294" count="1">
            <x v="0"/>
          </reference>
        </references>
      </pivotArea>
    </format>
    <format dxfId="4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9">
      <pivotArea outline="0" collapsedLevelsAreSubtotals="1" fieldPosition="0"/>
    </format>
    <format dxfId="38">
      <pivotArea outline="0" collapsedLevelsAreSubtotals="1" fieldPosition="0"/>
    </format>
    <format dxfId="37">
      <pivotArea dataOnly="0" labelOnly="1" outline="0" fieldPosition="0">
        <references count="1">
          <reference field="10" count="3">
            <x v="7"/>
            <x v="8"/>
            <x v="9"/>
          </reference>
        </references>
      </pivotArea>
    </format>
    <format dxfId="3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FEE439-79D6-4240-977A-5D0B14182303}" name="Tableau croisé dynamique2" cacheId="3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44:E46" firstHeaderRow="1" firstDataRow="2" firstDataCol="1" rowPageCount="1" colPageCount="1"/>
  <pivotFields count="92">
    <pivotField showAll="0"/>
    <pivotField showAll="0"/>
    <pivotField axis="axisPage" multipleItemSelectionAllowed="1" showAll="0">
      <items count="6">
        <item h="1" m="1" x="2"/>
        <item h="1" m="1" x="4"/>
        <item h="1" m="1" x="3"/>
        <item x="0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13">
        <item m="1" x="6"/>
        <item m="1" x="10"/>
        <item m="1" x="5"/>
        <item m="1" x="9"/>
        <item m="1" x="4"/>
        <item m="1" x="7"/>
        <item m="1" x="11"/>
        <item x="0"/>
        <item x="1"/>
        <item x="2"/>
        <item m="1" x="8"/>
        <item h="1" x="3"/>
        <item t="default"/>
      </items>
    </pivotField>
    <pivotField numFmtId="3" showAll="0"/>
    <pivotField showAll="0"/>
    <pivotField numFmtId="167" showAll="0"/>
    <pivotField showAll="0"/>
    <pivotField showAll="0"/>
    <pivotField showAll="0"/>
    <pivotField showAll="0"/>
    <pivotField showAll="0"/>
    <pivotField numFmtId="167" showAll="0"/>
    <pivotField numFmtId="167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10"/>
  </colFields>
  <colItems count="4">
    <i>
      <x v="7"/>
    </i>
    <i>
      <x v="8"/>
    </i>
    <i>
      <x v="9"/>
    </i>
    <i t="grand">
      <x/>
    </i>
  </colItems>
  <pageFields count="1">
    <pageField fld="2" hier="-1"/>
  </pageFields>
  <dataFields count="1">
    <dataField name="Somme de LBU " fld="25" baseField="0" baseItem="0" numFmtId="3"/>
  </dataFields>
  <formats count="1">
    <format dxfId="5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319CC6-4CF0-417D-A1A6-20E902909ED3}" name="Tableau croisé dynamique1" cacheId="3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37:E39" firstHeaderRow="1" firstDataRow="2" firstDataCol="1" rowPageCount="1" colPageCount="1"/>
  <pivotFields count="92">
    <pivotField showAll="0"/>
    <pivotField showAll="0"/>
    <pivotField axis="axisPage" multipleItemSelectionAllowed="1" showAll="0">
      <items count="6">
        <item h="1" m="1" x="2"/>
        <item h="1" m="1" x="4"/>
        <item h="1" m="1" x="3"/>
        <item x="0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13">
        <item m="1" x="6"/>
        <item m="1" x="10"/>
        <item m="1" x="5"/>
        <item m="1" x="9"/>
        <item m="1" x="4"/>
        <item m="1" x="7"/>
        <item m="1" x="11"/>
        <item x="0"/>
        <item x="1"/>
        <item x="2"/>
        <item m="1" x="8"/>
        <item h="1" x="3"/>
        <item t="default"/>
      </items>
    </pivotField>
    <pivotField dataField="1" numFmtId="3" showAll="0"/>
    <pivotField showAll="0"/>
    <pivotField numFmtId="167" showAll="0"/>
    <pivotField showAll="0"/>
    <pivotField showAll="0"/>
    <pivotField showAll="0"/>
    <pivotField showAll="0"/>
    <pivotField showAll="0"/>
    <pivotField numFmtId="167"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10"/>
  </colFields>
  <colItems count="4">
    <i>
      <x v="7"/>
    </i>
    <i>
      <x v="8"/>
    </i>
    <i>
      <x v="9"/>
    </i>
    <i t="grand">
      <x/>
    </i>
  </colItems>
  <pageFields count="1">
    <pageField fld="2" hier="-1"/>
  </pageFields>
  <dataFields count="1">
    <dataField name="Somme de PRP TTC " fld="11" baseField="0" baseItem="0" numFmtId="3"/>
  </dataFields>
  <formats count="1">
    <format dxfId="5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C2A770-BDB6-43EF-9DB0-FEB5978E4850}" name="Tableau croisé dynamique3" cacheId="3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 chartFormat="12">
  <location ref="A3:B10" firstHeaderRow="1" firstDataRow="1" firstDataCol="1" rowPageCount="1" colPageCount="1"/>
  <pivotFields count="92">
    <pivotField showAll="0"/>
    <pivotField axis="axisRow" showAll="0" sortType="ascending">
      <items count="17">
        <item m="1" x="15"/>
        <item m="1" x="9"/>
        <item m="1" x="13"/>
        <item m="1" x="8"/>
        <item m="1" x="11"/>
        <item m="1" x="7"/>
        <item m="1" x="10"/>
        <item x="0"/>
        <item x="1"/>
        <item m="1" x="12"/>
        <item x="2"/>
        <item x="3"/>
        <item x="4"/>
        <item x="5"/>
        <item m="1" x="14"/>
        <item x="6"/>
        <item t="default"/>
      </items>
    </pivotField>
    <pivotField axis="axisPage" multipleItemSelectionAllowed="1" showAll="0">
      <items count="6">
        <item h="1" m="1" x="2"/>
        <item h="1" m="1" x="4"/>
        <item h="1" m="1" x="3"/>
        <item x="0"/>
        <item h="1" x="1"/>
        <item t="default"/>
      </items>
    </pivotField>
    <pivotField dataField="1" numFmtId="1" showAll="0"/>
    <pivotField showAll="0"/>
    <pivotField showAll="0"/>
    <pivotField showAll="0"/>
    <pivotField showAll="0"/>
    <pivotField showAll="0"/>
    <pivotField showAll="0"/>
    <pivotField showAll="0"/>
    <pivotField numFmtId="168" showAll="0"/>
    <pivotField showAll="0"/>
    <pivotField numFmtId="168" showAll="0"/>
    <pivotField showAll="0"/>
    <pivotField numFmtId="168" showAll="0"/>
    <pivotField showAll="0"/>
    <pivotField showAll="0"/>
    <pivotField showAll="0"/>
    <pivotField showAll="0"/>
    <pivotField numFmtId="168" showAll="0"/>
    <pivotField showAll="0"/>
    <pivotField showAll="0"/>
    <pivotField numFmtId="168" showAll="0"/>
    <pivotField showAll="0"/>
    <pivotField numFmtId="168" showAll="0"/>
    <pivotField showAll="0"/>
    <pivotField showAll="0"/>
    <pivotField showAll="0"/>
    <pivotField showAll="0"/>
    <pivotField showAll="0"/>
    <pivotField showAll="0"/>
    <pivotField numFmtId="168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8" showAll="0"/>
    <pivotField numFmtId="167" showAll="0"/>
    <pivotField showAll="0"/>
    <pivotField showAll="0"/>
    <pivotField showAll="0"/>
    <pivotField numFmtId="168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7">
    <i>
      <x v="7"/>
    </i>
    <i>
      <x v="8"/>
    </i>
    <i>
      <x v="10"/>
    </i>
    <i>
      <x v="11"/>
    </i>
    <i>
      <x v="12"/>
    </i>
    <i>
      <x v="13"/>
    </i>
    <i t="grand">
      <x/>
    </i>
  </rowItems>
  <colItems count="1">
    <i/>
  </colItems>
  <pageFields count="1">
    <pageField fld="2" hier="-1"/>
  </pageFields>
  <dataFields count="1">
    <dataField name="Somme de N" fld="3" baseField="0" baseItem="0"/>
  </dataFields>
  <chartFormats count="5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8C628D-50F6-42BB-9D58-7716AA5C6160}" name="Tableau6" displayName="Tableau6" ref="A1:BW37" totalsRowCount="1" headerRowDxfId="204" totalsRowDxfId="202" tableBorderDxfId="203" headerRowCellStyle="Milliers">
  <autoFilter ref="A1:BW36" xr:uid="{230A4BB6-FD3C-4E10-81EA-BF190C308BEE}"/>
  <sortState xmlns:xlrd2="http://schemas.microsoft.com/office/spreadsheetml/2017/richdata2" ref="A2:BW36">
    <sortCondition ref="C1:C36"/>
  </sortState>
  <tableColumns count="75">
    <tableColumn id="1" xr3:uid="{B7232841-BD04-4F29-903D-963F53648375}" name="OPERATION" totalsRowLabel="Total" dataDxfId="201" totalsRowDxfId="200"/>
    <tableColumn id="4" xr3:uid="{F2FC9FB7-6F47-41C2-971E-04B0199A41F0}" name="Prog" dataDxfId="199" totalsRowDxfId="198"/>
    <tableColumn id="29" xr3:uid="{9BD23DFF-C545-431C-A329-3E7DA48A109D}" name="TYPE" totalsRowFunction="count" dataDxfId="197" totalsRowDxfId="196"/>
    <tableColumn id="30" xr3:uid="{15C734C0-1397-4952-AFB1-91EDAC3B7F2B}" name="N" totalsRowFunction="sum" dataDxfId="195" totalsRowDxfId="194"/>
    <tableColumn id="31" xr3:uid="{23F8A14D-EE0C-4989-80E1-17C2AAB04623}" name="N hors REHAB" totalsRowFunction="sum" dataDxfId="193" totalsRowDxfId="192"/>
    <tableColumn id="32" xr3:uid="{5F679447-361F-409C-9DA7-0879EDD2DA35}" name="LLS" totalsRowFunction="sum" dataDxfId="191" totalsRowDxfId="190"/>
    <tableColumn id="33" xr3:uid="{5C775827-3457-4079-886C-DE508BE714E1}" name="LLTS" totalsRowFunction="sum" dataDxfId="189" totalsRowDxfId="188"/>
    <tableColumn id="34" xr3:uid="{F7D6C3A2-0BDA-4271-B549-6105DD158DC8}" name="PLS" totalsRowFunction="sum" dataDxfId="187" totalsRowDxfId="186"/>
    <tableColumn id="35" xr3:uid="{AD885F6B-F417-4F0B-AEA3-3799036F0493}" name="REHAB" totalsRowFunction="sum" dataDxfId="185" totalsRowDxfId="184"/>
    <tableColumn id="102" xr3:uid="{3BE6077E-472F-45CB-91C6-351564BA8D7A}" name="OS démarrage" dataDxfId="183" totalsRowDxfId="182"/>
    <tableColumn id="103" xr3:uid="{74828531-FC07-49F6-89D4-CE62C849BB63}" name="ANNEE DEMARRAGE" dataDxfId="181" totalsRowDxfId="180"/>
    <tableColumn id="181" xr3:uid="{239347A4-354A-4AB1-ABBE-6E7F82B91FB4}" name="PRP TTC " totalsRowFunction="sum" dataDxfId="179" totalsRowDxfId="178" dataCellStyle="Milliers">
      <calculatedColumnFormula>Tableau6[[#This Row],[CREDIT IMPOT ACTUEL]]+Tableau6[[#This Row],[PRETS TOTAUX]]+Tableau6[[#This Row],[LBU ]]+Tableau6[[#This Row],[SUB ETAT]]+Tableau6[[#This Row],[AUTRES SUBVENTIONS]]+Tableau6[[#This Row],[FONDS PROPRES CONSTRUCTION]]</calculatedColumnFormula>
    </tableColumn>
    <tableColumn id="182" xr3:uid="{CE7AC748-A1CF-4BBF-BB9B-788DD4588F68}" name="PRP TTC AVEC FRAFU" totalsRowFunction="sum" dataDxfId="177" totalsRowDxfId="176">
      <calculatedColumnFormula>L2</calculatedColumnFormula>
    </tableColumn>
    <tableColumn id="183" xr3:uid="{CA8F6FD3-1959-46FE-A696-89D48DC9461D}" name="SUBVENTIONS TOTALES" totalsRowFunction="sum" dataDxfId="175" totalsRowDxfId="174">
      <calculatedColumnFormula>Z2+AB2+AE2+AF2</calculatedColumnFormula>
    </tableColumn>
    <tableColumn id="184" xr3:uid="{5F62A463-DB3D-4351-ADE3-AF1B995F8207}" name="PRP /m² SF" dataDxfId="173" totalsRowDxfId="172">
      <calculatedColumnFormula>L2/#REF!</calculatedColumnFormula>
    </tableColumn>
    <tableColumn id="185" xr3:uid="{929B5658-BB98-41F0-A41E-87E5AC7ECE6A}" name="PRP / lgt" dataDxfId="171" totalsRowDxfId="170">
      <calculatedColumnFormula>L2/D2</calculatedColumnFormula>
    </tableColumn>
    <tableColumn id="186" xr3:uid="{49469B85-E0EF-4EE2-997A-E002C5648466}" name="CREDIT IMPOT ACTUEL" totalsRowFunction="sum" dataDxfId="169" totalsRowDxfId="168"/>
    <tableColumn id="187" xr3:uid="{B83837CB-70D9-48D2-8382-ED85A9D7EE74}" name="PRÊT CREDIT D'IMPOT (PM)" totalsRowFunction="sum" dataDxfId="167" totalsRowDxfId="166"/>
    <tableColumn id="188" xr3:uid="{62351C6A-4DA6-4596-AE10-455810024E8C}" name="DEFISC / lgt" dataDxfId="165" totalsRowDxfId="164">
      <calculatedColumnFormula>Q2/D2</calculatedColumnFormula>
    </tableColumn>
    <tableColumn id="189" xr3:uid="{B3179F4C-D8C9-4C78-AB34-66CF4BF657F2}" name="PRETS TOTAUX" totalsRowFunction="sum" dataDxfId="163" totalsRowDxfId="162">
      <calculatedColumnFormula>U2+Y2+AD2+Tableau6[[#This Row],[PRÊT ACL]]</calculatedColumnFormula>
    </tableColumn>
    <tableColumn id="190" xr3:uid="{EEAF2CE4-7DDE-4F5A-9776-6BE540ACCF08}" name="PRÊT " totalsRowFunction="sum" dataDxfId="161" totalsRowDxfId="160">
      <calculatedColumnFormula>V2+W2</calculatedColumnFormula>
    </tableColumn>
    <tableColumn id="191" xr3:uid="{D306FAAB-B5C5-4BA8-949E-74F3A4E1A862}" name="FONCIER2" totalsRowFunction="sum" dataDxfId="159" totalsRowDxfId="158"/>
    <tableColumn id="192" xr3:uid="{1756323B-0774-48E9-AB95-9EBB5D03470A}" name="CONSTRUCTION" totalsRowFunction="sum" dataDxfId="157" totalsRowDxfId="156"/>
    <tableColumn id="193" xr3:uid="{2AD7890A-BB2B-4C6B-9BC2-484A4E7A4FF7}" name="PRÊT / lgt" dataDxfId="155" totalsRowDxfId="154" dataCellStyle="Milliers">
      <calculatedColumnFormula>U2/D2</calculatedColumnFormula>
    </tableColumn>
    <tableColumn id="194" xr3:uid="{AEEF6939-995E-4FF2-8F46-1426736EF391}" name="PRÊT COMPLEMENTAIRE BOOSTER" totalsRowFunction="sum" dataDxfId="153" totalsRowDxfId="152"/>
    <tableColumn id="195" xr3:uid="{27E2270F-E1B5-4701-A0BC-73B8FD334365}" name="LBU " totalsRowFunction="sum" dataDxfId="151" totalsRowDxfId="150"/>
    <tableColumn id="251" xr3:uid="{B2E504A4-45DE-4E81-88E7-B43F36F6AE0A}" name="PRÊT ACL" totalsRowFunction="sum" dataDxfId="149" totalsRowDxfId="148"/>
    <tableColumn id="196" xr3:uid="{B1A50EF5-6C06-41DC-9987-34ACF03824EA}" name="CAF" totalsRowFunction="sum" dataDxfId="147" totalsRowDxfId="146"/>
    <tableColumn id="197" xr3:uid="{4BA1C410-5CAC-4D2C-8E66-F54FA6712632}" name="% LBU / PRP" dataDxfId="145" totalsRowDxfId="144" dataCellStyle="Pourcentage">
      <calculatedColumnFormula>Z2/L2</calculatedColumnFormula>
    </tableColumn>
    <tableColumn id="198" xr3:uid="{8C7771E9-9F63-4063-80E2-8F0ADD1ECFC1}" name="PHB 2.0 " totalsRowFunction="sum" dataDxfId="143" totalsRowDxfId="142"/>
    <tableColumn id="199" xr3:uid="{D4A5D812-4D61-409B-BA64-B33EA7C241E3}" name="SUB ETAT" totalsRowFunction="sum" dataDxfId="141" totalsRowDxfId="140"/>
    <tableColumn id="200" xr3:uid="{59149F7E-22ED-41D4-9BF1-CC8B6D8EB4C6}" name="AUTRES SUBVENTIONS" totalsRowFunction="sum" dataDxfId="139" totalsRowDxfId="138"/>
    <tableColumn id="201" xr3:uid="{7782441E-2817-446F-AC5D-BDC846E4B3B7}" name="LBU / lgt_x000a_" dataDxfId="137" totalsRowDxfId="136"/>
    <tableColumn id="202" xr3:uid="{1A68E313-3FC4-4FB7-BA94-5FCF143D052D}" name="LBU+Défisc/lgt" dataDxfId="135" totalsRowDxfId="134"/>
    <tableColumn id="203" xr3:uid="{1D045502-B230-448E-AE4F-E31DAAEBDDBA}" name="PRP FRAFU hors TVA résiduelle" totalsRowFunction="sum" dataDxfId="133" totalsRowDxfId="132"/>
    <tableColumn id="204" xr3:uid="{ACD2DFED-5306-4D4B-855C-9170C232A3D9}" name="FRAFU" totalsRowFunction="sum" dataDxfId="131" totalsRowDxfId="130"/>
    <tableColumn id="205" xr3:uid="{63CADFF7-3FEC-47A1-8292-C602E11568DE}" name="AIDES ETAT / lgt" dataDxfId="129" totalsRowDxfId="128"/>
    <tableColumn id="206" xr3:uid="{FB4F3056-DC7B-4BA3-B429-1E6572ED27C4}" name="SUBVENTION COLLECTIVITE FRAFU" totalsRowFunction="sum" dataDxfId="127" totalsRowDxfId="126"/>
    <tableColumn id="207" xr3:uid="{434EC482-EA8E-4065-B2C4-CA19591DCB61}" name="AIDES PUBLIQUES / lgt" totalsRowFunction="sum" dataDxfId="125" totalsRowDxfId="124"/>
    <tableColumn id="208" xr3:uid="{3173D5D0-9686-4DCA-A7A8-48D242139293}" name="% AIDES PUBLIQUES" dataDxfId="123" totalsRowDxfId="122" dataCellStyle="Pourcentage"/>
    <tableColumn id="209" xr3:uid="{4AB5F366-26F5-4CE8-9595-0F5D65FBED48}" name="CESSION FONCIERE" totalsRowFunction="sum" dataDxfId="121" totalsRowDxfId="120"/>
    <tableColumn id="210" xr3:uid="{2FBCAEB4-05C5-4B67-B6EF-C19DED8B2EC4}" name="FONDS PROPRES FRAFU" totalsRowFunction="sum" dataDxfId="119" totalsRowDxfId="118"/>
    <tableColumn id="211" xr3:uid="{BDAC75AA-4DC8-415D-8D10-8064DB6979B1}" name="FONDS PROPRES CONSTRUCTION" totalsRowFunction="sum" dataDxfId="117" totalsRowDxfId="116"/>
    <tableColumn id="212" xr3:uid="{7498FB6E-A998-4209-B69C-6AC0ADD30526}" name="DEPENSES COMPTABILISEES" totalsRowFunction="sum" dataDxfId="115" totalsRowDxfId="114"/>
    <tableColumn id="213" xr3:uid="{E34689E4-F90A-4BB7-A951-EFDB966414FE}" name="% AVANCEMENT dépenses" dataDxfId="113" totalsRowDxfId="112" dataCellStyle="Pourcentage">
      <calculatedColumnFormula>AR2/L2</calculatedColumnFormula>
    </tableColumn>
    <tableColumn id="214" xr3:uid="{96D52FE6-5B41-4188-8356-9C69C6EF884F}" name="RESTE A DEPENSER" totalsRowFunction="sum" dataDxfId="111" totalsRowDxfId="110">
      <calculatedColumnFormula>L2-AR2</calculatedColumnFormula>
    </tableColumn>
    <tableColumn id="215" xr3:uid="{0284D794-FDC4-4665-B8C5-E717AC925E33}" name="31/12/21" dataDxfId="109" totalsRowDxfId="108">
      <calculatedColumnFormula>IF(#REF!&lt;DATEDIF(TODAY(),$AU$1,"M"),AT2,(AT2/#REF!*DATEDIF(TODAY(),$AU$1,"M")))</calculatedColumnFormula>
    </tableColumn>
    <tableColumn id="216" xr3:uid="{B4FD52BE-52DE-4AC1-BFAB-996E9C93D877}" name="% dépenses à fin 2021" dataDxfId="107" totalsRowDxfId="106" dataCellStyle="Pourcentage">
      <calculatedColumnFormula>(AR2+AU2)/L2</calculatedColumnFormula>
    </tableColumn>
    <tableColumn id="250" xr3:uid="{ACE7D5DE-FDC4-4C82-831D-33E6C8AF9CDE}" name="PRETS COMPTABILISES" totalsRowFunction="sum" dataDxfId="105" totalsRowDxfId="104" dataCellStyle="Pourcentage"/>
    <tableColumn id="217" xr3:uid="{A02188C8-9E82-4B15-A9D7-7BEBC22D4686}" name="SUBVENTIONS COMPTABILISEES" totalsRowFunction="sum" dataDxfId="103" totalsRowDxfId="102"/>
    <tableColumn id="218" xr3:uid="{9ACEE328-7E46-42F5-AC4C-53D85D5AA1F7}" name="SUBVENTIONS RESTANTES" totalsRowFunction="sum" dataDxfId="101" totalsRowDxfId="100">
      <calculatedColumnFormula>N2-AX2</calculatedColumnFormula>
    </tableColumn>
    <tableColumn id="219" xr3:uid="{5315B09C-22C5-4949-8327-097D9DD75491}" name="% subventions" dataDxfId="99" totalsRowDxfId="98">
      <calculatedColumnFormula>AX2/N2</calculatedColumnFormula>
    </tableColumn>
    <tableColumn id="220" xr3:uid="{41FEEE86-AD32-467A-8FAF-0CAF31D845AA}" name="OBS" dataDxfId="97" totalsRowDxfId="96"/>
    <tableColumn id="221" xr3:uid="{C87470BC-E74F-4E49-BBBE-F3DD1123D16C}" name="TERRAIN" dataDxfId="95" totalsRowDxfId="94" dataCellStyle="Milliers"/>
    <tableColumn id="222" xr3:uid="{8E6F1A59-1E29-40A0-9420-4E82FE1569CD}" name="dont prix foncier" dataDxfId="93" totalsRowDxfId="92" dataCellStyle="Milliers"/>
    <tableColumn id="223" xr3:uid="{35798A6B-E622-48B0-AE05-5238BE82C65C}" name="VRD / Espaces verts" dataDxfId="91" totalsRowDxfId="90" dataCellStyle="Milliers"/>
    <tableColumn id="224" xr3:uid="{239E7F8E-FB85-463B-A379-5285E0B0EA07}" name="TRAVAUX BATIS" dataDxfId="89" totalsRowDxfId="88" dataCellStyle="Milliers">
      <calculatedColumnFormula>SUM(Tableau6[[#This Row],[GO]:[CARRELAGE]])</calculatedColumnFormula>
    </tableColumn>
    <tableColumn id="247" xr3:uid="{1C79A150-AD83-48F3-B8B3-FCCDE23E31EA}" name="TOTAL TRAVAUX" dataDxfId="87" totalsRowDxfId="86" dataCellStyle="Milliers">
      <calculatedColumnFormula>(Tableau6[[#This Row],[VRD / Espaces verts]]+Tableau6[[#This Row],[TRAVAUX BATIS]])/Tableau6[[#This Row],[N]]</calculatedColumnFormula>
    </tableColumn>
    <tableColumn id="225" xr3:uid="{32D72E6C-9C9D-4526-B28A-5D9DC69D8060}" name="GO" dataDxfId="85" totalsRowDxfId="84" dataCellStyle="Milliers"/>
    <tableColumn id="226" xr3:uid="{E102998B-0DC5-4DFA-B08D-5BE3BE494ECC}" name="HDE  (bardage / étanchéité / couverture)" dataDxfId="83" totalsRowDxfId="82" dataCellStyle="Milliers"/>
    <tableColumn id="243" xr3:uid="{82C53F38-C0A3-428D-BDBD-075B0791F8A5}" name="MENUISERIES EXTERIEURES" dataDxfId="81" totalsRowDxfId="80" dataCellStyle="Milliers"/>
    <tableColumn id="228" xr3:uid="{08E20C03-415C-4089-9760-3305094667BD}" name="METALLERIE" dataDxfId="79" totalsRowDxfId="78" dataCellStyle="Milliers"/>
    <tableColumn id="242" xr3:uid="{DC229248-6B35-469F-B867-43CD6B1A1F89}" name="MENUISERIES INTERIEURES" dataDxfId="77" totalsRowDxfId="76" dataCellStyle="Milliers"/>
    <tableColumn id="241" xr3:uid="{CC04B9F8-4FCF-40FC-AD26-78DBD16843FB}" name="CLOISONS" dataDxfId="75" totalsRowDxfId="74" dataCellStyle="Milliers"/>
    <tableColumn id="240" xr3:uid="{BA83624B-2BBE-4554-B0B9-33DD36A44547}" name="ELECTRICITE" dataDxfId="73" totalsRowDxfId="72" dataCellStyle="Milliers"/>
    <tableColumn id="239" xr3:uid="{2F5C89B9-4E85-4A3D-A8B6-205F2E878C2D}" name="PLOMBERIE" dataDxfId="71" totalsRowDxfId="70" dataCellStyle="Milliers"/>
    <tableColumn id="238" xr3:uid="{33357529-013D-4F62-89CA-38E8C0CADB63}" name="ECS" totalsRowFunction="sum" dataDxfId="69" totalsRowDxfId="68" dataCellStyle="Milliers"/>
    <tableColumn id="245" xr3:uid="{F5E1F6DD-20C9-40C0-A5B4-CB5EB4E2EE8C}" name="ASCENSEUR" dataDxfId="67" totalsRowDxfId="66" dataCellStyle="Milliers"/>
    <tableColumn id="244" xr3:uid="{0B781020-867C-4A10-9A12-F650F3158CCB}" name="PEINTURE" dataDxfId="65" totalsRowDxfId="64" dataCellStyle="Milliers"/>
    <tableColumn id="246" xr3:uid="{E11852BB-287E-4164-AF4B-F6AF0E02DA70}" name="SOLS SOUPLES" dataDxfId="63" totalsRowDxfId="62" dataCellStyle="Milliers"/>
    <tableColumn id="229" xr3:uid="{C6D7D1F6-00A5-4D8A-A141-6C8CE414228C}" name="CARRELAGE" dataDxfId="61" totalsRowDxfId="60" dataCellStyle="Milliers"/>
    <tableColumn id="236" xr3:uid="{1AFEF045-9633-4516-97F1-6ED57FEAE2CF}" name="HONORAIRES" dataDxfId="59" totalsRowDxfId="58" dataCellStyle="Milliers"/>
    <tableColumn id="237" xr3:uid="{100DE279-7143-43F1-93C7-B82FF9171B37}" name="AUTRES FRAIS" dataDxfId="57" totalsRowDxfId="56" dataCellStyle="Milliers">
      <calculatedColumnFormula>169259.85+64877.7</calculatedColumnFormula>
    </tableColumn>
    <tableColumn id="231" xr3:uid="{32F75721-CD08-41AF-8012-D88D2B579B21}" name="TOTAL PRP TTC" dataDxfId="55" totalsRowDxfId="54" dataCellStyle="Milliers">
      <calculatedColumnFormula>Tableau6[[#This Row],[TOTAL TRAVAUX]]+Tableau6[[#This Row],[HONORAIRES]]+Tableau6[[#This Row],[AUTRES FRAIS]]</calculatedColumnFormula>
    </tableColumn>
    <tableColumn id="232" xr3:uid="{503AA0F3-26EE-474C-A9DB-6D9213F73D88}" name="Cr14" dataDxfId="53" totalsRowDxfId="52" dataCellStyle="Milliers">
      <calculatedColumnFormula>Tableau6[[#This Row],[TOTAL PRP TTC]]-Tableau6[[#This Row],[PRP TTC 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2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WWN173"/>
  <sheetViews>
    <sheetView zoomScale="85" zoomScaleNormal="85" zoomScaleSheetLayoutView="7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L1" sqref="L1:CN1048576"/>
    </sheetView>
  </sheetViews>
  <sheetFormatPr baseColWidth="10" defaultColWidth="11.44140625" defaultRowHeight="15" customHeight="1" outlineLevelCol="1"/>
  <cols>
    <col min="1" max="1" width="50.77734375" style="147" customWidth="1"/>
    <col min="2" max="2" width="10.5546875" style="4" customWidth="1"/>
    <col min="3" max="3" width="10.6640625" style="4" customWidth="1"/>
    <col min="4" max="4" width="12.5546875" style="9" customWidth="1" collapsed="1"/>
    <col min="5" max="5" width="15.33203125" style="4" customWidth="1" collapsed="1"/>
    <col min="6" max="6" width="17.44140625" style="4" customWidth="1"/>
    <col min="7" max="7" width="11.6640625" style="4" customWidth="1" collapsed="1"/>
    <col min="8" max="9" width="11.6640625" style="4" customWidth="1"/>
    <col min="10" max="10" width="23.6640625" style="4" customWidth="1"/>
    <col min="11" max="11" width="27.33203125" style="4" customWidth="1"/>
    <col min="12" max="12" width="21.6640625" style="4" customWidth="1" outlineLevel="1"/>
    <col min="13" max="13" width="29.5546875" style="9" hidden="1" customWidth="1" outlineLevel="1"/>
    <col min="14" max="14" width="12.6640625" style="4" hidden="1" customWidth="1" outlineLevel="1"/>
    <col min="15" max="15" width="12" style="4" hidden="1" customWidth="1" outlineLevel="1"/>
    <col min="16" max="16" width="29.88671875" style="9" hidden="1" customWidth="1" outlineLevel="1"/>
    <col min="17" max="17" width="16.33203125" style="4" customWidth="1" outlineLevel="1"/>
    <col min="18" max="18" width="15.44140625" style="4" hidden="1" customWidth="1" outlineLevel="1"/>
    <col min="19" max="19" width="29.5546875" style="9" hidden="1" customWidth="1" outlineLevel="1"/>
    <col min="20" max="20" width="22.33203125" style="4" hidden="1" customWidth="1" outlineLevel="1"/>
    <col min="21" max="21" width="16.33203125" style="4" customWidth="1" outlineLevel="1"/>
    <col min="22" max="22" width="18.33203125" style="4" customWidth="1" outlineLevel="1"/>
    <col min="23" max="23" width="22.109375" style="52" customWidth="1" outlineLevel="1"/>
    <col min="24" max="24" width="25" style="4" hidden="1" customWidth="1" outlineLevel="1"/>
    <col min="25" max="25" width="24.5546875" style="15" customWidth="1" outlineLevel="1"/>
    <col min="26" max="27" width="18.33203125" style="15" customWidth="1" outlineLevel="1"/>
    <col min="28" max="28" width="17.33203125" style="15" customWidth="1" outlineLevel="1"/>
    <col min="29" max="29" width="15.33203125" style="15" customWidth="1" outlineLevel="1"/>
    <col min="30" max="30" width="16.33203125" style="15" customWidth="1" outlineLevel="1"/>
    <col min="31" max="31" width="23.6640625" style="15" customWidth="1" outlineLevel="1"/>
    <col min="32" max="32" width="17.44140625" style="15" customWidth="1" outlineLevel="1"/>
    <col min="33" max="33" width="17.33203125" style="15" customWidth="1" outlineLevel="1"/>
    <col min="34" max="34" width="15" style="4" customWidth="1" outlineLevel="1"/>
    <col min="35" max="35" width="18" style="4" customWidth="1" outlineLevel="1"/>
    <col min="36" max="36" width="15.5546875" style="4" customWidth="1" outlineLevel="1"/>
    <col min="37" max="37" width="13.33203125" style="4" customWidth="1" outlineLevel="1"/>
    <col min="38" max="40" width="15.5546875" style="4" customWidth="1" outlineLevel="1"/>
    <col min="41" max="41" width="24.6640625" style="4" customWidth="1" outlineLevel="1"/>
    <col min="42" max="42" width="32.33203125" style="9" customWidth="1" outlineLevel="1"/>
    <col min="43" max="43" width="27.6640625" style="9" customWidth="1" outlineLevel="1"/>
    <col min="44" max="44" width="25.44140625" style="4" hidden="1" customWidth="1" outlineLevel="1"/>
    <col min="45" max="45" width="24.6640625" style="4" hidden="1" customWidth="1" outlineLevel="1"/>
    <col min="46" max="47" width="43.5546875" style="4" hidden="1" customWidth="1" outlineLevel="1"/>
    <col min="48" max="49" width="31.5546875" style="4" hidden="1" customWidth="1" outlineLevel="1"/>
    <col min="50" max="50" width="31.6640625" style="4" hidden="1" customWidth="1" outlineLevel="1"/>
    <col min="51" max="51" width="27.6640625" style="4" hidden="1" customWidth="1" outlineLevel="1"/>
    <col min="52" max="52" width="44.33203125" style="4" hidden="1" customWidth="1" outlineLevel="1"/>
    <col min="53" max="53" width="28" style="4" hidden="1" customWidth="1" outlineLevel="1"/>
    <col min="54" max="57" width="28" style="4" customWidth="1" outlineLevel="1"/>
    <col min="58" max="58" width="28" style="15" customWidth="1" outlineLevel="1"/>
    <col min="59" max="59" width="47.33203125" style="15" hidden="1" customWidth="1" outlineLevel="1"/>
    <col min="60" max="70" width="28" style="15" hidden="1" customWidth="1" outlineLevel="1"/>
    <col min="71" max="71" width="28" style="4" hidden="1" customWidth="1" outlineLevel="1"/>
    <col min="72" max="72" width="28" style="4" customWidth="1" outlineLevel="1"/>
    <col min="73" max="73" width="15.6640625" bestFit="1" customWidth="1"/>
    <col min="74" max="74" width="14.6640625" bestFit="1" customWidth="1"/>
    <col min="75" max="75" width="12.33203125" bestFit="1" customWidth="1"/>
    <col min="84" max="85" width="28" style="4" customWidth="1" outlineLevel="1"/>
    <col min="86" max="86" width="28" style="15" customWidth="1" outlineLevel="1"/>
    <col min="87" max="16384" width="11.44140625" style="5"/>
  </cols>
  <sheetData>
    <row r="1" spans="1:86" s="48" customFormat="1" ht="49.95" customHeight="1">
      <c r="A1" s="39" t="s">
        <v>0</v>
      </c>
      <c r="B1" s="39" t="s">
        <v>6</v>
      </c>
      <c r="C1" s="39" t="s">
        <v>19</v>
      </c>
      <c r="D1" s="60" t="s">
        <v>1</v>
      </c>
      <c r="E1" s="60" t="s">
        <v>57</v>
      </c>
      <c r="F1" s="39" t="s">
        <v>2</v>
      </c>
      <c r="G1" s="39" t="s">
        <v>3</v>
      </c>
      <c r="H1" s="40" t="s">
        <v>37</v>
      </c>
      <c r="I1" s="40" t="s">
        <v>53</v>
      </c>
      <c r="J1" s="59" t="s">
        <v>35</v>
      </c>
      <c r="K1" s="41" t="s">
        <v>54</v>
      </c>
      <c r="L1" s="42" t="s">
        <v>11</v>
      </c>
      <c r="M1" s="91" t="s">
        <v>72</v>
      </c>
      <c r="N1" s="74" t="s">
        <v>61</v>
      </c>
      <c r="O1" s="43" t="s">
        <v>5</v>
      </c>
      <c r="P1" s="43" t="s">
        <v>20</v>
      </c>
      <c r="Q1" s="74" t="s">
        <v>59</v>
      </c>
      <c r="R1" s="54" t="s">
        <v>56</v>
      </c>
      <c r="S1" s="53" t="s">
        <v>21</v>
      </c>
      <c r="T1" s="74" t="s">
        <v>86</v>
      </c>
      <c r="U1" s="42" t="s">
        <v>12</v>
      </c>
      <c r="V1" s="42" t="s">
        <v>90</v>
      </c>
      <c r="W1" s="42" t="s">
        <v>4</v>
      </c>
      <c r="X1" s="50" t="s">
        <v>22</v>
      </c>
      <c r="Y1" s="42" t="s">
        <v>118</v>
      </c>
      <c r="Z1" s="44" t="s">
        <v>33</v>
      </c>
      <c r="AA1" s="46" t="s">
        <v>117</v>
      </c>
      <c r="AB1" s="46" t="s">
        <v>32</v>
      </c>
      <c r="AC1" s="44" t="s">
        <v>29</v>
      </c>
      <c r="AD1" s="42" t="s">
        <v>119</v>
      </c>
      <c r="AE1" s="66" t="s">
        <v>66</v>
      </c>
      <c r="AF1" s="44" t="s">
        <v>28</v>
      </c>
      <c r="AG1" s="45" t="s">
        <v>13</v>
      </c>
      <c r="AH1" s="47" t="s">
        <v>34</v>
      </c>
      <c r="AI1" s="82" t="s">
        <v>27</v>
      </c>
      <c r="AJ1" s="82" t="s">
        <v>17</v>
      </c>
      <c r="AK1" s="82" t="s">
        <v>18</v>
      </c>
      <c r="AL1" s="82" t="s">
        <v>23</v>
      </c>
      <c r="AM1" s="82" t="s">
        <v>25</v>
      </c>
      <c r="AN1" s="83" t="s">
        <v>31</v>
      </c>
      <c r="AO1" s="82" t="s">
        <v>30</v>
      </c>
      <c r="AP1" s="82" t="s">
        <v>24</v>
      </c>
      <c r="AQ1" s="74" t="s">
        <v>26</v>
      </c>
      <c r="AR1" s="87" t="s">
        <v>60</v>
      </c>
      <c r="AS1" s="87" t="s">
        <v>114</v>
      </c>
      <c r="AT1" s="87" t="s">
        <v>63</v>
      </c>
      <c r="AU1" s="150" t="s">
        <v>116</v>
      </c>
      <c r="AV1" s="87" t="s">
        <v>115</v>
      </c>
      <c r="AW1" s="87" t="s">
        <v>113</v>
      </c>
      <c r="AX1" s="87" t="s">
        <v>62</v>
      </c>
      <c r="AY1" s="87" t="s">
        <v>64</v>
      </c>
      <c r="AZ1" s="87" t="s">
        <v>89</v>
      </c>
      <c r="BA1" s="87" t="s">
        <v>65</v>
      </c>
      <c r="BB1" s="152" t="s">
        <v>58</v>
      </c>
      <c r="BC1" s="79" t="s">
        <v>69</v>
      </c>
      <c r="BD1" s="79" t="s">
        <v>91</v>
      </c>
      <c r="BE1" s="79" t="s">
        <v>92</v>
      </c>
      <c r="BF1" s="152" t="s">
        <v>120</v>
      </c>
      <c r="BG1" s="81" t="s">
        <v>70</v>
      </c>
      <c r="BH1" s="81" t="s">
        <v>71</v>
      </c>
      <c r="BI1" s="81" t="s">
        <v>103</v>
      </c>
      <c r="BJ1" s="81" t="s">
        <v>98</v>
      </c>
      <c r="BK1" s="81" t="s">
        <v>99</v>
      </c>
      <c r="BL1" s="81" t="s">
        <v>100</v>
      </c>
      <c r="BM1" s="81" t="s">
        <v>94</v>
      </c>
      <c r="BN1" s="81" t="s">
        <v>95</v>
      </c>
      <c r="BO1" s="81" t="s">
        <v>96</v>
      </c>
      <c r="BP1" s="81" t="s">
        <v>97</v>
      </c>
      <c r="BQ1" s="81" t="s">
        <v>101</v>
      </c>
      <c r="BR1" s="81" t="s">
        <v>102</v>
      </c>
      <c r="BS1" s="81" t="s">
        <v>104</v>
      </c>
      <c r="BT1" s="152" t="s">
        <v>36</v>
      </c>
      <c r="BU1" s="152" t="s">
        <v>93</v>
      </c>
      <c r="BV1" s="79" t="s">
        <v>121</v>
      </c>
      <c r="BW1" s="93" t="s">
        <v>88</v>
      </c>
    </row>
    <row r="2" spans="1:86" ht="30" customHeight="1">
      <c r="A2" s="68" t="s">
        <v>84</v>
      </c>
      <c r="B2" s="13">
        <v>2017</v>
      </c>
      <c r="C2" s="13" t="s">
        <v>39</v>
      </c>
      <c r="D2" s="117">
        <f>SUM(F2:I2)</f>
        <v>10</v>
      </c>
      <c r="E2" s="61">
        <f>D2-I2</f>
        <v>0</v>
      </c>
      <c r="F2" s="16"/>
      <c r="G2" s="16"/>
      <c r="H2" s="16"/>
      <c r="I2" s="27">
        <v>10</v>
      </c>
      <c r="J2" s="36">
        <v>43362</v>
      </c>
      <c r="K2" s="37">
        <v>2018</v>
      </c>
      <c r="L2" s="67">
        <f>Tableau6[[#This Row],[CREDIT IMPOT ACTUEL]]+Tableau6[[#This Row],[PRETS TOTAUX]]+Tableau6[[#This Row],[LBU ]]+Tableau6[[#This Row],[SUB ETAT]]+Tableau6[[#This Row],[AUTRES SUBVENTIONS]]+Tableau6[[#This Row],[FONDS PROPRES CONSTRUCTION]]</f>
        <v>362636</v>
      </c>
      <c r="M2" s="92"/>
      <c r="N2" s="76">
        <f>Z2+AB2+AE2+AF2</f>
        <v>35480</v>
      </c>
      <c r="O2" s="12" t="e">
        <f>L2/#REF!</f>
        <v>#REF!</v>
      </c>
      <c r="P2" s="12">
        <f>L2/D2</f>
        <v>36263.599999999999</v>
      </c>
      <c r="Q2" s="75"/>
      <c r="R2" s="55"/>
      <c r="S2" s="12" t="e">
        <f>#REF!/D2</f>
        <v>#REF!</v>
      </c>
      <c r="T2" s="75">
        <f>U2+Y2+AD2+Tableau6[[#This Row],[PRÊT ACL]]</f>
        <v>327156</v>
      </c>
      <c r="U2" s="17">
        <v>177156</v>
      </c>
      <c r="V2" s="34"/>
      <c r="W2" s="34"/>
      <c r="X2" s="51">
        <f>U2/D2</f>
        <v>17715.599999999999</v>
      </c>
      <c r="Y2" s="18">
        <v>150000</v>
      </c>
      <c r="Z2" s="17">
        <v>18200</v>
      </c>
      <c r="AA2" s="17"/>
      <c r="AB2" s="17"/>
      <c r="AC2" s="20">
        <f>Z2/L2</f>
        <v>5.0188067373344067E-2</v>
      </c>
      <c r="AD2" s="17"/>
      <c r="AE2" s="17"/>
      <c r="AF2" s="17">
        <v>17280</v>
      </c>
      <c r="AG2" s="12">
        <f>Z2/D2</f>
        <v>1820</v>
      </c>
      <c r="AH2" s="12">
        <f>(Q2+Z2)/D2</f>
        <v>1820</v>
      </c>
      <c r="AI2" s="85"/>
      <c r="AJ2" s="85"/>
      <c r="AK2" s="85" t="e">
        <f>(#REF!+#REF!+AJ2)/D2</f>
        <v>#REF!</v>
      </c>
      <c r="AL2" s="85"/>
      <c r="AM2" s="85">
        <f>(Q2+Z2+AJ2+AL2)/D2</f>
        <v>1820</v>
      </c>
      <c r="AN2" s="84" t="e">
        <f>(#REF!+#REF!+AJ2+AL2)/(AI2+#REF!-AO2)</f>
        <v>#REF!</v>
      </c>
      <c r="AO2" s="85"/>
      <c r="AP2" s="85"/>
      <c r="AQ2" s="75"/>
      <c r="AR2" s="88">
        <v>49386.413229999991</v>
      </c>
      <c r="AS2" s="89">
        <f>AR2/L2</f>
        <v>0.13618728761071705</v>
      </c>
      <c r="AT2" s="88">
        <f>L2-AR2</f>
        <v>313249.58676999999</v>
      </c>
      <c r="AU2" s="88" t="e">
        <f ca="1">IF(#REF!&lt;DATEDIF(TODAY(),$AU$1,"M"),AT2,(AT2/#REF!*DATEDIF(TODAY(),$AU$1,"M")))</f>
        <v>#REF!</v>
      </c>
      <c r="AV2" s="89" t="e">
        <f ca="1">(AU2+AR2)/L2</f>
        <v>#REF!</v>
      </c>
      <c r="AW2" s="90"/>
      <c r="AX2" s="88"/>
      <c r="AY2" s="88">
        <f>N2-AX2</f>
        <v>35480</v>
      </c>
      <c r="AZ2" s="88">
        <f>AX2/N2</f>
        <v>0</v>
      </c>
      <c r="BA2" s="88"/>
      <c r="BB2" s="153"/>
      <c r="BC2" s="21"/>
      <c r="BD2" s="80"/>
      <c r="BE2" s="80">
        <f>SUM(Tableau6[[#This Row],[GO]:[CARRELAGE]])</f>
        <v>0</v>
      </c>
      <c r="BF2" s="153">
        <v>203994.247</v>
      </c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153">
        <v>158641.73150000005</v>
      </c>
      <c r="BU2" s="153"/>
      <c r="BV2" s="80">
        <f>Tableau6[[#This Row],[TOTAL TRAVAUX]]+Tableau6[[#This Row],[HONORAIRES]]+Tableau6[[#This Row],[AUTRES FRAIS]]</f>
        <v>362635.97850000008</v>
      </c>
      <c r="BW2" s="94">
        <f>Tableau6[[#This Row],[TOTAL PRP TTC]]-Tableau6[[#This Row],[PRP TTC ]]</f>
        <v>-2.1499999915249646E-2</v>
      </c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</row>
    <row r="3" spans="1:86" ht="30" customHeight="1">
      <c r="A3" s="68" t="s">
        <v>40</v>
      </c>
      <c r="B3" s="13">
        <v>2017</v>
      </c>
      <c r="C3" s="13" t="s">
        <v>39</v>
      </c>
      <c r="D3" s="117">
        <f>SUM(F3:I3)</f>
        <v>6</v>
      </c>
      <c r="E3" s="61">
        <f>D3-I3</f>
        <v>0</v>
      </c>
      <c r="F3" s="16"/>
      <c r="G3" s="16"/>
      <c r="H3" s="16"/>
      <c r="I3" s="27">
        <v>6</v>
      </c>
      <c r="J3" s="36">
        <v>43452</v>
      </c>
      <c r="K3" s="37">
        <v>2018</v>
      </c>
      <c r="L3" s="67">
        <f>Tableau6[[#This Row],[CREDIT IMPOT ACTUEL]]+Tableau6[[#This Row],[PRETS TOTAUX]]+Tableau6[[#This Row],[LBU ]]+Tableau6[[#This Row],[SUB ETAT]]+Tableau6[[#This Row],[AUTRES SUBVENTIONS]]+Tableau6[[#This Row],[FONDS PROPRES CONSTRUCTION]]</f>
        <v>263550</v>
      </c>
      <c r="M3" s="92"/>
      <c r="N3" s="76">
        <f>Z3+AB3+AE3+AF3</f>
        <v>20940</v>
      </c>
      <c r="O3" s="12" t="e">
        <f>L3/#REF!</f>
        <v>#REF!</v>
      </c>
      <c r="P3" s="12">
        <f>L3/D3</f>
        <v>43925</v>
      </c>
      <c r="Q3" s="75"/>
      <c r="R3" s="55"/>
      <c r="S3" s="12" t="e">
        <f>#REF!/D3</f>
        <v>#REF!</v>
      </c>
      <c r="T3" s="75">
        <f>U3+Y3+AD3+Tableau6[[#This Row],[PRÊT ACL]]</f>
        <v>242610</v>
      </c>
      <c r="U3" s="17">
        <v>82610</v>
      </c>
      <c r="V3" s="34"/>
      <c r="W3" s="34"/>
      <c r="X3" s="51">
        <f>U3/D3</f>
        <v>13768.333333333334</v>
      </c>
      <c r="Y3" s="18">
        <v>100000</v>
      </c>
      <c r="Z3" s="17">
        <v>10920</v>
      </c>
      <c r="AA3" s="17"/>
      <c r="AB3" s="17"/>
      <c r="AC3" s="20">
        <f>Z3/L3</f>
        <v>4.1434262948207172E-2</v>
      </c>
      <c r="AD3" s="17">
        <v>60000</v>
      </c>
      <c r="AE3" s="17"/>
      <c r="AF3" s="17">
        <f>1680+8340</f>
        <v>10020</v>
      </c>
      <c r="AG3" s="12">
        <f>Z3/D3</f>
        <v>1820</v>
      </c>
      <c r="AH3" s="12">
        <f>(Q3+Z3)/D3</f>
        <v>1820</v>
      </c>
      <c r="AI3" s="85"/>
      <c r="AJ3" s="85"/>
      <c r="AK3" s="85" t="e">
        <f>(#REF!+#REF!+AJ3)/D3</f>
        <v>#REF!</v>
      </c>
      <c r="AL3" s="85"/>
      <c r="AM3" s="85">
        <f>(Q3+Z3+AJ3+AL3)/D3</f>
        <v>1820</v>
      </c>
      <c r="AN3" s="84" t="e">
        <f>(#REF!+#REF!+AJ3+AL3)/(AI3+#REF!-AO3)</f>
        <v>#REF!</v>
      </c>
      <c r="AO3" s="85"/>
      <c r="AP3" s="85"/>
      <c r="AQ3" s="75"/>
      <c r="AR3" s="88">
        <v>74757.429999999993</v>
      </c>
      <c r="AS3" s="89">
        <f>AR3/L3</f>
        <v>0.28365558717510908</v>
      </c>
      <c r="AT3" s="88">
        <f>L3-AR3</f>
        <v>188792.57</v>
      </c>
      <c r="AU3" s="88" t="e">
        <f ca="1">IF(#REF!&lt;DATEDIF(TODAY(),$AU$1,"M"),AT3,(AT3/#REF!*DATEDIF(TODAY(),$AU$1,"M")))</f>
        <v>#REF!</v>
      </c>
      <c r="AV3" s="89" t="e">
        <f ca="1">(AU3+AR3)/L3</f>
        <v>#REF!</v>
      </c>
      <c r="AW3" s="90"/>
      <c r="AX3" s="88"/>
      <c r="AY3" s="88">
        <f>N3-AX3</f>
        <v>20940</v>
      </c>
      <c r="AZ3" s="88">
        <f>AX3/N3</f>
        <v>0</v>
      </c>
      <c r="BA3" s="88"/>
      <c r="BB3" s="153"/>
      <c r="BC3" s="21"/>
      <c r="BD3" s="80"/>
      <c r="BE3" s="80">
        <f>SUM(Tableau6[[#This Row],[GO]:[CARRELAGE]])</f>
        <v>0</v>
      </c>
      <c r="BF3" s="153">
        <v>177210.20192999998</v>
      </c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153">
        <v>86339.798069999888</v>
      </c>
      <c r="BU3" s="153"/>
      <c r="BV3" s="80">
        <f>Tableau6[[#This Row],[TOTAL TRAVAUX]]+Tableau6[[#This Row],[HONORAIRES]]+Tableau6[[#This Row],[AUTRES FRAIS]]</f>
        <v>263549.99999999988</v>
      </c>
      <c r="BW3" s="94">
        <f>Tableau6[[#This Row],[TOTAL PRP TTC]]-Tableau6[[#This Row],[PRP TTC ]]</f>
        <v>0</v>
      </c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 ht="30" customHeight="1">
      <c r="A4" s="68" t="s">
        <v>46</v>
      </c>
      <c r="B4" s="13">
        <v>2018</v>
      </c>
      <c r="C4" s="13" t="s">
        <v>39</v>
      </c>
      <c r="D4" s="117">
        <f>SUM(F4:I4)</f>
        <v>34</v>
      </c>
      <c r="E4" s="61">
        <f>D4-I4</f>
        <v>0</v>
      </c>
      <c r="F4" s="16"/>
      <c r="G4" s="16"/>
      <c r="H4" s="16"/>
      <c r="I4" s="27">
        <v>34</v>
      </c>
      <c r="J4" s="36">
        <v>43650</v>
      </c>
      <c r="K4" s="37">
        <v>2019</v>
      </c>
      <c r="L4" s="67">
        <f>Tableau6[[#This Row],[CREDIT IMPOT ACTUEL]]+Tableau6[[#This Row],[PRETS TOTAUX]]+Tableau6[[#This Row],[LBU ]]+Tableau6[[#This Row],[SUB ETAT]]+Tableau6[[#This Row],[AUTRES SUBVENTIONS]]+Tableau6[[#This Row],[FONDS PROPRES CONSTRUCTION]]</f>
        <v>1067716.22</v>
      </c>
      <c r="M4" s="92"/>
      <c r="N4" s="76">
        <f>Z4+AB4+AE4+AF4</f>
        <v>172606.02</v>
      </c>
      <c r="O4" s="12" t="e">
        <f>L4/#REF!</f>
        <v>#REF!</v>
      </c>
      <c r="P4" s="12" t="e">
        <f>#REF!/D4</f>
        <v>#REF!</v>
      </c>
      <c r="Q4" s="75"/>
      <c r="R4" s="55"/>
      <c r="S4" s="12">
        <f>Q4/D4</f>
        <v>0</v>
      </c>
      <c r="T4" s="75">
        <f>U4+Y4+AD4+Tableau6[[#This Row],[PRÊT ACL]]</f>
        <v>895110.2</v>
      </c>
      <c r="U4" s="17">
        <v>555110.19999999995</v>
      </c>
      <c r="V4" s="34"/>
      <c r="W4" s="34"/>
      <c r="X4" s="51">
        <f>U4/D4</f>
        <v>16326.770588235293</v>
      </c>
      <c r="Y4" s="18"/>
      <c r="Z4" s="17">
        <f>136000+34926.02</f>
        <v>170926.02</v>
      </c>
      <c r="AA4" s="17"/>
      <c r="AB4" s="17"/>
      <c r="AC4" s="20">
        <f>Z4/L4</f>
        <v>0.16008562649727284</v>
      </c>
      <c r="AD4" s="17">
        <v>340000</v>
      </c>
      <c r="AE4" s="17"/>
      <c r="AF4" s="17">
        <v>1680</v>
      </c>
      <c r="AG4" s="12">
        <f>Z4/D4</f>
        <v>5027.2358823529412</v>
      </c>
      <c r="AH4" s="12">
        <f>(Q4+Z4)/D4</f>
        <v>5027.2358823529412</v>
      </c>
      <c r="AI4" s="85"/>
      <c r="AJ4" s="85"/>
      <c r="AK4" s="85">
        <f>(Q4+Z4+AJ4)/D4</f>
        <v>5027.2358823529412</v>
      </c>
      <c r="AL4" s="85"/>
      <c r="AM4" s="85">
        <f>(Q4+Z4+AJ4+AL4)/D4</f>
        <v>5027.2358823529412</v>
      </c>
      <c r="AN4" s="84">
        <f>(Q4+Z4+AJ4+AL4)/(AI4+L4-AO4)</f>
        <v>0.16008562649727284</v>
      </c>
      <c r="AO4" s="85"/>
      <c r="AP4" s="85"/>
      <c r="AQ4" s="75"/>
      <c r="AR4" s="88">
        <v>77547.36976999999</v>
      </c>
      <c r="AS4" s="89">
        <f>AR4/L4</f>
        <v>7.2629195208816805E-2</v>
      </c>
      <c r="AT4" s="88">
        <f>L4-AR4</f>
        <v>990168.85022999998</v>
      </c>
      <c r="AU4" s="88" t="e">
        <f ca="1">IF(#REF!&lt;DATEDIF(TODAY(),$AU$1,"M"),AT4,(AT4/#REF!*DATEDIF(TODAY(),$AU$1,"M")))</f>
        <v>#REF!</v>
      </c>
      <c r="AV4" s="89" t="e">
        <f ca="1">(AU4+AR4)/L4</f>
        <v>#REF!</v>
      </c>
      <c r="AW4" s="90"/>
      <c r="AX4" s="88"/>
      <c r="AY4" s="88">
        <f>N4-AX4</f>
        <v>172606.02</v>
      </c>
      <c r="AZ4" s="88">
        <f>AX4/N4</f>
        <v>0</v>
      </c>
      <c r="BA4" s="88"/>
      <c r="BB4" s="153"/>
      <c r="BC4" s="21"/>
      <c r="BD4" s="80"/>
      <c r="BE4" s="80">
        <f>SUM(Tableau6[[#This Row],[GO]:[CARRELAGE]])</f>
        <v>0</v>
      </c>
      <c r="BF4" s="153">
        <v>851762.25</v>
      </c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153">
        <v>215953.76921380474</v>
      </c>
      <c r="BU4" s="153"/>
      <c r="BV4" s="80">
        <f>Tableau6[[#This Row],[TOTAL TRAVAUX]]+Tableau6[[#This Row],[HONORAIRES]]+Tableau6[[#This Row],[AUTRES FRAIS]]</f>
        <v>1067716.0192138047</v>
      </c>
      <c r="BW4" s="94">
        <f>Tableau6[[#This Row],[TOTAL PRP TTC]]-Tableau6[[#This Row],[PRP TTC ]]</f>
        <v>-0.20078619522973895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</row>
    <row r="5" spans="1:86" ht="25.2" customHeight="1">
      <c r="A5" s="68" t="s">
        <v>41</v>
      </c>
      <c r="B5" s="13">
        <v>2017</v>
      </c>
      <c r="C5" s="13" t="s">
        <v>39</v>
      </c>
      <c r="D5" s="117">
        <f>SUM(F5:I5)</f>
        <v>74</v>
      </c>
      <c r="E5" s="62">
        <f>D5-I5</f>
        <v>0</v>
      </c>
      <c r="F5" s="16"/>
      <c r="G5" s="16"/>
      <c r="H5" s="16"/>
      <c r="I5" s="27">
        <v>74</v>
      </c>
      <c r="J5" s="36">
        <v>43355</v>
      </c>
      <c r="K5" s="37">
        <v>2018</v>
      </c>
      <c r="L5" s="71">
        <f>Tableau6[[#This Row],[CREDIT IMPOT ACTUEL]]+Tableau6[[#This Row],[PRETS TOTAUX]]+Tableau6[[#This Row],[LBU ]]+Tableau6[[#This Row],[SUB ETAT]]+Tableau6[[#This Row],[AUTRES SUBVENTIONS]]+Tableau6[[#This Row],[FONDS PROPRES CONSTRUCTION]]</f>
        <v>3806192.29</v>
      </c>
      <c r="M5" s="92"/>
      <c r="N5" s="76">
        <f>Z5+AB5+AE5+AF5</f>
        <v>851436.29</v>
      </c>
      <c r="O5" s="34" t="e">
        <f>L5/#REF!</f>
        <v>#REF!</v>
      </c>
      <c r="P5" s="34">
        <f>L5/D5</f>
        <v>51435.030945945946</v>
      </c>
      <c r="Q5" s="75"/>
      <c r="R5" s="128"/>
      <c r="S5" s="34" t="e">
        <f>#REF!/D5</f>
        <v>#REF!</v>
      </c>
      <c r="T5" s="75">
        <f>U5+Y5+AD5+Tableau6[[#This Row],[PRÊT ACL]]</f>
        <v>2954756</v>
      </c>
      <c r="U5" s="3">
        <v>2214756</v>
      </c>
      <c r="V5" s="34"/>
      <c r="W5" s="34"/>
      <c r="X5" s="51">
        <f>U5/D5</f>
        <v>29929.135135135137</v>
      </c>
      <c r="Y5" s="18"/>
      <c r="Z5" s="3">
        <f>462500+198572.8</f>
        <v>661072.80000000005</v>
      </c>
      <c r="AA5" s="17"/>
      <c r="AB5" s="17"/>
      <c r="AC5" s="20">
        <f>Z5/L5</f>
        <v>0.1736835003677652</v>
      </c>
      <c r="AD5" s="17">
        <v>740000</v>
      </c>
      <c r="AE5" s="17"/>
      <c r="AF5" s="17">
        <v>190363.49</v>
      </c>
      <c r="AG5" s="12">
        <f>Z5/D5</f>
        <v>8933.4162162162174</v>
      </c>
      <c r="AH5" s="12">
        <f>(Q5+Z5)/D5</f>
        <v>8933.4162162162174</v>
      </c>
      <c r="AI5" s="85"/>
      <c r="AJ5" s="85"/>
      <c r="AK5" s="85" t="e">
        <f>(#REF!+#REF!+AJ5)/D5</f>
        <v>#REF!</v>
      </c>
      <c r="AL5" s="85"/>
      <c r="AM5" s="85">
        <f>(Q5+Z5+AJ5+AL5)/D5</f>
        <v>8933.4162162162174</v>
      </c>
      <c r="AN5" s="84" t="e">
        <f>(#REF!+#REF!+AJ5+AL5)/(AI5+#REF!-AO5)</f>
        <v>#REF!</v>
      </c>
      <c r="AO5" s="85"/>
      <c r="AP5" s="85"/>
      <c r="AQ5" s="75"/>
      <c r="AR5" s="88">
        <v>896776.81884999992</v>
      </c>
      <c r="AS5" s="89">
        <f>AR5/L5</f>
        <v>0.23560996148463112</v>
      </c>
      <c r="AT5" s="88">
        <f>L5-AR5</f>
        <v>2909415.4711500001</v>
      </c>
      <c r="AU5" s="88" t="e">
        <f ca="1">IF(#REF!&lt;DATEDIF(TODAY(),$AU$1,"M"),AT5,(AT5/#REF!*DATEDIF(TODAY(),$AU$1,"M")))</f>
        <v>#REF!</v>
      </c>
      <c r="AV5" s="89" t="e">
        <f ca="1">(AU5+AR5)/L5</f>
        <v>#REF!</v>
      </c>
      <c r="AW5" s="90"/>
      <c r="AX5" s="88"/>
      <c r="AY5" s="88">
        <f>N5-AX5</f>
        <v>851436.29</v>
      </c>
      <c r="AZ5" s="88">
        <f>AX5/N5</f>
        <v>0</v>
      </c>
      <c r="BA5" s="88"/>
      <c r="BB5" s="153"/>
      <c r="BC5" s="35"/>
      <c r="BD5" s="80"/>
      <c r="BE5" s="80">
        <f>SUM(Tableau6[[#This Row],[GO]:[CARRELAGE]])</f>
        <v>0</v>
      </c>
      <c r="BF5" s="153">
        <v>3200210.04</v>
      </c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153">
        <v>605982.25431000034</v>
      </c>
      <c r="BU5" s="153"/>
      <c r="BV5" s="80">
        <f>Tableau6[[#This Row],[TOTAL TRAVAUX]]+Tableau6[[#This Row],[HONORAIRES]]+Tableau6[[#This Row],[AUTRES FRAIS]]</f>
        <v>3806192.2943100003</v>
      </c>
      <c r="BW5" s="94">
        <f>Tableau6[[#This Row],[TOTAL PRP TTC]]-Tableau6[[#This Row],[PRP TTC ]]</f>
        <v>4.3100002221763134E-3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</row>
    <row r="6" spans="1:86" ht="25.2" customHeight="1">
      <c r="A6" s="68" t="s">
        <v>38</v>
      </c>
      <c r="B6" s="13">
        <v>2017</v>
      </c>
      <c r="C6" s="13" t="s">
        <v>39</v>
      </c>
      <c r="D6" s="125">
        <f>SUM(F6:I6)</f>
        <v>26</v>
      </c>
      <c r="E6" s="62">
        <f>D6-I6</f>
        <v>0</v>
      </c>
      <c r="F6" s="16"/>
      <c r="G6" s="16"/>
      <c r="H6" s="16"/>
      <c r="I6" s="27">
        <v>26</v>
      </c>
      <c r="J6" s="33">
        <v>43363</v>
      </c>
      <c r="K6" s="31">
        <v>2018</v>
      </c>
      <c r="L6" s="67">
        <f>Tableau6[[#This Row],[CREDIT IMPOT ACTUEL]]+Tableau6[[#This Row],[PRETS TOTAUX]]+Tableau6[[#This Row],[LBU ]]+Tableau6[[#This Row],[SUB ETAT]]+Tableau6[[#This Row],[AUTRES SUBVENTIONS]]+Tableau6[[#This Row],[FONDS PROPRES CONSTRUCTION]]</f>
        <v>1067865.8</v>
      </c>
      <c r="M6" s="92"/>
      <c r="N6" s="76">
        <f>Z6+AB6+AE6+AF6</f>
        <v>90525.8</v>
      </c>
      <c r="O6" s="12" t="e">
        <f>L6/#REF!</f>
        <v>#REF!</v>
      </c>
      <c r="P6" s="12">
        <f>L6/D6</f>
        <v>41071.761538461542</v>
      </c>
      <c r="Q6" s="75"/>
      <c r="R6" s="55"/>
      <c r="S6" s="12" t="e">
        <f>#REF!/D6</f>
        <v>#REF!</v>
      </c>
      <c r="T6" s="75">
        <f>U6+Y6+AD6+Tableau6[[#This Row],[PRÊT ACL]]</f>
        <v>977340</v>
      </c>
      <c r="U6" s="17">
        <v>827340</v>
      </c>
      <c r="V6" s="34"/>
      <c r="W6" s="34"/>
      <c r="X6" s="51">
        <f>U6/D6</f>
        <v>31820.76923076923</v>
      </c>
      <c r="Y6" s="18">
        <v>150000</v>
      </c>
      <c r="Z6" s="17">
        <v>47320</v>
      </c>
      <c r="AA6" s="17"/>
      <c r="AB6" s="17"/>
      <c r="AC6" s="20">
        <f>Z6/L6</f>
        <v>4.4312684234292361E-2</v>
      </c>
      <c r="AD6" s="17"/>
      <c r="AE6" s="17"/>
      <c r="AF6" s="17">
        <v>43205.8</v>
      </c>
      <c r="AG6" s="12">
        <f>Z6/D6</f>
        <v>1820</v>
      </c>
      <c r="AH6" s="12">
        <f>(Q6+Z6)/D6</f>
        <v>1820</v>
      </c>
      <c r="AI6" s="85"/>
      <c r="AJ6" s="85"/>
      <c r="AK6" s="85" t="e">
        <f>(#REF!+#REF!+AJ6)/D6</f>
        <v>#REF!</v>
      </c>
      <c r="AL6" s="85"/>
      <c r="AM6" s="85">
        <f>(Q6+Z6+AJ6+AL6)/D6</f>
        <v>1820</v>
      </c>
      <c r="AN6" s="84" t="e">
        <f>(#REF!+#REF!+AJ6+AL6)/(AI6+#REF!-AO6)</f>
        <v>#REF!</v>
      </c>
      <c r="AO6" s="85"/>
      <c r="AP6" s="85"/>
      <c r="AQ6" s="75"/>
      <c r="AR6" s="88">
        <v>185676.66064999998</v>
      </c>
      <c r="AS6" s="89">
        <f>AR6/L6</f>
        <v>0.17387639968430488</v>
      </c>
      <c r="AT6" s="88">
        <f>L6-AR6</f>
        <v>882189.13935000007</v>
      </c>
      <c r="AU6" s="88" t="e">
        <f ca="1">IF(#REF!&lt;DATEDIF(TODAY(),$AU$1,"M"),AT6,(AT6/#REF!*DATEDIF(TODAY(),$AU$1,"M")))</f>
        <v>#REF!</v>
      </c>
      <c r="AV6" s="89" t="e">
        <f ca="1">(AU6+AR6)/L6</f>
        <v>#REF!</v>
      </c>
      <c r="AW6" s="90"/>
      <c r="AX6" s="88"/>
      <c r="AY6" s="88">
        <f>N6-AX6</f>
        <v>90525.8</v>
      </c>
      <c r="AZ6" s="88">
        <f>AX6/N6</f>
        <v>0</v>
      </c>
      <c r="BA6" s="88"/>
      <c r="BB6" s="153"/>
      <c r="BC6" s="21"/>
      <c r="BD6" s="80"/>
      <c r="BE6" s="80">
        <f>SUM(Tableau6[[#This Row],[GO]:[CARRELAGE]])</f>
        <v>0</v>
      </c>
      <c r="BF6" s="153">
        <v>818917.26</v>
      </c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153">
        <v>248948.54209000003</v>
      </c>
      <c r="BU6" s="153"/>
      <c r="BV6" s="80">
        <f>Tableau6[[#This Row],[TOTAL TRAVAUX]]+Tableau6[[#This Row],[HONORAIRES]]+Tableau6[[#This Row],[AUTRES FRAIS]]</f>
        <v>1067865.8020900001</v>
      </c>
      <c r="BW6" s="94">
        <f>Tableau6[[#This Row],[TOTAL PRP TTC]]-Tableau6[[#This Row],[PRP TTC ]]</f>
        <v>2.090000081807375E-3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</row>
    <row r="7" spans="1:86" ht="27.6" customHeight="1">
      <c r="A7" s="68" t="s">
        <v>43</v>
      </c>
      <c r="B7" s="13">
        <v>2017</v>
      </c>
      <c r="C7" s="13" t="s">
        <v>39</v>
      </c>
      <c r="D7" s="117">
        <f>SUM(F7:I7)</f>
        <v>31</v>
      </c>
      <c r="E7" s="62">
        <f>D7-I7</f>
        <v>0</v>
      </c>
      <c r="F7" s="16"/>
      <c r="G7" s="16"/>
      <c r="H7" s="16"/>
      <c r="I7" s="27">
        <v>31</v>
      </c>
      <c r="J7" s="36">
        <v>43441</v>
      </c>
      <c r="K7" s="37">
        <v>2018</v>
      </c>
      <c r="L7" s="67">
        <f>Tableau6[[#This Row],[CREDIT IMPOT ACTUEL]]+Tableau6[[#This Row],[PRETS TOTAUX]]+Tableau6[[#This Row],[LBU ]]+Tableau6[[#This Row],[SUB ETAT]]+Tableau6[[#This Row],[AUTRES SUBVENTIONS]]+Tableau6[[#This Row],[FONDS PROPRES CONSTRUCTION]]</f>
        <v>2154524</v>
      </c>
      <c r="M7" s="92"/>
      <c r="N7" s="76">
        <f>Z7+AB7+AE7+AF7</f>
        <v>517954</v>
      </c>
      <c r="O7" s="12" t="e">
        <f>L7/#REF!</f>
        <v>#REF!</v>
      </c>
      <c r="P7" s="12">
        <f>L7/D7</f>
        <v>69500.774193548394</v>
      </c>
      <c r="Q7" s="75"/>
      <c r="R7" s="55"/>
      <c r="S7" s="12" t="e">
        <f>#REF!/D7</f>
        <v>#REF!</v>
      </c>
      <c r="T7" s="75">
        <f>U7+Y7+AD7+Tableau6[[#This Row],[PRÊT ACL]]</f>
        <v>1636570</v>
      </c>
      <c r="U7" s="3">
        <v>989127</v>
      </c>
      <c r="V7" s="34"/>
      <c r="W7" s="34"/>
      <c r="X7" s="51">
        <f>U7/D7</f>
        <v>31907.322580645163</v>
      </c>
      <c r="Y7" s="18">
        <v>347443</v>
      </c>
      <c r="Z7" s="3">
        <v>401760</v>
      </c>
      <c r="AA7" s="17"/>
      <c r="AB7" s="17"/>
      <c r="AC7" s="20">
        <f>Z7/L7</f>
        <v>0.1864727429353305</v>
      </c>
      <c r="AD7" s="17">
        <v>300000</v>
      </c>
      <c r="AE7" s="17"/>
      <c r="AF7" s="17">
        <v>116194</v>
      </c>
      <c r="AG7" s="12">
        <f>Z7/D7</f>
        <v>12960</v>
      </c>
      <c r="AH7" s="12">
        <f>(Q7+Z7)/D7</f>
        <v>12960</v>
      </c>
      <c r="AI7" s="85"/>
      <c r="AJ7" s="85"/>
      <c r="AK7" s="85" t="e">
        <f>(#REF!+#REF!+AJ7)/D7</f>
        <v>#REF!</v>
      </c>
      <c r="AL7" s="85"/>
      <c r="AM7" s="85">
        <f>(Q7+Z7+AJ7+AL7)/D7</f>
        <v>12960</v>
      </c>
      <c r="AN7" s="84" t="e">
        <f>(#REF!+#REF!+AJ7+AL7)/(AI7+#REF!-AO7)</f>
        <v>#REF!</v>
      </c>
      <c r="AO7" s="85"/>
      <c r="AP7" s="85"/>
      <c r="AQ7" s="75"/>
      <c r="AR7" s="88">
        <v>241383.86025999996</v>
      </c>
      <c r="AS7" s="89">
        <f>AR7/L7</f>
        <v>0.11203581870519889</v>
      </c>
      <c r="AT7" s="88">
        <f>L7-AR7</f>
        <v>1913140.13974</v>
      </c>
      <c r="AU7" s="88" t="e">
        <f ca="1">IF(#REF!&lt;DATEDIF(TODAY(),$AU$1,"M"),AT7,(AT7/#REF!*DATEDIF(TODAY(),$AU$1,"M")))</f>
        <v>#REF!</v>
      </c>
      <c r="AV7" s="89" t="e">
        <f ca="1">(AU7+AR7)/L7</f>
        <v>#REF!</v>
      </c>
      <c r="AW7" s="90"/>
      <c r="AX7" s="88"/>
      <c r="AY7" s="88">
        <f>N7-AX7</f>
        <v>517954</v>
      </c>
      <c r="AZ7" s="88">
        <f>AX7/N7</f>
        <v>0</v>
      </c>
      <c r="BA7" s="88"/>
      <c r="BB7" s="153"/>
      <c r="BC7" s="21"/>
      <c r="BD7" s="80"/>
      <c r="BE7" s="80">
        <f>SUM(Tableau6[[#This Row],[GO]:[CARRELAGE]])</f>
        <v>0</v>
      </c>
      <c r="BF7" s="153">
        <v>1752943.91</v>
      </c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153">
        <v>401580.08629319421</v>
      </c>
      <c r="BU7" s="153"/>
      <c r="BV7" s="80">
        <f>Tableau6[[#This Row],[TOTAL TRAVAUX]]+Tableau6[[#This Row],[HONORAIRES]]+Tableau6[[#This Row],[AUTRES FRAIS]]</f>
        <v>2154523.9962931941</v>
      </c>
      <c r="BW7" s="94">
        <f>Tableau6[[#This Row],[TOTAL PRP TTC]]-Tableau6[[#This Row],[PRP TTC ]]</f>
        <v>-3.7068058736622334E-3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</row>
    <row r="8" spans="1:86" ht="25.2" customHeight="1">
      <c r="A8" s="68" t="s">
        <v>42</v>
      </c>
      <c r="B8" s="13">
        <v>2017</v>
      </c>
      <c r="C8" s="13" t="s">
        <v>39</v>
      </c>
      <c r="D8" s="117">
        <f>SUM(F8:I8)</f>
        <v>45</v>
      </c>
      <c r="E8" s="62">
        <f>D8-I8</f>
        <v>0</v>
      </c>
      <c r="F8" s="16"/>
      <c r="G8" s="16"/>
      <c r="H8" s="16"/>
      <c r="I8" s="27">
        <v>45</v>
      </c>
      <c r="J8" s="36">
        <v>43362</v>
      </c>
      <c r="K8" s="37">
        <v>2018</v>
      </c>
      <c r="L8" s="67">
        <f>Tableau6[[#This Row],[CREDIT IMPOT ACTUEL]]+Tableau6[[#This Row],[PRETS TOTAUX]]+Tableau6[[#This Row],[LBU ]]+Tableau6[[#This Row],[SUB ETAT]]+Tableau6[[#This Row],[AUTRES SUBVENTIONS]]+Tableau6[[#This Row],[FONDS PROPRES CONSTRUCTION]]</f>
        <v>2205644</v>
      </c>
      <c r="M8" s="92"/>
      <c r="N8" s="76">
        <f>Z8+AB8+AE8+AF8</f>
        <v>407136</v>
      </c>
      <c r="O8" s="12" t="e">
        <f>L8/#REF!</f>
        <v>#REF!</v>
      </c>
      <c r="P8" s="12">
        <f>L8/D8</f>
        <v>49014.311111111114</v>
      </c>
      <c r="Q8" s="75"/>
      <c r="R8" s="55"/>
      <c r="S8" s="12" t="e">
        <f>#REF!/D8</f>
        <v>#REF!</v>
      </c>
      <c r="T8" s="75">
        <f>U8+Y8+AD8+Tableau6[[#This Row],[PRÊT ACL]]</f>
        <v>1798508</v>
      </c>
      <c r="U8" s="17">
        <v>1348508</v>
      </c>
      <c r="V8" s="34"/>
      <c r="W8" s="34"/>
      <c r="X8" s="51">
        <f>U8/D8</f>
        <v>29966.844444444443</v>
      </c>
      <c r="Y8" s="18"/>
      <c r="Z8" s="17">
        <v>281250</v>
      </c>
      <c r="AA8" s="17"/>
      <c r="AB8" s="17"/>
      <c r="AC8" s="20">
        <f>Z8/L8</f>
        <v>0.12751377828879004</v>
      </c>
      <c r="AD8" s="17">
        <v>450000</v>
      </c>
      <c r="AE8" s="17"/>
      <c r="AF8" s="17">
        <v>125886</v>
      </c>
      <c r="AG8" s="12">
        <f>Z8/D8</f>
        <v>6250</v>
      </c>
      <c r="AH8" s="12">
        <f>(Q8+Z8)/D8</f>
        <v>6250</v>
      </c>
      <c r="AI8" s="85"/>
      <c r="AJ8" s="85"/>
      <c r="AK8" s="85" t="e">
        <f>(#REF!+#REF!+AJ8)/D8</f>
        <v>#REF!</v>
      </c>
      <c r="AL8" s="85"/>
      <c r="AM8" s="85">
        <f>(Q8+Z8+AJ8+AL8)/D8</f>
        <v>6250</v>
      </c>
      <c r="AN8" s="84" t="e">
        <f>(#REF!+#REF!+AJ8+AL8)/(AI8+#REF!-AO8)</f>
        <v>#REF!</v>
      </c>
      <c r="AO8" s="85"/>
      <c r="AP8" s="85"/>
      <c r="AQ8" s="75"/>
      <c r="AR8" s="88">
        <v>435509.55661999999</v>
      </c>
      <c r="AS8" s="89">
        <f>AR8/L8</f>
        <v>0.19745233438397131</v>
      </c>
      <c r="AT8" s="88">
        <f>L8-AR8</f>
        <v>1770134.4433800001</v>
      </c>
      <c r="AU8" s="88" t="e">
        <f ca="1">IF(#REF!&lt;DATEDIF(TODAY(),$AU$1,"M"),AT8,(AT8/#REF!*DATEDIF(TODAY(),$AU$1,"M")))</f>
        <v>#REF!</v>
      </c>
      <c r="AV8" s="89" t="e">
        <f ca="1">(AU8+AR8)/L8</f>
        <v>#REF!</v>
      </c>
      <c r="AW8" s="90"/>
      <c r="AX8" s="88"/>
      <c r="AY8" s="88">
        <f>N8-AX8</f>
        <v>407136</v>
      </c>
      <c r="AZ8" s="88">
        <f>AX8/N8</f>
        <v>0</v>
      </c>
      <c r="BA8" s="88"/>
      <c r="BB8" s="153"/>
      <c r="BC8" s="21"/>
      <c r="BD8" s="80"/>
      <c r="BE8" s="80">
        <f>SUM(Tableau6[[#This Row],[GO]:[CARRELAGE]])</f>
        <v>0</v>
      </c>
      <c r="BF8" s="153">
        <v>1699959.04</v>
      </c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153">
        <v>505685.00167490001</v>
      </c>
      <c r="BU8" s="153"/>
      <c r="BV8" s="80">
        <f>Tableau6[[#This Row],[TOTAL TRAVAUX]]+Tableau6[[#This Row],[HONORAIRES]]+Tableau6[[#This Row],[AUTRES FRAIS]]</f>
        <v>2205644.0416748999</v>
      </c>
      <c r="BW8" s="94">
        <f>Tableau6[[#This Row],[TOTAL PRP TTC]]-Tableau6[[#This Row],[PRP TTC ]]</f>
        <v>4.1674899868667126E-2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</row>
    <row r="9" spans="1:86" ht="27.6" customHeight="1">
      <c r="A9" s="68" t="s">
        <v>45</v>
      </c>
      <c r="B9" s="13">
        <v>2018</v>
      </c>
      <c r="C9" s="13" t="s">
        <v>39</v>
      </c>
      <c r="D9" s="117">
        <f>SUM(F9:I9)</f>
        <v>23</v>
      </c>
      <c r="E9" s="62">
        <f>D9-I9</f>
        <v>0</v>
      </c>
      <c r="F9" s="16"/>
      <c r="G9" s="16"/>
      <c r="H9" s="16"/>
      <c r="I9" s="27">
        <v>23</v>
      </c>
      <c r="J9" s="36">
        <v>43665</v>
      </c>
      <c r="K9" s="37">
        <v>2019</v>
      </c>
      <c r="L9" s="71">
        <f>Tableau6[[#This Row],[CREDIT IMPOT ACTUEL]]+Tableau6[[#This Row],[PRETS TOTAUX]]+Tableau6[[#This Row],[LBU ]]+Tableau6[[#This Row],[SUB ETAT]]+Tableau6[[#This Row],[AUTRES SUBVENTIONS]]+Tableau6[[#This Row],[FONDS PROPRES CONSTRUCTION]]</f>
        <v>1167532.54</v>
      </c>
      <c r="M9" s="92"/>
      <c r="N9" s="76">
        <f>Z9+AB9+AE9+AF9</f>
        <v>202739.6</v>
      </c>
      <c r="O9" s="12" t="e">
        <f>L9/#REF!</f>
        <v>#REF!</v>
      </c>
      <c r="P9" s="12">
        <f>L9/D9</f>
        <v>50762.284347826091</v>
      </c>
      <c r="Q9" s="75"/>
      <c r="R9" s="55"/>
      <c r="S9" s="12">
        <f>Q9/D9</f>
        <v>0</v>
      </c>
      <c r="T9" s="75">
        <f>U9+Y9+AD9+Tableau6[[#This Row],[PRÊT ACL]]</f>
        <v>964792.94</v>
      </c>
      <c r="U9" s="3">
        <v>784792.94</v>
      </c>
      <c r="V9" s="34"/>
      <c r="W9" s="34"/>
      <c r="X9" s="51">
        <f>U9/D9</f>
        <v>34121.432173913039</v>
      </c>
      <c r="Y9" s="18"/>
      <c r="Z9" s="3">
        <v>165991</v>
      </c>
      <c r="AA9" s="17"/>
      <c r="AB9" s="17"/>
      <c r="AC9" s="20">
        <f>Z9/L9</f>
        <v>0.14217248283289816</v>
      </c>
      <c r="AD9" s="17">
        <v>180000</v>
      </c>
      <c r="AE9" s="17"/>
      <c r="AF9" s="17">
        <v>36748.6</v>
      </c>
      <c r="AG9" s="12">
        <f>Z9/D9</f>
        <v>7217</v>
      </c>
      <c r="AH9" s="12">
        <f>(Q9+Z9)/D9</f>
        <v>7217</v>
      </c>
      <c r="AI9" s="85"/>
      <c r="AJ9" s="85"/>
      <c r="AK9" s="85" t="e">
        <f>(#REF!+#REF!+AJ9)/D9</f>
        <v>#REF!</v>
      </c>
      <c r="AL9" s="85"/>
      <c r="AM9" s="85">
        <f>(Q9+Z9+AJ9+AL9)/D9</f>
        <v>7217</v>
      </c>
      <c r="AN9" s="84" t="e">
        <f>(#REF!+#REF!+AJ9+AL9)/(AI9+#REF!-AO9)</f>
        <v>#REF!</v>
      </c>
      <c r="AO9" s="85"/>
      <c r="AP9" s="85"/>
      <c r="AQ9" s="75"/>
      <c r="AR9" s="88">
        <v>73063.454279999991</v>
      </c>
      <c r="AS9" s="89">
        <f>AR9/L9</f>
        <v>6.2579372974050029E-2</v>
      </c>
      <c r="AT9" s="88">
        <f>L9-AR9</f>
        <v>1094469.0857200001</v>
      </c>
      <c r="AU9" s="88" t="e">
        <f ca="1">IF(#REF!&lt;DATEDIF(TODAY(),$AU$1,"M"),AT9,(AT9/#REF!*DATEDIF(TODAY(),$AU$1,"M")))</f>
        <v>#REF!</v>
      </c>
      <c r="AV9" s="89" t="e">
        <f ca="1">(AU9+AR9)/L9</f>
        <v>#REF!</v>
      </c>
      <c r="AW9" s="90"/>
      <c r="AX9" s="88"/>
      <c r="AY9" s="88">
        <f>N9-AX9</f>
        <v>202739.6</v>
      </c>
      <c r="AZ9" s="88">
        <f>AX9/N9</f>
        <v>0</v>
      </c>
      <c r="BA9" s="88" t="s">
        <v>67</v>
      </c>
      <c r="BB9" s="153"/>
      <c r="BC9" s="21"/>
      <c r="BD9" s="80"/>
      <c r="BE9" s="80">
        <f>SUM(Tableau6[[#This Row],[GO]:[CARRELAGE]])</f>
        <v>0</v>
      </c>
      <c r="BF9" s="153">
        <v>892673.91</v>
      </c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153">
        <v>274858.69006999995</v>
      </c>
      <c r="BU9" s="153"/>
      <c r="BV9" s="80">
        <f>Tableau6[[#This Row],[TOTAL TRAVAUX]]+Tableau6[[#This Row],[HONORAIRES]]+Tableau6[[#This Row],[AUTRES FRAIS]]</f>
        <v>1167532.6000699999</v>
      </c>
      <c r="BW9" s="94">
        <f>Tableau6[[#This Row],[TOTAL PRP TTC]]-Tableau6[[#This Row],[PRP TTC ]]</f>
        <v>6.0069999890401959E-2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</row>
    <row r="10" spans="1:86" ht="27" customHeight="1">
      <c r="A10" s="68" t="s">
        <v>47</v>
      </c>
      <c r="B10" s="13">
        <v>2018</v>
      </c>
      <c r="C10" s="13" t="s">
        <v>39</v>
      </c>
      <c r="D10" s="117">
        <f>SUM(F10:I10)</f>
        <v>128</v>
      </c>
      <c r="E10" s="62">
        <f>D10-I10</f>
        <v>0</v>
      </c>
      <c r="F10" s="16"/>
      <c r="G10" s="16"/>
      <c r="H10" s="16"/>
      <c r="I10" s="27">
        <v>128</v>
      </c>
      <c r="J10" s="36">
        <v>43668</v>
      </c>
      <c r="K10" s="37">
        <v>2019</v>
      </c>
      <c r="L10" s="71">
        <f>Tableau6[[#This Row],[CREDIT IMPOT ACTUEL]]+Tableau6[[#This Row],[PRETS TOTAUX]]+Tableau6[[#This Row],[LBU ]]+Tableau6[[#This Row],[SUB ETAT]]+Tableau6[[#This Row],[AUTRES SUBVENTIONS]]+Tableau6[[#This Row],[FONDS PROPRES CONSTRUCTION]]</f>
        <v>3854234.8000000003</v>
      </c>
      <c r="M10" s="92"/>
      <c r="N10" s="76">
        <f>Z10+AB10+AE10+AF10</f>
        <v>886822.55999999994</v>
      </c>
      <c r="O10" s="12" t="e">
        <f>L10/#REF!</f>
        <v>#REF!</v>
      </c>
      <c r="P10" s="12">
        <f>L10/D10</f>
        <v>30111.209375000002</v>
      </c>
      <c r="Q10" s="75"/>
      <c r="R10" s="55"/>
      <c r="S10" s="12">
        <f>Q10/D10</f>
        <v>0</v>
      </c>
      <c r="T10" s="75">
        <f>U10+Y10+AD10+Tableau6[[#This Row],[PRÊT ACL]]</f>
        <v>2967412.24</v>
      </c>
      <c r="U10" s="3">
        <v>2287412.2400000002</v>
      </c>
      <c r="V10" s="34"/>
      <c r="W10" s="34"/>
      <c r="X10" s="51">
        <f>U10/D10</f>
        <v>17870.408125000002</v>
      </c>
      <c r="Y10" s="18"/>
      <c r="Z10" s="3">
        <v>655705.55999999994</v>
      </c>
      <c r="AA10" s="17"/>
      <c r="AB10" s="17"/>
      <c r="AC10" s="20">
        <f>Z10/L10</f>
        <v>0.17012600270227438</v>
      </c>
      <c r="AD10" s="17">
        <v>680000</v>
      </c>
      <c r="AE10" s="17"/>
      <c r="AF10" s="17">
        <v>231117</v>
      </c>
      <c r="AG10" s="12">
        <f>Z10/D10</f>
        <v>5122.6996874999995</v>
      </c>
      <c r="AH10" s="12">
        <f>(Q10+Z10)/D10</f>
        <v>5122.6996874999995</v>
      </c>
      <c r="AI10" s="85"/>
      <c r="AJ10" s="85"/>
      <c r="AK10" s="85" t="e">
        <f>(#REF!+#REF!+AJ10)/D10</f>
        <v>#REF!</v>
      </c>
      <c r="AL10" s="85"/>
      <c r="AM10" s="85">
        <f>(Q10+Z10+AJ10+AL10)/D10</f>
        <v>5122.6996874999995</v>
      </c>
      <c r="AN10" s="84" t="e">
        <f>(#REF!+#REF!+AJ10+AL10)/(AI10+#REF!-AO10)</f>
        <v>#REF!</v>
      </c>
      <c r="AO10" s="85"/>
      <c r="AP10" s="85"/>
      <c r="AQ10" s="75"/>
      <c r="AR10" s="88">
        <v>2391683.2648499999</v>
      </c>
      <c r="AS10" s="89">
        <f>AR10/L10</f>
        <v>0.6205338773989586</v>
      </c>
      <c r="AT10" s="88">
        <f>L10-AR10</f>
        <v>1462551.5351500004</v>
      </c>
      <c r="AU10" s="88" t="e">
        <f ca="1">IF(#REF!&lt;DATEDIF(TODAY(),$AU$1,"M"),AT10,(AT10/#REF!*DATEDIF(TODAY(),$AU$1,"M")))</f>
        <v>#REF!</v>
      </c>
      <c r="AV10" s="89" t="e">
        <f ca="1">(AU10+AR10)/L10</f>
        <v>#REF!</v>
      </c>
      <c r="AW10" s="90"/>
      <c r="AX10" s="88"/>
      <c r="AY10" s="88">
        <f>N10-AX10</f>
        <v>886822.55999999994</v>
      </c>
      <c r="AZ10" s="88">
        <f>AX10/N10</f>
        <v>0</v>
      </c>
      <c r="BA10" s="88" t="s">
        <v>67</v>
      </c>
      <c r="BB10" s="153"/>
      <c r="BC10" s="21"/>
      <c r="BD10" s="80"/>
      <c r="BE10" s="80">
        <f>SUM(Tableau6[[#This Row],[GO]:[CARRELAGE]])</f>
        <v>0</v>
      </c>
      <c r="BF10" s="153">
        <v>3169843.04</v>
      </c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153">
        <v>684391.96492000041</v>
      </c>
      <c r="BU10" s="153"/>
      <c r="BV10" s="80">
        <f>Tableau6[[#This Row],[TOTAL TRAVAUX]]+Tableau6[[#This Row],[HONORAIRES]]+Tableau6[[#This Row],[AUTRES FRAIS]]</f>
        <v>3854235.0049200002</v>
      </c>
      <c r="BW10" s="94">
        <f>Tableau6[[#This Row],[TOTAL PRP TTC]]-Tableau6[[#This Row],[PRP TTC ]]</f>
        <v>0.20491999993100762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</row>
    <row r="11" spans="1:86" ht="15" customHeight="1">
      <c r="A11" s="68" t="s">
        <v>44</v>
      </c>
      <c r="B11" s="13">
        <v>2018</v>
      </c>
      <c r="C11" s="13" t="s">
        <v>39</v>
      </c>
      <c r="D11" s="125">
        <f>SUM(F11:I11)</f>
        <v>30</v>
      </c>
      <c r="E11" s="62">
        <f>D11-I11</f>
        <v>0</v>
      </c>
      <c r="F11" s="16"/>
      <c r="G11" s="16"/>
      <c r="H11" s="16"/>
      <c r="I11" s="27">
        <v>30</v>
      </c>
      <c r="J11" s="36">
        <v>43873</v>
      </c>
      <c r="K11" s="37">
        <v>2020</v>
      </c>
      <c r="L11" s="71">
        <f>Tableau6[[#This Row],[CREDIT IMPOT ACTUEL]]+Tableau6[[#This Row],[PRETS TOTAUX]]+Tableau6[[#This Row],[LBU ]]+Tableau6[[#This Row],[SUB ETAT]]+Tableau6[[#This Row],[AUTRES SUBVENTIONS]]+Tableau6[[#This Row],[FONDS PROPRES CONSTRUCTION]]</f>
        <v>1325066.52</v>
      </c>
      <c r="M11" s="92"/>
      <c r="N11" s="76">
        <f>Z11+AB11+AE11+AF11</f>
        <v>277496.83999999997</v>
      </c>
      <c r="O11" s="12" t="e">
        <f>L11/#REF!</f>
        <v>#REF!</v>
      </c>
      <c r="P11" s="12">
        <f>L11/D11</f>
        <v>44168.883999999998</v>
      </c>
      <c r="Q11" s="75"/>
      <c r="R11" s="55"/>
      <c r="S11" s="12">
        <f>Q11/D11</f>
        <v>0</v>
      </c>
      <c r="T11" s="75">
        <f>U11+Y11+AD11+Tableau6[[#This Row],[PRÊT ACL]]</f>
        <v>1047569.68</v>
      </c>
      <c r="U11" s="3">
        <v>617569.68000000005</v>
      </c>
      <c r="V11" s="34"/>
      <c r="W11" s="34"/>
      <c r="X11" s="51">
        <f>U11/D11</f>
        <v>20585.656000000003</v>
      </c>
      <c r="Y11" s="18">
        <v>180000</v>
      </c>
      <c r="Z11" s="3">
        <f>150000+82391.84</f>
        <v>232391.84</v>
      </c>
      <c r="AA11" s="17"/>
      <c r="AB11" s="17"/>
      <c r="AC11" s="20">
        <f>Z11/L11</f>
        <v>0.17538126312330343</v>
      </c>
      <c r="AD11" s="17">
        <v>250000</v>
      </c>
      <c r="AE11" s="17"/>
      <c r="AF11" s="17">
        <v>45105</v>
      </c>
      <c r="AG11" s="12">
        <f>Z11/D11</f>
        <v>7746.3946666666661</v>
      </c>
      <c r="AH11" s="12">
        <f>(Q11+Z11)/D11</f>
        <v>7746.3946666666661</v>
      </c>
      <c r="AI11" s="85"/>
      <c r="AJ11" s="85"/>
      <c r="AK11" s="85" t="e">
        <f>(#REF!+#REF!+AJ11)/D11</f>
        <v>#REF!</v>
      </c>
      <c r="AL11" s="85"/>
      <c r="AM11" s="85">
        <f>(Q11+Z11+AJ11+AL11)/D11</f>
        <v>7746.3946666666661</v>
      </c>
      <c r="AN11" s="84" t="e">
        <f>(#REF!+#REF!+AJ11+AL11)/(AI11+#REF!-AO11)</f>
        <v>#REF!</v>
      </c>
      <c r="AO11" s="85"/>
      <c r="AP11" s="85"/>
      <c r="AQ11" s="75"/>
      <c r="AR11" s="88">
        <v>102326.36590999999</v>
      </c>
      <c r="AS11" s="89">
        <f>AR11/L11</f>
        <v>7.7223569055235045E-2</v>
      </c>
      <c r="AT11" s="88">
        <f>L11-AR11</f>
        <v>1222740.1540900001</v>
      </c>
      <c r="AU11" s="88" t="e">
        <f ca="1">IF(#REF!&lt;DATEDIF(TODAY(),$AU$1,"M"),AT11,(AT11/#REF!*DATEDIF(TODAY(),$AU$1,"M")))</f>
        <v>#REF!</v>
      </c>
      <c r="AV11" s="89" t="e">
        <f ca="1">(AU11+AR11)/L11</f>
        <v>#REF!</v>
      </c>
      <c r="AW11" s="90"/>
      <c r="AX11" s="88"/>
      <c r="AY11" s="88">
        <f>N11-AX11</f>
        <v>277496.83999999997</v>
      </c>
      <c r="AZ11" s="88">
        <f>AX11/N11</f>
        <v>0</v>
      </c>
      <c r="BA11" s="88" t="s">
        <v>67</v>
      </c>
      <c r="BB11" s="153"/>
      <c r="BC11" s="21"/>
      <c r="BD11" s="80"/>
      <c r="BE11" s="80">
        <f>SUM(Tableau6[[#This Row],[GO]:[CARRELAGE]])</f>
        <v>0</v>
      </c>
      <c r="BF11" s="153">
        <v>1042048.02</v>
      </c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153">
        <v>283019.42289999983</v>
      </c>
      <c r="BU11" s="153"/>
      <c r="BV11" s="80">
        <f>Tableau6[[#This Row],[TOTAL TRAVAUX]]+Tableau6[[#This Row],[HONORAIRES]]+Tableau6[[#This Row],[AUTRES FRAIS]]</f>
        <v>1325067.4428999999</v>
      </c>
      <c r="BW11" s="94">
        <f>Tableau6[[#This Row],[TOTAL PRP TTC]]-Tableau6[[#This Row],[PRP TTC ]]</f>
        <v>0.92289999988861382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</row>
    <row r="12" spans="1:86" ht="15" customHeight="1">
      <c r="A12" s="68" t="s">
        <v>48</v>
      </c>
      <c r="B12" s="13">
        <v>2020</v>
      </c>
      <c r="C12" s="13" t="s">
        <v>39</v>
      </c>
      <c r="D12" s="117">
        <f>SUM(F12:I12)</f>
        <v>16</v>
      </c>
      <c r="E12" s="62">
        <f>D12-I12</f>
        <v>0</v>
      </c>
      <c r="F12" s="16"/>
      <c r="G12" s="16"/>
      <c r="H12" s="16"/>
      <c r="I12" s="13">
        <v>16</v>
      </c>
      <c r="J12" s="118">
        <v>44593</v>
      </c>
      <c r="K12" s="32"/>
      <c r="L12" s="26">
        <f>Tableau6[[#This Row],[CREDIT IMPOT ACTUEL]]+Tableau6[[#This Row],[PRETS TOTAUX]]+Tableau6[[#This Row],[LBU ]]+Tableau6[[#This Row],[SUB ETAT]]+Tableau6[[#This Row],[AUTRES SUBVENTIONS]]+Tableau6[[#This Row],[FONDS PROPRES CONSTRUCTION]]</f>
        <v>880000</v>
      </c>
      <c r="M12" s="92"/>
      <c r="N12" s="76">
        <f>Z12+AB12+AE12+AF12</f>
        <v>217455</v>
      </c>
      <c r="O12" s="34" t="e">
        <f>L12/#REF!</f>
        <v>#REF!</v>
      </c>
      <c r="P12" s="34">
        <f>L12/D12</f>
        <v>55000</v>
      </c>
      <c r="Q12" s="76"/>
      <c r="R12" s="69"/>
      <c r="S12" s="34" t="e">
        <f>#REF!/D12</f>
        <v>#REF!</v>
      </c>
      <c r="T12" s="76">
        <f>U12+Y12+AD12+Tableau6[[#This Row],[PRÊT ACL]]</f>
        <v>662545</v>
      </c>
      <c r="U12" s="72">
        <v>526545</v>
      </c>
      <c r="V12" s="34"/>
      <c r="W12" s="34"/>
      <c r="X12" s="51">
        <f>U12/D12</f>
        <v>32909.0625</v>
      </c>
      <c r="Y12" s="18">
        <v>136000</v>
      </c>
      <c r="Z12" s="3">
        <v>207360</v>
      </c>
      <c r="AA12" s="17">
        <v>0</v>
      </c>
      <c r="AB12" s="17"/>
      <c r="AC12" s="20">
        <f>Z12/L12</f>
        <v>0.23563636363636364</v>
      </c>
      <c r="AD12" s="20"/>
      <c r="AE12" s="17"/>
      <c r="AF12" s="17">
        <f>1470+8625</f>
        <v>10095</v>
      </c>
      <c r="AG12" s="12">
        <f>Z12/D12</f>
        <v>12960</v>
      </c>
      <c r="AH12" s="12">
        <f>(Q12+Z12)/D12</f>
        <v>12960</v>
      </c>
      <c r="AI12" s="85"/>
      <c r="AJ12" s="85"/>
      <c r="AK12" s="85" t="e">
        <f>(#REF!+#REF!+AJ12)/D12</f>
        <v>#REF!</v>
      </c>
      <c r="AL12" s="85"/>
      <c r="AM12" s="85">
        <f>(Q12+Z12+AJ12+AL12)/D12</f>
        <v>12960</v>
      </c>
      <c r="AN12" s="84" t="e">
        <f>(#REF!+#REF!+AJ12+AL12)/(AI12+#REF!-AO12)</f>
        <v>#REF!</v>
      </c>
      <c r="AO12" s="85"/>
      <c r="AP12" s="85"/>
      <c r="AQ12" s="75"/>
      <c r="AR12" s="88"/>
      <c r="AS12" s="89">
        <f>AR12/L12</f>
        <v>0</v>
      </c>
      <c r="AT12" s="88">
        <f>L12-AR12</f>
        <v>880000</v>
      </c>
      <c r="AU12" s="88" t="e">
        <f ca="1">IF(#REF!&lt;DATEDIF(TODAY(),$AU$1,"M"),AT12,(AT12/#REF!*DATEDIF(TODAY(),$AU$1,"M")))</f>
        <v>#REF!</v>
      </c>
      <c r="AV12" s="89" t="e">
        <f ca="1">(AU12+AR12)/L12</f>
        <v>#REF!</v>
      </c>
      <c r="AW12" s="90"/>
      <c r="AX12" s="88"/>
      <c r="AY12" s="88">
        <f>N12-AX12</f>
        <v>217455</v>
      </c>
      <c r="AZ12" s="88">
        <f>AX12/N12</f>
        <v>0</v>
      </c>
      <c r="BA12" s="88"/>
      <c r="BB12" s="80"/>
      <c r="BC12" s="35"/>
      <c r="BD12" s="80"/>
      <c r="BE12" s="80">
        <f>SUM(Tableau6[[#This Row],[GO]:[CARRELAGE]])</f>
        <v>0</v>
      </c>
      <c r="BF12" s="153">
        <v>479304.21</v>
      </c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153">
        <v>400695.78665793617</v>
      </c>
      <c r="BU12" s="153"/>
      <c r="BV12" s="80">
        <f>Tableau6[[#This Row],[TOTAL TRAVAUX]]+Tableau6[[#This Row],[HONORAIRES]]+Tableau6[[#This Row],[AUTRES FRAIS]]</f>
        <v>879999.99665793614</v>
      </c>
      <c r="BW12" s="94">
        <f>Tableau6[[#This Row],[TOTAL PRP TTC]]-Tableau6[[#This Row],[PRP TTC ]]</f>
        <v>-3.3420638646930456E-3</v>
      </c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</row>
    <row r="13" spans="1:86" ht="15" customHeight="1">
      <c r="A13" s="68" t="s">
        <v>49</v>
      </c>
      <c r="B13" s="13">
        <v>2020</v>
      </c>
      <c r="C13" s="13" t="s">
        <v>39</v>
      </c>
      <c r="D13" s="117">
        <f>SUM(F13:I13)</f>
        <v>30</v>
      </c>
      <c r="E13" s="62">
        <f>D13-I13</f>
        <v>0</v>
      </c>
      <c r="F13" s="16"/>
      <c r="G13" s="16"/>
      <c r="H13" s="16"/>
      <c r="I13" s="27">
        <v>30</v>
      </c>
      <c r="J13" s="141">
        <v>44593</v>
      </c>
      <c r="K13" s="32"/>
      <c r="L13" s="26">
        <f>Tableau6[[#This Row],[CREDIT IMPOT ACTUEL]]+Tableau6[[#This Row],[PRETS TOTAUX]]+Tableau6[[#This Row],[LBU ]]+Tableau6[[#This Row],[SUB ETAT]]+Tableau6[[#This Row],[AUTRES SUBVENTIONS]]+Tableau6[[#This Row],[FONDS PROPRES CONSTRUCTION]]</f>
        <v>1508999.78</v>
      </c>
      <c r="M13" s="92"/>
      <c r="N13" s="76">
        <f>Z13+AB13+AE13+AF13</f>
        <v>323920</v>
      </c>
      <c r="O13" s="34" t="e">
        <f>L13/#REF!</f>
        <v>#REF!</v>
      </c>
      <c r="P13" s="34">
        <f>L13/D13</f>
        <v>50299.992666666665</v>
      </c>
      <c r="Q13" s="76">
        <v>339880</v>
      </c>
      <c r="R13" s="69"/>
      <c r="S13" s="34" t="e">
        <f>#REF!/D13</f>
        <v>#REF!</v>
      </c>
      <c r="T13" s="76">
        <f>U13+Y13+AD13+Tableau6[[#This Row],[PRÊT ACL]]</f>
        <v>845199.78</v>
      </c>
      <c r="U13" s="72">
        <v>575199.78</v>
      </c>
      <c r="V13" s="34"/>
      <c r="W13" s="34"/>
      <c r="X13" s="51">
        <f>U13/D13</f>
        <v>19173.326000000001</v>
      </c>
      <c r="Y13" s="18">
        <v>270000</v>
      </c>
      <c r="Z13" s="3">
        <v>270000</v>
      </c>
      <c r="AA13" s="17">
        <v>0</v>
      </c>
      <c r="AB13" s="17"/>
      <c r="AC13" s="20">
        <f>Z13/L13</f>
        <v>0.17892646743792104</v>
      </c>
      <c r="AD13" s="20"/>
      <c r="AE13" s="17"/>
      <c r="AF13" s="17">
        <f>2170+51750</f>
        <v>53920</v>
      </c>
      <c r="AG13" s="12">
        <f>Z13/D13</f>
        <v>9000</v>
      </c>
      <c r="AH13" s="12">
        <f>(Q13+Z13)/D13</f>
        <v>20329.333333333332</v>
      </c>
      <c r="AI13" s="85"/>
      <c r="AJ13" s="85"/>
      <c r="AK13" s="85" t="e">
        <f>(#REF!+#REF!+AJ13)/D13</f>
        <v>#REF!</v>
      </c>
      <c r="AL13" s="85"/>
      <c r="AM13" s="85">
        <f>(Q13+Z13+AJ13+AL13)/D13</f>
        <v>20329.333333333332</v>
      </c>
      <c r="AN13" s="84" t="e">
        <f>(#REF!+#REF!+AJ13+AL13)/(AI13+#REF!-AO13)</f>
        <v>#REF!</v>
      </c>
      <c r="AO13" s="85"/>
      <c r="AP13" s="85"/>
      <c r="AQ13" s="75"/>
      <c r="AR13" s="88"/>
      <c r="AS13" s="89">
        <f>AR13/L13</f>
        <v>0</v>
      </c>
      <c r="AT13" s="88">
        <f>L13-AR13</f>
        <v>1508999.78</v>
      </c>
      <c r="AU13" s="88" t="e">
        <f ca="1">IF(#REF!&lt;DATEDIF(TODAY(),$AU$1,"M"),AT13,(AT13/#REF!*DATEDIF(TODAY(),$AU$1,"M")))</f>
        <v>#REF!</v>
      </c>
      <c r="AV13" s="89" t="e">
        <f ca="1">(AU13+AR13)/L13</f>
        <v>#REF!</v>
      </c>
      <c r="AW13" s="90"/>
      <c r="AX13" s="88"/>
      <c r="AY13" s="88">
        <f>N13-AX13</f>
        <v>323920</v>
      </c>
      <c r="AZ13" s="88">
        <f>AX13/N13</f>
        <v>0</v>
      </c>
      <c r="BA13" s="88"/>
      <c r="BB13" s="80"/>
      <c r="BC13" s="35"/>
      <c r="BD13" s="80"/>
      <c r="BE13" s="80">
        <f>SUM(Tableau6[[#This Row],[GO]:[CARRELAGE]])</f>
        <v>0</v>
      </c>
      <c r="BF13" s="153">
        <v>1143214.27</v>
      </c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153">
        <v>365785.72824000008</v>
      </c>
      <c r="BU13" s="153"/>
      <c r="BV13" s="80">
        <f>Tableau6[[#This Row],[TOTAL TRAVAUX]]+Tableau6[[#This Row],[HONORAIRES]]+Tableau6[[#This Row],[AUTRES FRAIS]]</f>
        <v>1508999.9982400001</v>
      </c>
      <c r="BW13" s="94">
        <f>Tableau6[[#This Row],[TOTAL PRP TTC]]-Tableau6[[#This Row],[PRP TTC ]]</f>
        <v>0.21824000007472932</v>
      </c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</row>
    <row r="14" spans="1:86" ht="15" customHeight="1">
      <c r="A14" s="68" t="s">
        <v>50</v>
      </c>
      <c r="B14" s="13">
        <v>2020</v>
      </c>
      <c r="C14" s="13" t="s">
        <v>39</v>
      </c>
      <c r="D14" s="117">
        <f>SUM(F14:I14)</f>
        <v>32</v>
      </c>
      <c r="E14" s="62">
        <f>D14-I14</f>
        <v>0</v>
      </c>
      <c r="F14" s="16"/>
      <c r="G14" s="16"/>
      <c r="H14" s="16"/>
      <c r="I14" s="27">
        <v>32</v>
      </c>
      <c r="J14" s="118">
        <v>44593</v>
      </c>
      <c r="K14" s="32"/>
      <c r="L14" s="73">
        <f>Tableau6[[#This Row],[CREDIT IMPOT ACTUEL]]+Tableau6[[#This Row],[PRETS TOTAUX]]+Tableau6[[#This Row],[LBU ]]+Tableau6[[#This Row],[SUB ETAT]]+Tableau6[[#This Row],[AUTRES SUBVENTIONS]]+Tableau6[[#This Row],[FONDS PROPRES CONSTRUCTION]]</f>
        <v>1609999.51</v>
      </c>
      <c r="M14" s="92"/>
      <c r="N14" s="76">
        <f>Z14+AB14+AE14+AF14</f>
        <v>305170</v>
      </c>
      <c r="O14" s="34" t="e">
        <f>L14/#REF!</f>
        <v>#REF!</v>
      </c>
      <c r="P14" s="34">
        <f>L14/D14</f>
        <v>50312.4846875</v>
      </c>
      <c r="Q14" s="76">
        <v>317180</v>
      </c>
      <c r="R14" s="69"/>
      <c r="S14" s="34" t="e">
        <f>#REF!/D14</f>
        <v>#REF!</v>
      </c>
      <c r="T14" s="76">
        <f>U14+Y14+AD14+Tableau6[[#This Row],[PRÊT ACL]]</f>
        <v>987649.51</v>
      </c>
      <c r="U14" s="18">
        <v>267649.51</v>
      </c>
      <c r="V14" s="34"/>
      <c r="W14" s="34"/>
      <c r="X14" s="51">
        <f>U14/D14</f>
        <v>8364.0471875000003</v>
      </c>
      <c r="Y14" s="18">
        <v>320000</v>
      </c>
      <c r="Z14" s="17">
        <v>288000</v>
      </c>
      <c r="AA14" s="17">
        <v>400000</v>
      </c>
      <c r="AB14" s="17"/>
      <c r="AC14" s="20">
        <f>Z14/L14</f>
        <v>0.17888204202000035</v>
      </c>
      <c r="AD14" s="20"/>
      <c r="AE14" s="17"/>
      <c r="AF14" s="17">
        <f>2170+15000</f>
        <v>17170</v>
      </c>
      <c r="AG14" s="12">
        <f>Z14/D14</f>
        <v>9000</v>
      </c>
      <c r="AH14" s="12">
        <f>(Q14+Z14)/D14</f>
        <v>18911.875</v>
      </c>
      <c r="AI14" s="85"/>
      <c r="AJ14" s="85"/>
      <c r="AK14" s="85" t="e">
        <f>(#REF!+#REF!+AJ14)/D14</f>
        <v>#REF!</v>
      </c>
      <c r="AL14" s="85"/>
      <c r="AM14" s="85">
        <f>(Q14+Z14+AJ14+AL14)/D14</f>
        <v>18911.875</v>
      </c>
      <c r="AN14" s="84" t="e">
        <f>(#REF!+#REF!+AJ14+AL14)/(AI14+#REF!-AO14)</f>
        <v>#REF!</v>
      </c>
      <c r="AO14" s="85"/>
      <c r="AP14" s="85"/>
      <c r="AQ14" s="75"/>
      <c r="AR14" s="88"/>
      <c r="AS14" s="89">
        <f>AR14/L14</f>
        <v>0</v>
      </c>
      <c r="AT14" s="88">
        <f>L14-AR14</f>
        <v>1609999.51</v>
      </c>
      <c r="AU14" s="88" t="e">
        <f ca="1">IF(#REF!&lt;DATEDIF(TODAY(),$AU$1,"M"),AT14,(AT14/#REF!*DATEDIF(TODAY(),$AU$1,"M")))</f>
        <v>#REF!</v>
      </c>
      <c r="AV14" s="89" t="e">
        <f ca="1">(AU14+AR14)/L14</f>
        <v>#REF!</v>
      </c>
      <c r="AW14" s="90"/>
      <c r="AX14" s="88"/>
      <c r="AY14" s="88">
        <f>N14-AX14</f>
        <v>305170</v>
      </c>
      <c r="AZ14" s="88">
        <f>AX14/N14</f>
        <v>0</v>
      </c>
      <c r="BA14" s="88"/>
      <c r="BB14" s="80"/>
      <c r="BC14" s="35"/>
      <c r="BD14" s="80"/>
      <c r="BE14" s="80">
        <f>SUM(Tableau6[[#This Row],[GO]:[CARRELAGE]])</f>
        <v>0</v>
      </c>
      <c r="BF14" s="153">
        <v>1103651.21</v>
      </c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153">
        <v>506348.79417000018</v>
      </c>
      <c r="BU14" s="153"/>
      <c r="BV14" s="80">
        <f>Tableau6[[#This Row],[TOTAL TRAVAUX]]+Tableau6[[#This Row],[HONORAIRES]]+Tableau6[[#This Row],[AUTRES FRAIS]]</f>
        <v>1610000.0041700001</v>
      </c>
      <c r="BW14" s="94">
        <f>Tableau6[[#This Row],[TOTAL PRP TTC]]-Tableau6[[#This Row],[PRP TTC ]]</f>
        <v>0.49417000007815659</v>
      </c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</row>
    <row r="15" spans="1:86" ht="27.6" customHeight="1">
      <c r="A15" s="68" t="s">
        <v>106</v>
      </c>
      <c r="B15" s="13">
        <v>2020</v>
      </c>
      <c r="C15" s="13" t="s">
        <v>39</v>
      </c>
      <c r="D15" s="117">
        <f>SUM(F15:I15)</f>
        <v>26</v>
      </c>
      <c r="E15" s="62">
        <f>D15-I15</f>
        <v>0</v>
      </c>
      <c r="F15" s="16"/>
      <c r="G15" s="16"/>
      <c r="H15" s="16"/>
      <c r="I15" s="13">
        <v>26</v>
      </c>
      <c r="J15" s="118">
        <v>44593</v>
      </c>
      <c r="K15" s="32"/>
      <c r="L15" s="73">
        <f>Tableau6[[#This Row],[CREDIT IMPOT ACTUEL]]+Tableau6[[#This Row],[PRETS TOTAUX]]+Tableau6[[#This Row],[LBU ]]+Tableau6[[#This Row],[SUB ETAT]]+Tableau6[[#This Row],[AUTRES SUBVENTIONS]]+Tableau6[[#This Row],[FONDS PROPRES CONSTRUCTION]]</f>
        <v>1306999.58</v>
      </c>
      <c r="M15" s="92"/>
      <c r="N15" s="76">
        <f>Z15+AB15+AE15+AF15</f>
        <v>235470</v>
      </c>
      <c r="O15" s="34" t="e">
        <f>L15/#REF!</f>
        <v>#REF!</v>
      </c>
      <c r="P15" s="34">
        <f>L15/D15</f>
        <v>50269.214615384619</v>
      </c>
      <c r="Q15" s="76">
        <v>318422</v>
      </c>
      <c r="R15" s="69"/>
      <c r="S15" s="34" t="e">
        <f>#REF!/D15</f>
        <v>#REF!</v>
      </c>
      <c r="T15" s="76">
        <f>U15+Y15+AD15+Tableau6[[#This Row],[PRÊT ACL]]</f>
        <v>753107.58</v>
      </c>
      <c r="U15" s="18">
        <v>571107.57999999996</v>
      </c>
      <c r="V15" s="34"/>
      <c r="W15" s="34"/>
      <c r="X15" s="51">
        <f>U15/D15</f>
        <v>21965.676153846151</v>
      </c>
      <c r="Y15" s="18">
        <v>182000</v>
      </c>
      <c r="Z15" s="17">
        <v>234000</v>
      </c>
      <c r="AA15" s="17">
        <v>0</v>
      </c>
      <c r="AB15" s="17"/>
      <c r="AC15" s="20">
        <f>Z15/L15</f>
        <v>0.17903601774684577</v>
      </c>
      <c r="AD15" s="20"/>
      <c r="AE15" s="17"/>
      <c r="AF15" s="17">
        <v>1470</v>
      </c>
      <c r="AG15" s="12">
        <f>Z15/D15</f>
        <v>9000</v>
      </c>
      <c r="AH15" s="12">
        <f>(Q15+Z15)/D15</f>
        <v>21247</v>
      </c>
      <c r="AI15" s="85"/>
      <c r="AJ15" s="85"/>
      <c r="AK15" s="85" t="e">
        <f>(#REF!+#REF!+AJ15)/D15</f>
        <v>#REF!</v>
      </c>
      <c r="AL15" s="85"/>
      <c r="AM15" s="85">
        <f>(Q15+Z15+AJ15+AL15)/D15</f>
        <v>21247</v>
      </c>
      <c r="AN15" s="84" t="e">
        <f>(#REF!+#REF!+AJ15+AL15)/(AI15+#REF!-AO15)</f>
        <v>#REF!</v>
      </c>
      <c r="AO15" s="85"/>
      <c r="AP15" s="85"/>
      <c r="AQ15" s="75"/>
      <c r="AR15" s="88"/>
      <c r="AS15" s="89">
        <f>AR15/L15</f>
        <v>0</v>
      </c>
      <c r="AT15" s="88">
        <f>L15-AR15</f>
        <v>1306999.58</v>
      </c>
      <c r="AU15" s="88" t="e">
        <f ca="1">IF(#REF!&lt;DATEDIF(TODAY(),$AU$1,"M"),AT15,(AT15/#REF!*DATEDIF(TODAY(),$AU$1,"M")))</f>
        <v>#REF!</v>
      </c>
      <c r="AV15" s="89" t="e">
        <f ca="1">(AU15+AR15)/L15</f>
        <v>#REF!</v>
      </c>
      <c r="AW15" s="90"/>
      <c r="AX15" s="88"/>
      <c r="AY15" s="88">
        <f>N15-AX15</f>
        <v>235470</v>
      </c>
      <c r="AZ15" s="88">
        <f>AX15/N15</f>
        <v>0</v>
      </c>
      <c r="BA15" s="88"/>
      <c r="BB15" s="80"/>
      <c r="BC15" s="35"/>
      <c r="BD15" s="80"/>
      <c r="BE15" s="80">
        <f>SUM(Tableau6[[#This Row],[GO]:[CARRELAGE]])</f>
        <v>0</v>
      </c>
      <c r="BF15" s="153">
        <v>1051687.23</v>
      </c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153">
        <v>255312.77295000025</v>
      </c>
      <c r="BU15" s="153"/>
      <c r="BV15" s="80">
        <f>Tableau6[[#This Row],[TOTAL TRAVAUX]]+Tableau6[[#This Row],[HONORAIRES]]+Tableau6[[#This Row],[AUTRES FRAIS]]</f>
        <v>1307000.0029500001</v>
      </c>
      <c r="BW15" s="94">
        <f>Tableau6[[#This Row],[TOTAL PRP TTC]]-Tableau6[[#This Row],[PRP TTC ]]</f>
        <v>0.42295000003650784</v>
      </c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</row>
    <row r="16" spans="1:86" ht="27.6" customHeight="1">
      <c r="A16" s="68" t="s">
        <v>108</v>
      </c>
      <c r="B16" s="13">
        <v>2020</v>
      </c>
      <c r="C16" s="13" t="s">
        <v>39</v>
      </c>
      <c r="D16" s="117">
        <f>SUM(F16:I16)</f>
        <v>38</v>
      </c>
      <c r="E16" s="62">
        <f>D16-I16</f>
        <v>0</v>
      </c>
      <c r="F16" s="16"/>
      <c r="G16" s="16"/>
      <c r="H16" s="16"/>
      <c r="I16" s="27">
        <v>38</v>
      </c>
      <c r="J16" s="118">
        <v>44593</v>
      </c>
      <c r="K16" s="32"/>
      <c r="L16" s="73">
        <f>Tableau6[[#This Row],[CREDIT IMPOT ACTUEL]]+Tableau6[[#This Row],[PRETS TOTAUX]]+Tableau6[[#This Row],[LBU ]]+Tableau6[[#This Row],[SUB ETAT]]+Tableau6[[#This Row],[AUTRES SUBVENTIONS]]+Tableau6[[#This Row],[FONDS PROPRES CONSTRUCTION]]</f>
        <v>2342998</v>
      </c>
      <c r="M16" s="92"/>
      <c r="N16" s="76">
        <f>Z16+AB16+AE16+AF16</f>
        <v>562400</v>
      </c>
      <c r="O16" s="34" t="e">
        <f>L16/#REF!</f>
        <v>#REF!</v>
      </c>
      <c r="P16" s="34">
        <f>L16/D16</f>
        <v>61657.84210526316</v>
      </c>
      <c r="Q16" s="76"/>
      <c r="R16" s="69"/>
      <c r="S16" s="34" t="e">
        <f>#REF!/D16</f>
        <v>#REF!</v>
      </c>
      <c r="T16" s="76">
        <f>U16+Y16+AD16+Tableau6[[#This Row],[PRÊT ACL]]</f>
        <v>1780598</v>
      </c>
      <c r="U16" s="18">
        <v>457598</v>
      </c>
      <c r="V16" s="34"/>
      <c r="W16" s="34"/>
      <c r="X16" s="51">
        <f>U16/D16</f>
        <v>12042.052631578947</v>
      </c>
      <c r="Y16" s="18">
        <v>323000</v>
      </c>
      <c r="Z16" s="17">
        <v>492480</v>
      </c>
      <c r="AA16" s="17">
        <v>1000000</v>
      </c>
      <c r="AB16" s="17"/>
      <c r="AC16" s="20">
        <f>Z16/L16</f>
        <v>0.21019224088112751</v>
      </c>
      <c r="AD16" s="20"/>
      <c r="AE16" s="17"/>
      <c r="AF16" s="17">
        <f>2170+67750</f>
        <v>69920</v>
      </c>
      <c r="AG16" s="12">
        <f>Z16/D16</f>
        <v>12960</v>
      </c>
      <c r="AH16" s="12">
        <f>(Q16+Z16)/D16</f>
        <v>12960</v>
      </c>
      <c r="AI16" s="85"/>
      <c r="AJ16" s="85"/>
      <c r="AK16" s="85" t="e">
        <f>(#REF!+#REF!+AJ16)/D16</f>
        <v>#REF!</v>
      </c>
      <c r="AL16" s="85"/>
      <c r="AM16" s="85">
        <f>(Q16+Z16+AJ16+AL16)/D16</f>
        <v>12960</v>
      </c>
      <c r="AN16" s="84" t="e">
        <f>(#REF!+#REF!+AJ16+AL16)/(AI16+#REF!-AO16)</f>
        <v>#REF!</v>
      </c>
      <c r="AO16" s="85"/>
      <c r="AP16" s="85"/>
      <c r="AQ16" s="75"/>
      <c r="AR16" s="88"/>
      <c r="AS16" s="89">
        <f>AR16/L16</f>
        <v>0</v>
      </c>
      <c r="AT16" s="88">
        <f>L16-AR16</f>
        <v>2342998</v>
      </c>
      <c r="AU16" s="88" t="e">
        <f ca="1">IF(#REF!&lt;DATEDIF(TODAY(),$AU$1,"M"),AT16,(AT16/#REF!*DATEDIF(TODAY(),$AU$1,"M")))</f>
        <v>#REF!</v>
      </c>
      <c r="AV16" s="89" t="e">
        <f ca="1">(AU16+AR16)/L16</f>
        <v>#REF!</v>
      </c>
      <c r="AW16" s="90"/>
      <c r="AX16" s="88"/>
      <c r="AY16" s="88">
        <f>N16-AX16</f>
        <v>562400</v>
      </c>
      <c r="AZ16" s="88">
        <f>AX16/N16</f>
        <v>0</v>
      </c>
      <c r="BA16" s="88"/>
      <c r="BB16" s="80"/>
      <c r="BC16" s="35"/>
      <c r="BD16" s="80"/>
      <c r="BE16" s="80">
        <f>SUM(Tableau6[[#This Row],[GO]:[CARRELAGE]])</f>
        <v>0</v>
      </c>
      <c r="BF16" s="153">
        <v>1922127.4529999997</v>
      </c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153">
        <v>420870.65336916619</v>
      </c>
      <c r="BU16" s="153"/>
      <c r="BV16" s="80">
        <f>Tableau6[[#This Row],[TOTAL TRAVAUX]]+Tableau6[[#This Row],[HONORAIRES]]+Tableau6[[#This Row],[AUTRES FRAIS]]</f>
        <v>2342998.1063691657</v>
      </c>
      <c r="BW16" s="94">
        <f>Tableau6[[#This Row],[TOTAL PRP TTC]]-Tableau6[[#This Row],[PRP TTC ]]</f>
        <v>0.10636916570365429</v>
      </c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</row>
    <row r="17" spans="1:86 16160:16160" ht="15" customHeight="1">
      <c r="A17" s="68" t="s">
        <v>51</v>
      </c>
      <c r="B17" s="13">
        <v>2020</v>
      </c>
      <c r="C17" s="13" t="s">
        <v>39</v>
      </c>
      <c r="D17" s="117">
        <f>SUM(F17:I17)</f>
        <v>18</v>
      </c>
      <c r="E17" s="62">
        <f>D17-I17</f>
        <v>0</v>
      </c>
      <c r="F17" s="16"/>
      <c r="G17" s="16"/>
      <c r="H17" s="16"/>
      <c r="I17" s="27">
        <v>18</v>
      </c>
      <c r="J17" s="118">
        <v>44593</v>
      </c>
      <c r="K17" s="32"/>
      <c r="L17" s="73">
        <f>Tableau6[[#This Row],[CREDIT IMPOT ACTUEL]]+Tableau6[[#This Row],[PRETS TOTAUX]]+Tableau6[[#This Row],[LBU ]]+Tableau6[[#This Row],[SUB ETAT]]+Tableau6[[#This Row],[AUTRES SUBVENTIONS]]+Tableau6[[#This Row],[FONDS PROPRES CONSTRUCTION]]</f>
        <v>905000</v>
      </c>
      <c r="M17" s="92"/>
      <c r="N17" s="76">
        <f>Z17+AB17+AE17+AF17</f>
        <v>163470</v>
      </c>
      <c r="O17" s="34" t="e">
        <f>L17/#REF!</f>
        <v>#REF!</v>
      </c>
      <c r="P17" s="34">
        <f>L17/D17</f>
        <v>50277.777777777781</v>
      </c>
      <c r="Q17" s="76">
        <v>167040</v>
      </c>
      <c r="R17" s="69"/>
      <c r="S17" s="34" t="e">
        <f>#REF!/D17</f>
        <v>#REF!</v>
      </c>
      <c r="T17" s="76">
        <f>U17+Y17+AD17+Tableau6[[#This Row],[PRÊT ACL]]</f>
        <v>574490</v>
      </c>
      <c r="U17" s="18">
        <v>439490</v>
      </c>
      <c r="V17" s="34"/>
      <c r="W17" s="34"/>
      <c r="X17" s="51">
        <f>U17/D17</f>
        <v>24416.111111111109</v>
      </c>
      <c r="Y17" s="18">
        <v>135000</v>
      </c>
      <c r="Z17" s="17">
        <v>162000</v>
      </c>
      <c r="AA17" s="17">
        <v>0</v>
      </c>
      <c r="AB17" s="17"/>
      <c r="AC17" s="20">
        <f>Z17/L17</f>
        <v>0.17900552486187846</v>
      </c>
      <c r="AD17" s="20"/>
      <c r="AE17" s="17"/>
      <c r="AF17" s="17">
        <v>1470</v>
      </c>
      <c r="AG17" s="12">
        <f>Z17/D17</f>
        <v>9000</v>
      </c>
      <c r="AH17" s="12">
        <f>(Q17+Z17)/D17</f>
        <v>18280</v>
      </c>
      <c r="AI17" s="85"/>
      <c r="AJ17" s="85"/>
      <c r="AK17" s="85" t="e">
        <f>(#REF!+#REF!+AJ17)/D17</f>
        <v>#REF!</v>
      </c>
      <c r="AL17" s="85"/>
      <c r="AM17" s="85">
        <f>(Q17+Z17+AJ17+AL17)/D17</f>
        <v>18280</v>
      </c>
      <c r="AN17" s="84" t="e">
        <f>(#REF!+#REF!+AJ17+AL17)/(AI17+#REF!-AO17)</f>
        <v>#REF!</v>
      </c>
      <c r="AO17" s="85"/>
      <c r="AP17" s="85"/>
      <c r="AQ17" s="75"/>
      <c r="AR17" s="88"/>
      <c r="AS17" s="89">
        <f>AR17/L17</f>
        <v>0</v>
      </c>
      <c r="AT17" s="88">
        <f>L17-AR17</f>
        <v>905000</v>
      </c>
      <c r="AU17" s="88" t="e">
        <f ca="1">IF(#REF!&lt;DATEDIF(TODAY(),$AU$1,"M"),AT17,(AT17/#REF!*DATEDIF(TODAY(),$AU$1,"M")))</f>
        <v>#REF!</v>
      </c>
      <c r="AV17" s="89" t="e">
        <f ca="1">(AU17+AR17)/L17</f>
        <v>#REF!</v>
      </c>
      <c r="AW17" s="90"/>
      <c r="AX17" s="88"/>
      <c r="AY17" s="88">
        <f>N17-AX17</f>
        <v>163470</v>
      </c>
      <c r="AZ17" s="88">
        <f>AX17/N17</f>
        <v>0</v>
      </c>
      <c r="BA17" s="88"/>
      <c r="BB17" s="80"/>
      <c r="BC17" s="35"/>
      <c r="BD17" s="80"/>
      <c r="BE17" s="80">
        <f>SUM(Tableau6[[#This Row],[GO]:[CARRELAGE]])</f>
        <v>0</v>
      </c>
      <c r="BF17" s="153">
        <v>591771.65104999999</v>
      </c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153">
        <v>313228.34895000013</v>
      </c>
      <c r="BU17" s="153"/>
      <c r="BV17" s="80">
        <f>Tableau6[[#This Row],[TOTAL TRAVAUX]]+Tableau6[[#This Row],[HONORAIRES]]+Tableau6[[#This Row],[AUTRES FRAIS]]</f>
        <v>905000.00000000012</v>
      </c>
      <c r="BW17" s="94">
        <f>Tableau6[[#This Row],[TOTAL PRP TTC]]-Tableau6[[#This Row],[PRP TTC ]]</f>
        <v>0</v>
      </c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</row>
    <row r="18" spans="1:86 16160:16160" ht="15" customHeight="1">
      <c r="A18" s="68" t="s">
        <v>105</v>
      </c>
      <c r="B18" s="13">
        <v>2020</v>
      </c>
      <c r="C18" s="13" t="s">
        <v>39</v>
      </c>
      <c r="D18" s="117">
        <f>SUM(F18:I18)</f>
        <v>83</v>
      </c>
      <c r="E18" s="62">
        <f>D18-I18</f>
        <v>0</v>
      </c>
      <c r="F18" s="16"/>
      <c r="G18" s="16"/>
      <c r="H18" s="16"/>
      <c r="I18" s="27">
        <v>83</v>
      </c>
      <c r="J18" s="118">
        <v>44593</v>
      </c>
      <c r="K18" s="32"/>
      <c r="L18" s="73">
        <f>Tableau6[[#This Row],[CREDIT IMPOT ACTUEL]]+Tableau6[[#This Row],[PRETS TOTAUX]]+Tableau6[[#This Row],[LBU ]]+Tableau6[[#This Row],[SUB ETAT]]+Tableau6[[#This Row],[AUTRES SUBVENTIONS]]+Tableau6[[#This Row],[FONDS PROPRES CONSTRUCTION]]</f>
        <v>4175000</v>
      </c>
      <c r="M18" s="92"/>
      <c r="N18" s="76">
        <f>Z18+AB18+AE18+AF18</f>
        <v>749800</v>
      </c>
      <c r="O18" s="34" t="e">
        <f>L18/#REF!</f>
        <v>#REF!</v>
      </c>
      <c r="P18" s="34">
        <f>L18/D18</f>
        <v>50301.204819277111</v>
      </c>
      <c r="Q18" s="76">
        <v>763743</v>
      </c>
      <c r="R18" s="69"/>
      <c r="S18" s="34" t="e">
        <f>#REF!/D18</f>
        <v>#REF!</v>
      </c>
      <c r="T18" s="76">
        <f>U18+Y18+AD18+Tableau6[[#This Row],[PRÊT ACL]]</f>
        <v>2661457</v>
      </c>
      <c r="U18" s="17">
        <v>880457</v>
      </c>
      <c r="V18" s="34"/>
      <c r="W18" s="34"/>
      <c r="X18" s="51">
        <f>U18/D18</f>
        <v>10607.915662650603</v>
      </c>
      <c r="Y18" s="18">
        <v>581000</v>
      </c>
      <c r="Z18" s="17">
        <v>747000</v>
      </c>
      <c r="AA18" s="17">
        <v>1200000</v>
      </c>
      <c r="AB18" s="17"/>
      <c r="AC18" s="20">
        <f>Z18/L18</f>
        <v>0.17892215568862274</v>
      </c>
      <c r="AD18" s="20"/>
      <c r="AE18" s="17"/>
      <c r="AF18" s="17">
        <v>2800</v>
      </c>
      <c r="AG18" s="12">
        <f>Z18/D18</f>
        <v>9000</v>
      </c>
      <c r="AH18" s="12">
        <f>(Q18+Z18)/D18</f>
        <v>18201.722891566264</v>
      </c>
      <c r="AI18" s="85"/>
      <c r="AJ18" s="85"/>
      <c r="AK18" s="85" t="e">
        <f>(#REF!+#REF!+AJ18)/D18</f>
        <v>#REF!</v>
      </c>
      <c r="AL18" s="85"/>
      <c r="AM18" s="85">
        <f>(Q18+Z18+AJ18+AL18)/D18</f>
        <v>18201.722891566264</v>
      </c>
      <c r="AN18" s="84" t="e">
        <f>(#REF!+#REF!+AJ18+AL18)/(AI18+#REF!-AO18)</f>
        <v>#REF!</v>
      </c>
      <c r="AO18" s="85"/>
      <c r="AP18" s="85"/>
      <c r="AQ18" s="75"/>
      <c r="AR18" s="88"/>
      <c r="AS18" s="89">
        <f>AR18/L18</f>
        <v>0</v>
      </c>
      <c r="AT18" s="88">
        <f>L18-AR18</f>
        <v>4175000</v>
      </c>
      <c r="AU18" s="88" t="e">
        <f ca="1">IF(#REF!&lt;DATEDIF(TODAY(),$AU$1,"M"),AT18,(AT18/#REF!*DATEDIF(TODAY(),$AU$1,"M")))</f>
        <v>#REF!</v>
      </c>
      <c r="AV18" s="89" t="e">
        <f ca="1">(AU18+AR18)/L18</f>
        <v>#REF!</v>
      </c>
      <c r="AW18" s="90"/>
      <c r="AX18" s="88"/>
      <c r="AY18" s="88">
        <f>N18-AX18</f>
        <v>749800</v>
      </c>
      <c r="AZ18" s="88">
        <f>AX18/N18</f>
        <v>0</v>
      </c>
      <c r="BA18" s="88"/>
      <c r="BB18" s="80"/>
      <c r="BC18" s="35"/>
      <c r="BD18" s="80"/>
      <c r="BE18" s="80">
        <f>SUM(Tableau6[[#This Row],[GO]:[CARRELAGE]])</f>
        <v>0</v>
      </c>
      <c r="BF18" s="153">
        <v>2712141.5077899997</v>
      </c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153">
        <v>1462858.4922100003</v>
      </c>
      <c r="BU18" s="153"/>
      <c r="BV18" s="80">
        <f>Tableau6[[#This Row],[TOTAL TRAVAUX]]+Tableau6[[#This Row],[HONORAIRES]]+Tableau6[[#This Row],[AUTRES FRAIS]]</f>
        <v>4175000</v>
      </c>
      <c r="BW18" s="94">
        <f>Tableau6[[#This Row],[TOTAL PRP TTC]]-Tableau6[[#This Row],[PRP TTC ]]</f>
        <v>0</v>
      </c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</row>
    <row r="19" spans="1:86 16160:16160" ht="27.6" customHeight="1">
      <c r="A19" s="68" t="s">
        <v>75</v>
      </c>
      <c r="B19" s="13">
        <v>2021</v>
      </c>
      <c r="C19" s="14" t="s">
        <v>39</v>
      </c>
      <c r="D19" s="117">
        <f>SUM(F19:I19)</f>
        <v>57</v>
      </c>
      <c r="E19" s="62"/>
      <c r="F19" s="16"/>
      <c r="G19" s="28"/>
      <c r="H19" s="16"/>
      <c r="I19" s="13">
        <v>57</v>
      </c>
      <c r="J19" s="118">
        <v>44914</v>
      </c>
      <c r="K19" s="64"/>
      <c r="L19" s="67">
        <f>Tableau6[[#This Row],[CREDIT IMPOT ACTUEL]]+Tableau6[[#This Row],[PRETS TOTAUX]]+Tableau6[[#This Row],[LBU ]]+Tableau6[[#This Row],[SUB ETAT]]+Tableau6[[#This Row],[AUTRES SUBVENTIONS]]+Tableau6[[#This Row],[FONDS PROPRES CONSTRUCTION]]</f>
        <v>2867000</v>
      </c>
      <c r="M19" s="92">
        <f>L19</f>
        <v>2867000</v>
      </c>
      <c r="N19" s="76">
        <f>Z19+AB19+AE19+AF19</f>
        <v>740540</v>
      </c>
      <c r="O19" s="12" t="e">
        <f>L19/#REF!</f>
        <v>#REF!</v>
      </c>
      <c r="P19" s="12">
        <f>L19/D19</f>
        <v>50298.245614035084</v>
      </c>
      <c r="Q19" s="75">
        <v>480000</v>
      </c>
      <c r="R19" s="55"/>
      <c r="S19" s="12">
        <f>Q19/D19</f>
        <v>8421.0526315789466</v>
      </c>
      <c r="T19" s="75">
        <f>U19+Y19+AD19+Tableau6[[#This Row],[PRÊT ACL]]</f>
        <v>1646460</v>
      </c>
      <c r="U19" s="17">
        <v>1646460</v>
      </c>
      <c r="V19" s="19"/>
      <c r="W19" s="19"/>
      <c r="X19" s="51">
        <f>U19/D19</f>
        <v>28885.263157894737</v>
      </c>
      <c r="Y19" s="17"/>
      <c r="Z19" s="17">
        <v>738720</v>
      </c>
      <c r="AA19" s="17"/>
      <c r="AB19" s="17"/>
      <c r="AC19" s="20">
        <f>Z19/L19</f>
        <v>0.25766306243460063</v>
      </c>
      <c r="AD19" s="17"/>
      <c r="AE19" s="17"/>
      <c r="AF19" s="17">
        <v>1820</v>
      </c>
      <c r="AG19" s="12">
        <f>Z19/D19</f>
        <v>12960</v>
      </c>
      <c r="AH19" s="12">
        <f>(Q19+Z19)/D19</f>
        <v>21381.052631578947</v>
      </c>
      <c r="AI19" s="85"/>
      <c r="AJ19" s="85"/>
      <c r="AK19" s="85" t="e">
        <f>(#REF!+#REF!+AJ19)/D19</f>
        <v>#REF!</v>
      </c>
      <c r="AL19" s="85"/>
      <c r="AM19" s="85">
        <f>(Q19+Z19+AJ19+AL19)/D19</f>
        <v>21381.052631578947</v>
      </c>
      <c r="AN19" s="84" t="e">
        <f>(#REF!+#REF!+AJ19+AL19)/(AI19+#REF!-AO19)</f>
        <v>#REF!</v>
      </c>
      <c r="AO19" s="85"/>
      <c r="AP19" s="85"/>
      <c r="AQ19" s="75"/>
      <c r="AR19" s="88"/>
      <c r="AS19" s="89"/>
      <c r="AT19" s="88"/>
      <c r="AU19" s="88" t="e">
        <f ca="1">IF(#REF!&lt;DATEDIF(TODAY(),$AU$1,"M"),AT19,(AT19/#REF!*DATEDIF(TODAY(),$AU$1,"M")))</f>
        <v>#REF!</v>
      </c>
      <c r="AV19" s="89" t="e">
        <f ca="1">(AU19+AR19)/L19</f>
        <v>#REF!</v>
      </c>
      <c r="AW19" s="90"/>
      <c r="AX19" s="88"/>
      <c r="AY19" s="88"/>
      <c r="AZ19" s="88"/>
      <c r="BA19" s="88"/>
      <c r="BB19" s="80"/>
      <c r="BC19" s="21"/>
      <c r="BD19" s="80"/>
      <c r="BE19" s="80">
        <f>SUM(Tableau6[[#This Row],[GO]:[CARRELAGE]])</f>
        <v>0</v>
      </c>
      <c r="BF19" s="80">
        <f>(Tableau6[[#This Row],[VRD / Espaces verts]]+Tableau6[[#This Row],[TRAVAUX BATIS]])/Tableau6[[#This Row],[N]]</f>
        <v>0</v>
      </c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80"/>
      <c r="BU19" s="80"/>
      <c r="BV19" s="80">
        <f>Tableau6[[#This Row],[TOTAL TRAVAUX]]+Tableau6[[#This Row],[HONORAIRES]]+Tableau6[[#This Row],[AUTRES FRAIS]]</f>
        <v>0</v>
      </c>
      <c r="BW19" s="94">
        <f>Tableau6[[#This Row],[TOTAL PRP TTC]]-Tableau6[[#This Row],[PRP TTC ]]</f>
        <v>-2867000</v>
      </c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WWN19" s="22"/>
    </row>
    <row r="20" spans="1:86 16160:16160" ht="24" customHeight="1">
      <c r="A20" s="68" t="s">
        <v>74</v>
      </c>
      <c r="B20" s="13">
        <v>2021</v>
      </c>
      <c r="C20" s="14" t="s">
        <v>39</v>
      </c>
      <c r="D20" s="117">
        <f>SUM(F20:I20)</f>
        <v>40</v>
      </c>
      <c r="E20" s="62"/>
      <c r="F20" s="16"/>
      <c r="G20" s="28"/>
      <c r="H20" s="16"/>
      <c r="I20" s="13">
        <v>40</v>
      </c>
      <c r="J20" s="118">
        <v>44615</v>
      </c>
      <c r="K20" s="64"/>
      <c r="L20" s="67">
        <f>Tableau6[[#This Row],[CREDIT IMPOT ACTUEL]]+Tableau6[[#This Row],[PRETS TOTAUX]]+Tableau6[[#This Row],[LBU ]]+Tableau6[[#This Row],[SUB ETAT]]+Tableau6[[#This Row],[AUTRES SUBVENTIONS]]+Tableau6[[#This Row],[FONDS PROPRES CONSTRUCTION]]</f>
        <v>1600000</v>
      </c>
      <c r="M20" s="92">
        <f>L20</f>
        <v>1600000</v>
      </c>
      <c r="N20" s="76">
        <f>Z20+AB20+AE20+AF20</f>
        <v>498930.41</v>
      </c>
      <c r="O20" s="12" t="e">
        <f>L20/#REF!</f>
        <v>#REF!</v>
      </c>
      <c r="P20" s="12">
        <f>L20/D20</f>
        <v>40000</v>
      </c>
      <c r="Q20" s="75"/>
      <c r="R20" s="55"/>
      <c r="S20" s="12">
        <f>Q20/D20</f>
        <v>0</v>
      </c>
      <c r="T20" s="75">
        <f>U20+Y20+AD20+Tableau6[[#This Row],[PRÊT ACL]]</f>
        <v>1101069.5900000001</v>
      </c>
      <c r="U20" s="17">
        <v>1101069.5900000001</v>
      </c>
      <c r="V20" s="19"/>
      <c r="W20" s="19"/>
      <c r="X20" s="51">
        <f>U20/D20</f>
        <v>27526.739750000001</v>
      </c>
      <c r="Y20" s="17"/>
      <c r="Z20" s="17">
        <v>497110.41</v>
      </c>
      <c r="AA20" s="17"/>
      <c r="AB20" s="17"/>
      <c r="AC20" s="20">
        <f>Z20/L20</f>
        <v>0.31069400624999999</v>
      </c>
      <c r="AD20" s="17"/>
      <c r="AE20" s="17"/>
      <c r="AF20" s="17">
        <v>1820</v>
      </c>
      <c r="AG20" s="12">
        <f>Z20/D20</f>
        <v>12427.760249999999</v>
      </c>
      <c r="AH20" s="12">
        <f>(Q20+Z20)/D20</f>
        <v>12427.760249999999</v>
      </c>
      <c r="AI20" s="85"/>
      <c r="AJ20" s="85"/>
      <c r="AK20" s="85" t="e">
        <f>(#REF!+#REF!+AJ20)/D20</f>
        <v>#REF!</v>
      </c>
      <c r="AL20" s="85"/>
      <c r="AM20" s="85">
        <f>(Q20+Z20+AJ20+AL20)/D20</f>
        <v>12427.760249999999</v>
      </c>
      <c r="AN20" s="84" t="e">
        <f>(#REF!+#REF!+AJ20+AL20)/(AI20+#REF!-AO20)</f>
        <v>#REF!</v>
      </c>
      <c r="AO20" s="85"/>
      <c r="AP20" s="85"/>
      <c r="AQ20" s="75"/>
      <c r="AR20" s="88"/>
      <c r="AS20" s="89"/>
      <c r="AT20" s="88"/>
      <c r="AU20" s="88" t="e">
        <f ca="1">IF(#REF!&lt;DATEDIF(TODAY(),$AU$1,"M"),AT20,(AT20/#REF!*DATEDIF(TODAY(),$AU$1,"M")))</f>
        <v>#REF!</v>
      </c>
      <c r="AV20" s="89" t="e">
        <f ca="1">(AU20+AR20)/L20</f>
        <v>#REF!</v>
      </c>
      <c r="AW20" s="90"/>
      <c r="AX20" s="88"/>
      <c r="AY20" s="88"/>
      <c r="AZ20" s="88"/>
      <c r="BA20" s="88"/>
      <c r="BB20" s="80"/>
      <c r="BC20" s="21"/>
      <c r="BD20" s="80"/>
      <c r="BE20" s="80">
        <f>SUM(Tableau6[[#This Row],[GO]:[CARRELAGE]])</f>
        <v>0</v>
      </c>
      <c r="BF20" s="80">
        <f>(Tableau6[[#This Row],[VRD / Espaces verts]]+Tableau6[[#This Row],[TRAVAUX BATIS]])/Tableau6[[#This Row],[N]]</f>
        <v>0</v>
      </c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80"/>
      <c r="BU20" s="80"/>
      <c r="BV20" s="80">
        <f>Tableau6[[#This Row],[TOTAL TRAVAUX]]+Tableau6[[#This Row],[HONORAIRES]]+Tableau6[[#This Row],[AUTRES FRAIS]]</f>
        <v>0</v>
      </c>
      <c r="BW20" s="94">
        <f>Tableau6[[#This Row],[TOTAL PRP TTC]]-Tableau6[[#This Row],[PRP TTC ]]</f>
        <v>-1600000</v>
      </c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</row>
    <row r="21" spans="1:86 16160:16160" ht="15" customHeight="1">
      <c r="A21" s="68" t="s">
        <v>77</v>
      </c>
      <c r="B21" s="13">
        <v>2021</v>
      </c>
      <c r="C21" s="14" t="s">
        <v>39</v>
      </c>
      <c r="D21" s="117">
        <f>SUM(F21:I21)</f>
        <v>10</v>
      </c>
      <c r="E21" s="61"/>
      <c r="F21" s="16"/>
      <c r="G21" s="28"/>
      <c r="H21" s="16"/>
      <c r="I21" s="13">
        <v>10</v>
      </c>
      <c r="J21" s="118">
        <v>44914</v>
      </c>
      <c r="K21" s="64"/>
      <c r="L21" s="71">
        <f>Tableau6[[#This Row],[CREDIT IMPOT ACTUEL]]+Tableau6[[#This Row],[PRETS TOTAUX]]+Tableau6[[#This Row],[LBU ]]+Tableau6[[#This Row],[SUB ETAT]]+Tableau6[[#This Row],[AUTRES SUBVENTIONS]]+Tableau6[[#This Row],[FONDS PROPRES CONSTRUCTION]]</f>
        <v>733042</v>
      </c>
      <c r="M21" s="92">
        <f>L21</f>
        <v>733042</v>
      </c>
      <c r="N21" s="76">
        <f>Z21+AB21+AE21+AF21</f>
        <v>201575</v>
      </c>
      <c r="O21" s="12" t="e">
        <f>L21/#REF!</f>
        <v>#REF!</v>
      </c>
      <c r="P21" s="12">
        <f>L21/D21</f>
        <v>73304.2</v>
      </c>
      <c r="Q21" s="75"/>
      <c r="R21" s="55"/>
      <c r="S21" s="12">
        <f>Q21/D21</f>
        <v>0</v>
      </c>
      <c r="T21" s="75">
        <f>U21+Y21+AD21+Tableau6[[#This Row],[PRÊT ACL]]</f>
        <v>531467</v>
      </c>
      <c r="U21" s="3">
        <v>531467</v>
      </c>
      <c r="V21" s="19"/>
      <c r="W21" s="19"/>
      <c r="X21" s="51">
        <f>U21/D21</f>
        <v>53146.7</v>
      </c>
      <c r="Y21" s="17"/>
      <c r="Z21" s="3">
        <v>200000</v>
      </c>
      <c r="AA21" s="17"/>
      <c r="AB21" s="17"/>
      <c r="AC21" s="10">
        <f>Z21/L21</f>
        <v>0.27283566289516836</v>
      </c>
      <c r="AD21" s="17"/>
      <c r="AE21" s="17"/>
      <c r="AF21" s="17">
        <v>1575</v>
      </c>
      <c r="AG21" s="12">
        <f>Z21/D21</f>
        <v>20000</v>
      </c>
      <c r="AH21" s="12">
        <f>(Q21+Z21)/D21</f>
        <v>20000</v>
      </c>
      <c r="AI21" s="85"/>
      <c r="AJ21" s="85"/>
      <c r="AK21" s="85" t="e">
        <f>(#REF!+#REF!+AJ21)/D21</f>
        <v>#REF!</v>
      </c>
      <c r="AL21" s="85"/>
      <c r="AM21" s="85">
        <f>(Q21+Z21+AJ21+AL21)/D21</f>
        <v>20000</v>
      </c>
      <c r="AN21" s="84" t="e">
        <f>(#REF!+#REF!+AJ21+AL21)/(AI21+#REF!-AO21)</f>
        <v>#REF!</v>
      </c>
      <c r="AO21" s="85"/>
      <c r="AP21" s="85"/>
      <c r="AQ21" s="75"/>
      <c r="AR21" s="88"/>
      <c r="AS21" s="89"/>
      <c r="AT21" s="88"/>
      <c r="AU21" s="88" t="e">
        <f ca="1">IF(#REF!&lt;DATEDIF(TODAY(),$AU$1,"M"),AT21,(AT21/#REF!*DATEDIF(TODAY(),$AU$1,"M")))</f>
        <v>#REF!</v>
      </c>
      <c r="AV21" s="89" t="e">
        <f ca="1">(AU21+AR21)/L21</f>
        <v>#REF!</v>
      </c>
      <c r="AW21" s="90"/>
      <c r="AX21" s="88"/>
      <c r="AY21" s="88"/>
      <c r="AZ21" s="88"/>
      <c r="BA21" s="88"/>
      <c r="BB21" s="80"/>
      <c r="BC21" s="21"/>
      <c r="BD21" s="80"/>
      <c r="BE21" s="80">
        <f>SUM(Tableau6[[#This Row],[GO]:[CARRELAGE]])</f>
        <v>0</v>
      </c>
      <c r="BF21" s="80">
        <f>(Tableau6[[#This Row],[VRD / Espaces verts]]+Tableau6[[#This Row],[TRAVAUX BATIS]])/Tableau6[[#This Row],[N]]</f>
        <v>0</v>
      </c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80"/>
      <c r="BU21" s="80"/>
      <c r="BV21" s="80">
        <f>Tableau6[[#This Row],[TOTAL TRAVAUX]]+Tableau6[[#This Row],[HONORAIRES]]+Tableau6[[#This Row],[AUTRES FRAIS]]</f>
        <v>0</v>
      </c>
      <c r="BW21" s="94">
        <f>Tableau6[[#This Row],[TOTAL PRP TTC]]-Tableau6[[#This Row],[PRP TTC ]]</f>
        <v>-733042</v>
      </c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</row>
    <row r="22" spans="1:86 16160:16160" ht="15" customHeight="1">
      <c r="A22" s="68" t="s">
        <v>73</v>
      </c>
      <c r="B22" s="13">
        <v>2021</v>
      </c>
      <c r="C22" s="14" t="s">
        <v>39</v>
      </c>
      <c r="D22" s="117">
        <f>SUM(F22:I22)</f>
        <v>36</v>
      </c>
      <c r="E22" s="62"/>
      <c r="F22" s="16"/>
      <c r="G22" s="28"/>
      <c r="H22" s="16"/>
      <c r="I22" s="13">
        <v>36</v>
      </c>
      <c r="J22" s="118">
        <v>44914</v>
      </c>
      <c r="K22" s="64"/>
      <c r="L22" s="71">
        <f>Tableau6[[#This Row],[CREDIT IMPOT ACTUEL]]+Tableau6[[#This Row],[PRETS TOTAUX]]+Tableau6[[#This Row],[LBU ]]+Tableau6[[#This Row],[SUB ETAT]]+Tableau6[[#This Row],[AUTRES SUBVENTIONS]]+Tableau6[[#This Row],[FONDS PROPRES CONSTRUCTION]]</f>
        <v>1807870</v>
      </c>
      <c r="M22" s="92">
        <f>L22</f>
        <v>1807870</v>
      </c>
      <c r="N22" s="76">
        <f>Z22+AB22+AE22+AF22</f>
        <v>226575</v>
      </c>
      <c r="O22" s="12" t="e">
        <f>L22/#REF!</f>
        <v>#REF!</v>
      </c>
      <c r="P22" s="12">
        <f>L22/D22</f>
        <v>50218.611111111109</v>
      </c>
      <c r="Q22" s="75">
        <v>460624</v>
      </c>
      <c r="R22" s="55"/>
      <c r="S22" s="12">
        <f>Q22/D22</f>
        <v>12795.111111111111</v>
      </c>
      <c r="T22" s="75">
        <f>U22+Y22+AD22+Tableau6[[#This Row],[PRÊT ACL]]</f>
        <v>1120671</v>
      </c>
      <c r="U22" s="3">
        <v>1120671</v>
      </c>
      <c r="V22" s="19"/>
      <c r="W22" s="19"/>
      <c r="X22" s="51">
        <f>U22/D22</f>
        <v>31129.75</v>
      </c>
      <c r="Y22" s="17"/>
      <c r="Z22" s="3">
        <v>225000</v>
      </c>
      <c r="AA22" s="17"/>
      <c r="AB22" s="17"/>
      <c r="AC22" s="20">
        <f>Z22/L22</f>
        <v>0.12445585136099388</v>
      </c>
      <c r="AD22" s="17"/>
      <c r="AE22" s="17"/>
      <c r="AF22" s="17">
        <v>1575</v>
      </c>
      <c r="AG22" s="12">
        <f>Z22/D22</f>
        <v>6250</v>
      </c>
      <c r="AH22" s="12">
        <f>(Q22+Z22)/D22</f>
        <v>19045.111111111109</v>
      </c>
      <c r="AI22" s="85"/>
      <c r="AJ22" s="85"/>
      <c r="AK22" s="85" t="e">
        <f>(#REF!+#REF!+AJ22)/D22</f>
        <v>#REF!</v>
      </c>
      <c r="AL22" s="85"/>
      <c r="AM22" s="85">
        <f>(Q22+Z22+AJ22+AL22)/D22</f>
        <v>19045.111111111109</v>
      </c>
      <c r="AN22" s="84" t="e">
        <f>(#REF!+#REF!+AJ22+AL22)/(AI22+#REF!-AO22)</f>
        <v>#REF!</v>
      </c>
      <c r="AO22" s="85"/>
      <c r="AP22" s="85"/>
      <c r="AQ22" s="75"/>
      <c r="AR22" s="88"/>
      <c r="AS22" s="89"/>
      <c r="AT22" s="88"/>
      <c r="AU22" s="88" t="e">
        <f ca="1">IF(#REF!&lt;DATEDIF(TODAY(),$AU$1,"M"),AT22,(AT22/#REF!*DATEDIF(TODAY(),$AU$1,"M")))</f>
        <v>#REF!</v>
      </c>
      <c r="AV22" s="89" t="e">
        <f ca="1">(AU22+AR22)/L22</f>
        <v>#REF!</v>
      </c>
      <c r="AW22" s="90"/>
      <c r="AX22" s="88"/>
      <c r="AY22" s="88"/>
      <c r="AZ22" s="88"/>
      <c r="BA22" s="88"/>
      <c r="BB22" s="80"/>
      <c r="BC22" s="21"/>
      <c r="BD22" s="80"/>
      <c r="BE22" s="80">
        <f>SUM(Tableau6[[#This Row],[GO]:[CARRELAGE]])</f>
        <v>0</v>
      </c>
      <c r="BF22" s="80">
        <f>(Tableau6[[#This Row],[VRD / Espaces verts]]+Tableau6[[#This Row],[TRAVAUX BATIS]])/Tableau6[[#This Row],[N]]</f>
        <v>0</v>
      </c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80"/>
      <c r="BU22" s="80"/>
      <c r="BV22" s="80">
        <f>Tableau6[[#This Row],[TOTAL TRAVAUX]]+Tableau6[[#This Row],[HONORAIRES]]+Tableau6[[#This Row],[AUTRES FRAIS]]</f>
        <v>0</v>
      </c>
      <c r="BW22" s="94">
        <f>Tableau6[[#This Row],[TOTAL PRP TTC]]-Tableau6[[#This Row],[PRP TTC ]]</f>
        <v>-1807870</v>
      </c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</row>
    <row r="23" spans="1:86 16160:16160" ht="15" customHeight="1">
      <c r="A23" s="68" t="s">
        <v>76</v>
      </c>
      <c r="B23" s="13">
        <v>2021</v>
      </c>
      <c r="C23" s="14" t="s">
        <v>39</v>
      </c>
      <c r="D23" s="117">
        <f>SUM(F23:I23)</f>
        <v>29</v>
      </c>
      <c r="E23" s="62"/>
      <c r="F23" s="16"/>
      <c r="G23" s="28"/>
      <c r="H23" s="16"/>
      <c r="I23" s="13">
        <v>29</v>
      </c>
      <c r="J23" s="118">
        <v>44914</v>
      </c>
      <c r="K23" s="64"/>
      <c r="L23" s="67">
        <f>Tableau6[[#This Row],[CREDIT IMPOT ACTUEL]]+Tableau6[[#This Row],[PRETS TOTAUX]]+Tableau6[[#This Row],[LBU ]]+Tableau6[[#This Row],[SUB ETAT]]+Tableau6[[#This Row],[AUTRES SUBVENTIONS]]+Tableau6[[#This Row],[FONDS PROPRES CONSTRUCTION]]</f>
        <v>1160000</v>
      </c>
      <c r="M23" s="92">
        <f>L23</f>
        <v>1160000</v>
      </c>
      <c r="N23" s="76">
        <f>Z23+AB23+AE23+AF23</f>
        <v>359999.04</v>
      </c>
      <c r="O23" s="12" t="e">
        <f>L23/#REF!</f>
        <v>#REF!</v>
      </c>
      <c r="P23" s="12">
        <f>L23/D23</f>
        <v>40000</v>
      </c>
      <c r="Q23" s="75"/>
      <c r="R23" s="55"/>
      <c r="S23" s="12">
        <f>Q23/D23</f>
        <v>0</v>
      </c>
      <c r="T23" s="75">
        <f>U23+Y23+AD23+Tableau6[[#This Row],[PRÊT ACL]]</f>
        <v>800000.96</v>
      </c>
      <c r="U23" s="3">
        <v>800000.96</v>
      </c>
      <c r="V23" s="19"/>
      <c r="W23" s="19"/>
      <c r="X23" s="51">
        <f>U23/D23</f>
        <v>27586.239999999998</v>
      </c>
      <c r="Y23" s="17"/>
      <c r="Z23" s="3">
        <v>358424.04</v>
      </c>
      <c r="AA23" s="17"/>
      <c r="AB23" s="17"/>
      <c r="AC23" s="20">
        <f>Z23/L23</f>
        <v>0.3089862413793103</v>
      </c>
      <c r="AD23" s="17"/>
      <c r="AE23" s="17"/>
      <c r="AF23" s="17">
        <v>1575</v>
      </c>
      <c r="AG23" s="12">
        <f>Z23/D23</f>
        <v>12359.449655172413</v>
      </c>
      <c r="AH23" s="12">
        <f>(Q23+Z23)/D23</f>
        <v>12359.449655172413</v>
      </c>
      <c r="AI23" s="85"/>
      <c r="AJ23" s="85"/>
      <c r="AK23" s="85">
        <f>(Q23+Z23+AJ23)/D23</f>
        <v>12359.449655172413</v>
      </c>
      <c r="AL23" s="85"/>
      <c r="AM23" s="85">
        <f>(Q23+Z23+AJ23+AL23)/D23</f>
        <v>12359.449655172413</v>
      </c>
      <c r="AN23" s="84">
        <f>(Q23+Z23+AJ23+AL23)/(AI23+L23-AO23)</f>
        <v>0.3089862413793103</v>
      </c>
      <c r="AO23" s="85"/>
      <c r="AP23" s="85"/>
      <c r="AQ23" s="75"/>
      <c r="AR23" s="88"/>
      <c r="AS23" s="89"/>
      <c r="AT23" s="88"/>
      <c r="AU23" s="88" t="e">
        <f ca="1">IF(#REF!&lt;DATEDIF(TODAY(),$AU$1,"M"),AT23,(AT23/#REF!*DATEDIF(TODAY(),$AU$1,"M")))</f>
        <v>#REF!</v>
      </c>
      <c r="AV23" s="89" t="e">
        <f ca="1">(AU23+AR23)/L23</f>
        <v>#REF!</v>
      </c>
      <c r="AW23" s="90"/>
      <c r="AX23" s="88"/>
      <c r="AY23" s="88"/>
      <c r="AZ23" s="88"/>
      <c r="BA23" s="88"/>
      <c r="BB23" s="80"/>
      <c r="BC23" s="21"/>
      <c r="BD23" s="80"/>
      <c r="BE23" s="80">
        <f>SUM(Tableau6[[#This Row],[GO]:[CARRELAGE]])</f>
        <v>0</v>
      </c>
      <c r="BF23" s="80">
        <f>(Tableau6[[#This Row],[VRD / Espaces verts]]+Tableau6[[#This Row],[TRAVAUX BATIS]])/Tableau6[[#This Row],[N]]</f>
        <v>0</v>
      </c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80"/>
      <c r="BU23" s="80"/>
      <c r="BV23" s="80">
        <f>Tableau6[[#This Row],[TOTAL TRAVAUX]]+Tableau6[[#This Row],[HONORAIRES]]+Tableau6[[#This Row],[AUTRES FRAIS]]</f>
        <v>0</v>
      </c>
      <c r="BW23" s="94">
        <f>Tableau6[[#This Row],[TOTAL PRP TTC]]-Tableau6[[#This Row],[PRP TTC ]]</f>
        <v>-1160000</v>
      </c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</row>
    <row r="24" spans="1:86 16160:16160" ht="15" customHeight="1">
      <c r="A24" s="68" t="s">
        <v>78</v>
      </c>
      <c r="B24" s="13">
        <v>2021</v>
      </c>
      <c r="C24" s="14" t="s">
        <v>39</v>
      </c>
      <c r="D24" s="117">
        <f>SUM(F24:I24)</f>
        <v>86</v>
      </c>
      <c r="E24" s="62"/>
      <c r="F24" s="16"/>
      <c r="G24" s="28"/>
      <c r="H24" s="16"/>
      <c r="I24" s="13">
        <v>86</v>
      </c>
      <c r="J24" s="118">
        <v>44914</v>
      </c>
      <c r="K24" s="64"/>
      <c r="L24" s="67">
        <f>Tableau6[[#This Row],[CREDIT IMPOT ACTUEL]]+Tableau6[[#This Row],[PRETS TOTAUX]]+Tableau6[[#This Row],[LBU ]]+Tableau6[[#This Row],[SUB ETAT]]+Tableau6[[#This Row],[AUTRES SUBVENTIONS]]+Tableau6[[#This Row],[FONDS PROPRES CONSTRUCTION]]</f>
        <v>4326000.01</v>
      </c>
      <c r="M24" s="92">
        <f>L24</f>
        <v>4326000.01</v>
      </c>
      <c r="N24" s="76">
        <f>Z24+AB24+AE24+AF24</f>
        <v>540020</v>
      </c>
      <c r="O24" s="12" t="e">
        <f>L24/#REF!</f>
        <v>#REF!</v>
      </c>
      <c r="P24" s="12">
        <f>L24/D24</f>
        <v>50302.325697674416</v>
      </c>
      <c r="Q24" s="75">
        <v>1104714.57</v>
      </c>
      <c r="R24" s="55"/>
      <c r="S24" s="12">
        <f>Q24/D24</f>
        <v>12845.518255813955</v>
      </c>
      <c r="T24" s="75">
        <f>U24+Y24+AD24+Tableau6[[#This Row],[PRÊT ACL]]</f>
        <v>2681265.44</v>
      </c>
      <c r="U24" s="3">
        <v>2681265.44</v>
      </c>
      <c r="V24" s="19"/>
      <c r="W24" s="19"/>
      <c r="X24" s="51">
        <f>U24/D24</f>
        <v>31177.50511627907</v>
      </c>
      <c r="Y24" s="17"/>
      <c r="Z24" s="3">
        <v>537500</v>
      </c>
      <c r="AA24" s="17"/>
      <c r="AB24" s="17"/>
      <c r="AC24" s="20">
        <f>Z24/L24</f>
        <v>0.12424872833044677</v>
      </c>
      <c r="AD24" s="17"/>
      <c r="AE24" s="17"/>
      <c r="AF24" s="17">
        <v>2520</v>
      </c>
      <c r="AG24" s="12">
        <f>Z24/D24</f>
        <v>6250</v>
      </c>
      <c r="AH24" s="12">
        <f>(Q24+Z24)/D24</f>
        <v>19095.518255813953</v>
      </c>
      <c r="AI24" s="85"/>
      <c r="AJ24" s="85"/>
      <c r="AK24" s="85">
        <f>(Q24+Z24+AJ24)/D24</f>
        <v>19095.518255813953</v>
      </c>
      <c r="AL24" s="85"/>
      <c r="AM24" s="85">
        <f>(Q24+Z24+AJ24+AL24)/D24</f>
        <v>19095.518255813953</v>
      </c>
      <c r="AN24" s="84">
        <f>(Q24+Z24+AJ24+AL24)/(AI24+L24-AO24)</f>
        <v>0.37961501761531435</v>
      </c>
      <c r="AO24" s="85"/>
      <c r="AP24" s="85"/>
      <c r="AQ24" s="75"/>
      <c r="AR24" s="88"/>
      <c r="AS24" s="89"/>
      <c r="AT24" s="88"/>
      <c r="AU24" s="88" t="e">
        <f ca="1">IF(#REF!&lt;DATEDIF(TODAY(),$AU$1,"M"),AT24,(AT24/#REF!*DATEDIF(TODAY(),$AU$1,"M")))</f>
        <v>#REF!</v>
      </c>
      <c r="AV24" s="89" t="e">
        <f ca="1">(AU24+AR24)/L24</f>
        <v>#REF!</v>
      </c>
      <c r="AW24" s="90"/>
      <c r="AX24" s="88"/>
      <c r="AY24" s="88"/>
      <c r="AZ24" s="88"/>
      <c r="BA24" s="88"/>
      <c r="BB24" s="80"/>
      <c r="BC24" s="21"/>
      <c r="BD24" s="80"/>
      <c r="BE24" s="80">
        <f>SUM(Tableau6[[#This Row],[GO]:[CARRELAGE]])</f>
        <v>0</v>
      </c>
      <c r="BF24" s="80">
        <f>(Tableau6[[#This Row],[VRD / Espaces verts]]+Tableau6[[#This Row],[TRAVAUX BATIS]])/Tableau6[[#This Row],[N]]</f>
        <v>0</v>
      </c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80"/>
      <c r="BU24" s="80"/>
      <c r="BV24" s="80">
        <f>Tableau6[[#This Row],[TOTAL TRAVAUX]]+Tableau6[[#This Row],[HONORAIRES]]+Tableau6[[#This Row],[AUTRES FRAIS]]</f>
        <v>0</v>
      </c>
      <c r="BW24" s="94">
        <f>Tableau6[[#This Row],[TOTAL PRP TTC]]-Tableau6[[#This Row],[PRP TTC ]]</f>
        <v>-4326000.01</v>
      </c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</row>
    <row r="25" spans="1:86 16160:16160" s="56" customFormat="1" ht="15" customHeight="1">
      <c r="A25" s="68" t="s">
        <v>109</v>
      </c>
      <c r="B25" s="13">
        <v>2022</v>
      </c>
      <c r="C25" s="13" t="s">
        <v>39</v>
      </c>
      <c r="D25" s="117">
        <f>SUM(F25:I25)</f>
        <v>24</v>
      </c>
      <c r="E25" s="62"/>
      <c r="F25" s="16"/>
      <c r="G25" s="16"/>
      <c r="H25" s="16"/>
      <c r="I25" s="13">
        <v>24</v>
      </c>
      <c r="J25" s="118">
        <v>45031</v>
      </c>
      <c r="K25" s="32"/>
      <c r="L25" s="67">
        <f>Tableau6[[#This Row],[CREDIT IMPOT ACTUEL]]+Tableau6[[#This Row],[PRETS TOTAUX]]+Tableau6[[#This Row],[LBU ]]+Tableau6[[#This Row],[SUB ETAT]]+Tableau6[[#This Row],[AUTRES SUBVENTIONS]]+Tableau6[[#This Row],[FONDS PROPRES CONSTRUCTION]]</f>
        <v>958424.99999999977</v>
      </c>
      <c r="M25" s="92">
        <f>L25</f>
        <v>958424.99999999977</v>
      </c>
      <c r="N25" s="76">
        <f>Z25+AB25+AE25+AF25</f>
        <v>43680.000000000007</v>
      </c>
      <c r="O25" s="12" t="e">
        <f>L25/#REF!</f>
        <v>#REF!</v>
      </c>
      <c r="P25" s="12">
        <f>L25/D25</f>
        <v>39934.374999999993</v>
      </c>
      <c r="Q25" s="75"/>
      <c r="R25" s="55"/>
      <c r="S25" s="12">
        <f>Q25/D25</f>
        <v>0</v>
      </c>
      <c r="T25" s="75">
        <f>U25+Y25+AD25+Tableau6[[#This Row],[PRÊT ACL]]</f>
        <v>914744.99999999977</v>
      </c>
      <c r="U25" s="3">
        <v>914744.99999999977</v>
      </c>
      <c r="V25" s="19"/>
      <c r="W25" s="19"/>
      <c r="X25" s="51">
        <f>U25/D25</f>
        <v>38114.374999999993</v>
      </c>
      <c r="Y25" s="17"/>
      <c r="Z25" s="3">
        <v>43680.000000000007</v>
      </c>
      <c r="AA25" s="17"/>
      <c r="AB25" s="17"/>
      <c r="AC25" s="20">
        <f>Z25/L25</f>
        <v>4.5574771108850477E-2</v>
      </c>
      <c r="AD25" s="17"/>
      <c r="AE25" s="17"/>
      <c r="AF25" s="17"/>
      <c r="AG25" s="12"/>
      <c r="AH25" s="12"/>
      <c r="AI25" s="85"/>
      <c r="AJ25" s="85"/>
      <c r="AK25" s="85"/>
      <c r="AL25" s="85"/>
      <c r="AM25" s="85"/>
      <c r="AN25" s="84"/>
      <c r="AO25" s="85"/>
      <c r="AP25" s="85"/>
      <c r="AQ25" s="75"/>
      <c r="AR25" s="88"/>
      <c r="AS25" s="89">
        <f>AR25/L25</f>
        <v>0</v>
      </c>
      <c r="AT25" s="88">
        <f>L25-AR25</f>
        <v>958424.99999999977</v>
      </c>
      <c r="AU25" s="88" t="e">
        <f ca="1">IF(#REF!&lt;DATEDIF(TODAY(),$AU$1,"M"),AT25,(AT25/#REF!*DATEDIF(TODAY(),$AU$1,"M")))</f>
        <v>#REF!</v>
      </c>
      <c r="AV25" s="89" t="e">
        <f ca="1">(AU25+AR25)/L25</f>
        <v>#REF!</v>
      </c>
      <c r="AW25" s="90"/>
      <c r="AX25" s="88"/>
      <c r="AY25" s="88">
        <f>N25-AX25</f>
        <v>43680.000000000007</v>
      </c>
      <c r="AZ25" s="88">
        <f>AX25/N25</f>
        <v>0</v>
      </c>
      <c r="BA25" s="88"/>
      <c r="BB25" s="80"/>
      <c r="BC25" s="21"/>
      <c r="BD25" s="80"/>
      <c r="BE25" s="80">
        <f>SUM(Tableau6[[#This Row],[GO]:[CARRELAGE]])</f>
        <v>0</v>
      </c>
      <c r="BF25" s="80">
        <f>(Tableau6[[#This Row],[VRD / Espaces verts]]+Tableau6[[#This Row],[TRAVAUX BATIS]])/Tableau6[[#This Row],[N]]</f>
        <v>0</v>
      </c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80"/>
      <c r="BU25" s="116">
        <f>169259.85+64877.7</f>
        <v>234137.55</v>
      </c>
      <c r="BV25" s="80">
        <f>Tableau6[[#This Row],[TOTAL TRAVAUX]]+Tableau6[[#This Row],[HONORAIRES]]+Tableau6[[#This Row],[AUTRES FRAIS]]</f>
        <v>234137.55</v>
      </c>
      <c r="BW25" s="94">
        <f>Tableau6[[#This Row],[TOTAL PRP TTC]]-Tableau6[[#This Row],[PRP TTC ]]</f>
        <v>-724287.44999999972</v>
      </c>
    </row>
    <row r="26" spans="1:86 16160:16160" s="56" customFormat="1" ht="39" customHeight="1">
      <c r="A26" s="148" t="s">
        <v>83</v>
      </c>
      <c r="B26" s="13">
        <v>2022</v>
      </c>
      <c r="C26" s="13" t="s">
        <v>39</v>
      </c>
      <c r="D26" s="117">
        <f>SUM(F26:I26)</f>
        <v>22</v>
      </c>
      <c r="E26" s="62"/>
      <c r="F26" s="16"/>
      <c r="G26" s="16"/>
      <c r="H26" s="16"/>
      <c r="I26" s="13">
        <v>22</v>
      </c>
      <c r="J26" s="118">
        <v>45031</v>
      </c>
      <c r="K26" s="32"/>
      <c r="L26" s="67">
        <f>50000*Tableau6[[#This Row],[N]]</f>
        <v>1100000</v>
      </c>
      <c r="M26" s="92">
        <f>L26</f>
        <v>1100000</v>
      </c>
      <c r="N26" s="76">
        <f>Z26+AB26+AE26+AF26</f>
        <v>0</v>
      </c>
      <c r="O26" s="12" t="e">
        <f>L26/#REF!</f>
        <v>#REF!</v>
      </c>
      <c r="P26" s="12">
        <f>L26/D26</f>
        <v>50000</v>
      </c>
      <c r="Q26" s="75"/>
      <c r="R26" s="55"/>
      <c r="S26" s="12">
        <f>Q26/D26</f>
        <v>0</v>
      </c>
      <c r="T26" s="75">
        <f>U26+Y26+AD26+Tableau6[[#This Row],[PRÊT ACL]]</f>
        <v>0</v>
      </c>
      <c r="U26" s="3">
        <f>V26+W26</f>
        <v>0</v>
      </c>
      <c r="V26" s="19"/>
      <c r="W26" s="19"/>
      <c r="X26" s="51">
        <f>U26/D26</f>
        <v>0</v>
      </c>
      <c r="Y26" s="17"/>
      <c r="Z26" s="3"/>
      <c r="AA26" s="17"/>
      <c r="AB26" s="17"/>
      <c r="AC26" s="20">
        <f>Z26/L26</f>
        <v>0</v>
      </c>
      <c r="AD26" s="17"/>
      <c r="AE26" s="17"/>
      <c r="AF26" s="17"/>
      <c r="AG26" s="12"/>
      <c r="AH26" s="12"/>
      <c r="AI26" s="85"/>
      <c r="AJ26" s="85"/>
      <c r="AK26" s="85">
        <f>(Q26+Z26+AJ26)/D26</f>
        <v>0</v>
      </c>
      <c r="AL26" s="85"/>
      <c r="AM26" s="85">
        <f>(Q26+Z26+AJ26+AL26)/D26</f>
        <v>0</v>
      </c>
      <c r="AN26" s="84">
        <f>(Q26+Z26+AJ26+AL26)/(AI26+L26-AO26)</f>
        <v>0</v>
      </c>
      <c r="AO26" s="85"/>
      <c r="AP26" s="85"/>
      <c r="AQ26" s="75"/>
      <c r="AR26" s="88"/>
      <c r="AS26" s="89">
        <f>AR26/L26</f>
        <v>0</v>
      </c>
      <c r="AT26" s="88">
        <f>L26-AR26</f>
        <v>1100000</v>
      </c>
      <c r="AU26" s="88" t="e">
        <f ca="1">IF(#REF!&lt;DATEDIF(TODAY(),$AU$1,"M"),AT26,(AT26/#REF!*DATEDIF(TODAY(),$AU$1,"M")))</f>
        <v>#REF!</v>
      </c>
      <c r="AV26" s="89" t="e">
        <f ca="1">(AU26+AR26)/L26</f>
        <v>#REF!</v>
      </c>
      <c r="AW26" s="90"/>
      <c r="AX26" s="88"/>
      <c r="AY26" s="88">
        <f>N26-AX26</f>
        <v>0</v>
      </c>
      <c r="AZ26" s="88" t="e">
        <f>AX26/N26</f>
        <v>#DIV/0!</v>
      </c>
      <c r="BA26" s="88"/>
      <c r="BB26" s="80"/>
      <c r="BC26" s="21"/>
      <c r="BD26" s="80"/>
      <c r="BE26" s="80">
        <f>SUM(Tableau6[[#This Row],[GO]:[CARRELAGE]])</f>
        <v>0</v>
      </c>
      <c r="BF26" s="80">
        <f>(Tableau6[[#This Row],[VRD / Espaces verts]]+Tableau6[[#This Row],[TRAVAUX BATIS]])/Tableau6[[#This Row],[N]]</f>
        <v>0</v>
      </c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80"/>
      <c r="BU26" s="80"/>
      <c r="BV26" s="80">
        <f>Tableau6[[#This Row],[TOTAL TRAVAUX]]+Tableau6[[#This Row],[HONORAIRES]]+Tableau6[[#This Row],[AUTRES FRAIS]]</f>
        <v>0</v>
      </c>
      <c r="BW26" s="94">
        <f>Tableau6[[#This Row],[TOTAL PRP TTC]]-Tableau6[[#This Row],[PRP TTC ]]</f>
        <v>-1100000</v>
      </c>
    </row>
    <row r="27" spans="1:86 16160:16160" ht="15" customHeight="1">
      <c r="A27" s="148" t="s">
        <v>80</v>
      </c>
      <c r="B27" s="13">
        <v>2023</v>
      </c>
      <c r="C27" s="13" t="s">
        <v>39</v>
      </c>
      <c r="D27" s="117">
        <f>SUM(F27:I27)</f>
        <v>45</v>
      </c>
      <c r="E27" s="62"/>
      <c r="F27" s="16"/>
      <c r="G27" s="16"/>
      <c r="H27" s="16"/>
      <c r="I27" s="13">
        <v>45</v>
      </c>
      <c r="J27" s="118">
        <v>45069</v>
      </c>
      <c r="K27" s="29"/>
      <c r="L27" s="67">
        <f>50000*Tableau6[[#This Row],[N]]</f>
        <v>2250000</v>
      </c>
      <c r="M27" s="92">
        <f>L27</f>
        <v>2250000</v>
      </c>
      <c r="N27" s="76">
        <f>Z27+AB27+AE27+AF27</f>
        <v>0</v>
      </c>
      <c r="O27" s="12" t="e">
        <f>L27/#REF!</f>
        <v>#REF!</v>
      </c>
      <c r="P27" s="12">
        <f>L27/D27</f>
        <v>50000</v>
      </c>
      <c r="Q27" s="75"/>
      <c r="R27" s="55"/>
      <c r="S27" s="12">
        <f>Q27/D27</f>
        <v>0</v>
      </c>
      <c r="T27" s="75">
        <f>U27+Y27+AD27+Tableau6[[#This Row],[PRÊT ACL]]</f>
        <v>0</v>
      </c>
      <c r="U27" s="3">
        <f>V27+W27</f>
        <v>0</v>
      </c>
      <c r="V27" s="19"/>
      <c r="W27" s="19"/>
      <c r="X27" s="51">
        <f>U27/D27</f>
        <v>0</v>
      </c>
      <c r="Y27" s="17"/>
      <c r="Z27" s="3"/>
      <c r="AA27" s="17"/>
      <c r="AB27" s="17"/>
      <c r="AC27" s="20">
        <f>Z27/L27</f>
        <v>0</v>
      </c>
      <c r="AD27" s="17"/>
      <c r="AE27" s="17"/>
      <c r="AF27" s="17"/>
      <c r="AG27" s="12"/>
      <c r="AH27" s="12"/>
      <c r="AI27" s="85"/>
      <c r="AJ27" s="85"/>
      <c r="AK27" s="85"/>
      <c r="AL27" s="85"/>
      <c r="AM27" s="85"/>
      <c r="AN27" s="84"/>
      <c r="AO27" s="85"/>
      <c r="AP27" s="85"/>
      <c r="AQ27" s="75"/>
      <c r="AR27" s="88"/>
      <c r="AS27" s="89">
        <f>AR27/L27</f>
        <v>0</v>
      </c>
      <c r="AT27" s="88">
        <f>L27-AR27</f>
        <v>2250000</v>
      </c>
      <c r="AU27" s="88" t="e">
        <f ca="1">IF(#REF!&lt;DATEDIF(TODAY(),$AU$1,"M"),AT27,(AT27/#REF!*DATEDIF(TODAY(),$AU$1,"M")))</f>
        <v>#REF!</v>
      </c>
      <c r="AV27" s="89" t="e">
        <f ca="1">(AU27+AR27)/L27</f>
        <v>#REF!</v>
      </c>
      <c r="AW27" s="90"/>
      <c r="AX27" s="88"/>
      <c r="AY27" s="88">
        <f>N27-AX27</f>
        <v>0</v>
      </c>
      <c r="AZ27" s="88" t="e">
        <f>AX27/N27</f>
        <v>#DIV/0!</v>
      </c>
      <c r="BA27" s="88"/>
      <c r="BB27" s="80"/>
      <c r="BC27" s="21"/>
      <c r="BD27" s="80"/>
      <c r="BE27" s="80">
        <f>SUM(Tableau6[[#This Row],[GO]:[CARRELAGE]])</f>
        <v>0</v>
      </c>
      <c r="BF27" s="80">
        <f>(Tableau6[[#This Row],[VRD / Espaces verts]]+Tableau6[[#This Row],[TRAVAUX BATIS]])/Tableau6[[#This Row],[N]]</f>
        <v>0</v>
      </c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80"/>
      <c r="BU27" s="80"/>
      <c r="BV27" s="80">
        <f>Tableau6[[#This Row],[TOTAL TRAVAUX]]+Tableau6[[#This Row],[HONORAIRES]]+Tableau6[[#This Row],[AUTRES FRAIS]]</f>
        <v>0</v>
      </c>
      <c r="BW27" s="94">
        <f>Tableau6[[#This Row],[TOTAL PRP TTC]]-Tableau6[[#This Row],[PRP TTC ]]</f>
        <v>-2250000</v>
      </c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</row>
    <row r="28" spans="1:86 16160:16160" ht="34.200000000000003" customHeight="1">
      <c r="A28" s="68" t="s">
        <v>87</v>
      </c>
      <c r="B28" s="13">
        <v>2022</v>
      </c>
      <c r="C28" s="13" t="s">
        <v>39</v>
      </c>
      <c r="D28" s="125">
        <f>SUM(F28:I28)</f>
        <v>40</v>
      </c>
      <c r="E28" s="62"/>
      <c r="F28" s="16"/>
      <c r="G28" s="16"/>
      <c r="H28" s="16"/>
      <c r="I28" s="13">
        <v>40</v>
      </c>
      <c r="J28" s="118">
        <v>45031</v>
      </c>
      <c r="K28" s="32"/>
      <c r="L28" s="67">
        <f>50000*Tableau6[[#This Row],[N]]</f>
        <v>2000000</v>
      </c>
      <c r="M28" s="92">
        <f>L28</f>
        <v>2000000</v>
      </c>
      <c r="N28" s="76">
        <f>Z28+AB28+AE28+AF28</f>
        <v>0</v>
      </c>
      <c r="O28" s="12" t="e">
        <f>L28/#REF!</f>
        <v>#REF!</v>
      </c>
      <c r="P28" s="12">
        <f>L28/D28</f>
        <v>50000</v>
      </c>
      <c r="Q28" s="75"/>
      <c r="R28" s="55"/>
      <c r="S28" s="12">
        <f>Q28/D28</f>
        <v>0</v>
      </c>
      <c r="T28" s="75">
        <f>U28+Y28+AD28+Tableau6[[#This Row],[PRÊT ACL]]</f>
        <v>0</v>
      </c>
      <c r="U28" s="17">
        <f>V28+W28</f>
        <v>0</v>
      </c>
      <c r="V28" s="19"/>
      <c r="W28" s="19"/>
      <c r="X28" s="51">
        <f>U28/D28</f>
        <v>0</v>
      </c>
      <c r="Y28" s="17"/>
      <c r="Z28" s="17"/>
      <c r="AA28" s="17"/>
      <c r="AB28" s="17"/>
      <c r="AC28" s="20">
        <f>Z28/L28</f>
        <v>0</v>
      </c>
      <c r="AD28" s="17"/>
      <c r="AE28" s="17"/>
      <c r="AF28" s="17"/>
      <c r="AG28" s="12"/>
      <c r="AH28" s="12"/>
      <c r="AI28" s="85"/>
      <c r="AJ28" s="85"/>
      <c r="AK28" s="85"/>
      <c r="AL28" s="85"/>
      <c r="AM28" s="85"/>
      <c r="AN28" s="84"/>
      <c r="AO28" s="85"/>
      <c r="AP28" s="85"/>
      <c r="AQ28" s="75"/>
      <c r="AR28" s="88"/>
      <c r="AS28" s="89">
        <f>AR28/L28</f>
        <v>0</v>
      </c>
      <c r="AT28" s="88">
        <f>L28-AR28</f>
        <v>2000000</v>
      </c>
      <c r="AU28" s="88" t="e">
        <f ca="1">IF(#REF!&lt;DATEDIF(TODAY(),$AU$1,"M"),AT28,(AT28/#REF!*DATEDIF(TODAY(),$AU$1,"M")))</f>
        <v>#REF!</v>
      </c>
      <c r="AV28" s="89" t="e">
        <f ca="1">(AU28+AR28)/L28</f>
        <v>#REF!</v>
      </c>
      <c r="AW28" s="90"/>
      <c r="AX28" s="88"/>
      <c r="AY28" s="88">
        <f>N28-AX28</f>
        <v>0</v>
      </c>
      <c r="AZ28" s="88" t="e">
        <f>AX28/N28</f>
        <v>#DIV/0!</v>
      </c>
      <c r="BA28" s="88"/>
      <c r="BB28" s="80"/>
      <c r="BC28" s="21"/>
      <c r="BD28" s="80"/>
      <c r="BE28" s="80">
        <f>SUM(Tableau6[[#This Row],[GO]:[CARRELAGE]])</f>
        <v>0</v>
      </c>
      <c r="BF28" s="80">
        <f>(Tableau6[[#This Row],[VRD / Espaces verts]]+Tableau6[[#This Row],[TRAVAUX BATIS]])/Tableau6[[#This Row],[N]]</f>
        <v>0</v>
      </c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  <c r="BS28" s="70"/>
      <c r="BT28" s="80"/>
      <c r="BU28" s="80"/>
      <c r="BV28" s="80">
        <f>Tableau6[[#This Row],[TOTAL TRAVAUX]]+Tableau6[[#This Row],[HONORAIRES]]+Tableau6[[#This Row],[AUTRES FRAIS]]</f>
        <v>0</v>
      </c>
      <c r="BW28" s="94">
        <f>Tableau6[[#This Row],[TOTAL PRP TTC]]-Tableau6[[#This Row],[PRP TTC ]]</f>
        <v>-2000000</v>
      </c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</row>
    <row r="29" spans="1:86 16160:16160" ht="34.200000000000003" customHeight="1">
      <c r="A29" s="68" t="s">
        <v>81</v>
      </c>
      <c r="B29" s="13">
        <v>2022</v>
      </c>
      <c r="C29" s="13" t="s">
        <v>39</v>
      </c>
      <c r="D29" s="117">
        <f>SUM(F29:I29)</f>
        <v>44</v>
      </c>
      <c r="E29" s="62"/>
      <c r="F29" s="16"/>
      <c r="G29" s="16"/>
      <c r="H29" s="16"/>
      <c r="I29" s="13">
        <v>44</v>
      </c>
      <c r="J29" s="118">
        <v>45031</v>
      </c>
      <c r="K29" s="32"/>
      <c r="L29" s="71">
        <f>50000*Tableau6[[#This Row],[N]]</f>
        <v>2200000</v>
      </c>
      <c r="M29" s="92">
        <f>L29</f>
        <v>2200000</v>
      </c>
      <c r="N29" s="76">
        <f>Z29+AB29+AE29+AF29</f>
        <v>0</v>
      </c>
      <c r="O29" s="12" t="e">
        <f>L29/#REF!</f>
        <v>#REF!</v>
      </c>
      <c r="P29" s="12">
        <f>L29/D29</f>
        <v>50000</v>
      </c>
      <c r="Q29" s="75"/>
      <c r="R29" s="55"/>
      <c r="S29" s="12">
        <f>Q29/D29</f>
        <v>0</v>
      </c>
      <c r="T29" s="75">
        <f>U29+Y29+AD29+Tableau6[[#This Row],[PRÊT ACL]]</f>
        <v>0</v>
      </c>
      <c r="U29" s="3">
        <f>V29+W29</f>
        <v>0</v>
      </c>
      <c r="V29" s="19"/>
      <c r="W29" s="19"/>
      <c r="X29" s="51">
        <f>U29/D29</f>
        <v>0</v>
      </c>
      <c r="Y29" s="17"/>
      <c r="Z29" s="3"/>
      <c r="AA29" s="17"/>
      <c r="AB29" s="17"/>
      <c r="AC29" s="20">
        <f>Z29/L29</f>
        <v>0</v>
      </c>
      <c r="AD29" s="17"/>
      <c r="AE29" s="17"/>
      <c r="AF29" s="17"/>
      <c r="AG29" s="12"/>
      <c r="AH29" s="12"/>
      <c r="AI29" s="85"/>
      <c r="AJ29" s="85"/>
      <c r="AK29" s="85">
        <f>(Q29+Z29+AJ29)/D29</f>
        <v>0</v>
      </c>
      <c r="AL29" s="85"/>
      <c r="AM29" s="85">
        <f>(Q29+Z29+AJ29+AL29)/D29</f>
        <v>0</v>
      </c>
      <c r="AN29" s="84">
        <f>(Q29+Z29+AJ29+AL29)/(AI29+L29-AO29)</f>
        <v>0</v>
      </c>
      <c r="AO29" s="85"/>
      <c r="AP29" s="85"/>
      <c r="AQ29" s="75"/>
      <c r="AR29" s="88"/>
      <c r="AS29" s="89">
        <f>AR29/L29</f>
        <v>0</v>
      </c>
      <c r="AT29" s="88">
        <f>L29-AR29</f>
        <v>2200000</v>
      </c>
      <c r="AU29" s="88" t="e">
        <f ca="1">IF(#REF!&lt;DATEDIF(TODAY(),$AU$1,"M"),AT29,(AT29/#REF!*DATEDIF(TODAY(),$AU$1,"M")))</f>
        <v>#REF!</v>
      </c>
      <c r="AV29" s="89" t="e">
        <f ca="1">(AU29+AR29)/L29</f>
        <v>#REF!</v>
      </c>
      <c r="AW29" s="90"/>
      <c r="AX29" s="88"/>
      <c r="AY29" s="88">
        <f>N29-AX29</f>
        <v>0</v>
      </c>
      <c r="AZ29" s="88" t="e">
        <f>AX29/N29</f>
        <v>#DIV/0!</v>
      </c>
      <c r="BA29" s="88"/>
      <c r="BB29" s="80"/>
      <c r="BC29" s="21"/>
      <c r="BD29" s="80"/>
      <c r="BE29" s="80">
        <f>SUM(Tableau6[[#This Row],[GO]:[CARRELAGE]])</f>
        <v>0</v>
      </c>
      <c r="BF29" s="80">
        <f>(Tableau6[[#This Row],[VRD / Espaces verts]]+Tableau6[[#This Row],[TRAVAUX BATIS]])/Tableau6[[#This Row],[N]]</f>
        <v>0</v>
      </c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  <c r="BS29" s="70"/>
      <c r="BT29" s="80"/>
      <c r="BU29" s="80"/>
      <c r="BV29" s="80">
        <f>Tableau6[[#This Row],[TOTAL TRAVAUX]]+Tableau6[[#This Row],[HONORAIRES]]+Tableau6[[#This Row],[AUTRES FRAIS]]</f>
        <v>0</v>
      </c>
      <c r="BW29" s="94">
        <f>Tableau6[[#This Row],[TOTAL PRP TTC]]-Tableau6[[#This Row],[PRP TTC ]]</f>
        <v>-2200000</v>
      </c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</row>
    <row r="30" spans="1:86 16160:16160" ht="34.200000000000003" customHeight="1">
      <c r="A30" s="148" t="s">
        <v>112</v>
      </c>
      <c r="B30" s="13">
        <v>2023</v>
      </c>
      <c r="C30" s="13" t="s">
        <v>39</v>
      </c>
      <c r="D30" s="117">
        <f>SUM(F30:I30)</f>
        <v>20</v>
      </c>
      <c r="E30" s="62"/>
      <c r="F30" s="16"/>
      <c r="G30" s="16"/>
      <c r="H30" s="16"/>
      <c r="I30" s="13">
        <v>20</v>
      </c>
      <c r="J30" s="118">
        <v>45031</v>
      </c>
      <c r="K30" s="29"/>
      <c r="L30" s="71">
        <f>50000*Tableau6[[#This Row],[N]]</f>
        <v>1000000</v>
      </c>
      <c r="M30" s="123">
        <f>L30</f>
        <v>1000000</v>
      </c>
      <c r="N30" s="76">
        <f>Z30+AB30+AE30+AF30</f>
        <v>0</v>
      </c>
      <c r="O30" s="12" t="e">
        <f>L30/#REF!</f>
        <v>#REF!</v>
      </c>
      <c r="P30" s="12">
        <f>L30/D30</f>
        <v>50000</v>
      </c>
      <c r="Q30" s="75"/>
      <c r="R30" s="55"/>
      <c r="S30" s="12">
        <f>Q30/D30</f>
        <v>0</v>
      </c>
      <c r="T30" s="75">
        <f>U30+Y30+AD30+Tableau6[[#This Row],[PRÊT ACL]]</f>
        <v>0</v>
      </c>
      <c r="U30" s="3">
        <f>V30+W30</f>
        <v>0</v>
      </c>
      <c r="V30" s="19"/>
      <c r="W30" s="19"/>
      <c r="X30" s="51">
        <f>U30/D30</f>
        <v>0</v>
      </c>
      <c r="Y30" s="17"/>
      <c r="Z30" s="130"/>
      <c r="AA30" s="129"/>
      <c r="AB30" s="129"/>
      <c r="AC30" s="113">
        <f>Z30/L30</f>
        <v>0</v>
      </c>
      <c r="AD30" s="129"/>
      <c r="AE30" s="129"/>
      <c r="AF30" s="129"/>
      <c r="AG30" s="12"/>
      <c r="AH30" s="12"/>
      <c r="AI30" s="85"/>
      <c r="AJ30" s="85"/>
      <c r="AK30" s="85"/>
      <c r="AL30" s="85"/>
      <c r="AM30" s="85"/>
      <c r="AN30" s="84"/>
      <c r="AO30" s="85"/>
      <c r="AP30" s="85"/>
      <c r="AQ30" s="75"/>
      <c r="AR30" s="88"/>
      <c r="AS30" s="89">
        <f>AR30/L30</f>
        <v>0</v>
      </c>
      <c r="AT30" s="124">
        <f>L30-AR30</f>
        <v>1000000</v>
      </c>
      <c r="AU30" s="88" t="e">
        <f ca="1">IF(#REF!&lt;DATEDIF(TODAY(),$AU$1,"M"),AT30,(AT30/#REF!*DATEDIF(TODAY(),$AU$1,"M")))</f>
        <v>#REF!</v>
      </c>
      <c r="AV30" s="89" t="e">
        <f ca="1">(AU30+AR30)/L30</f>
        <v>#REF!</v>
      </c>
      <c r="AW30" s="90"/>
      <c r="AX30" s="88"/>
      <c r="AY30" s="88">
        <f>N30-AX30</f>
        <v>0</v>
      </c>
      <c r="AZ30" s="124" t="e">
        <f>AX30/N30</f>
        <v>#DIV/0!</v>
      </c>
      <c r="BA30" s="124"/>
      <c r="BB30" s="80"/>
      <c r="BC30" s="21"/>
      <c r="BD30" s="80"/>
      <c r="BE30" s="80">
        <f>SUM(Tableau6[[#This Row],[GO]:[CARRELAGE]])</f>
        <v>0</v>
      </c>
      <c r="BF30" s="116">
        <f>(Tableau6[[#This Row],[VRD / Espaces verts]]+Tableau6[[#This Row],[TRAVAUX BATIS]])/Tableau6[[#This Row],[N]]</f>
        <v>0</v>
      </c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80"/>
      <c r="BU30" s="116">
        <f>169259.85+64877.7</f>
        <v>234137.55</v>
      </c>
      <c r="BV30" s="80">
        <f>Tableau6[[#This Row],[TOTAL TRAVAUX]]+Tableau6[[#This Row],[HONORAIRES]]+Tableau6[[#This Row],[AUTRES FRAIS]]</f>
        <v>234137.55</v>
      </c>
      <c r="BW30" s="94">
        <f>Tableau6[[#This Row],[TOTAL PRP TTC]]-Tableau6[[#This Row],[PRP TTC ]]</f>
        <v>-765862.45</v>
      </c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</row>
    <row r="31" spans="1:86 16160:16160" ht="15" customHeight="1">
      <c r="A31" s="148" t="s">
        <v>111</v>
      </c>
      <c r="B31" s="13">
        <v>2023</v>
      </c>
      <c r="C31" s="13" t="s">
        <v>39</v>
      </c>
      <c r="D31" s="117">
        <f>SUM(F31:I31)</f>
        <v>22</v>
      </c>
      <c r="E31" s="62"/>
      <c r="F31" s="16"/>
      <c r="G31" s="16"/>
      <c r="H31" s="16"/>
      <c r="I31" s="13">
        <v>22</v>
      </c>
      <c r="J31" s="118">
        <v>45031</v>
      </c>
      <c r="K31" s="32"/>
      <c r="L31" s="71">
        <f>50000*Tableau6[[#This Row],[N]]</f>
        <v>1100000</v>
      </c>
      <c r="M31" s="123">
        <f>L31</f>
        <v>1100000</v>
      </c>
      <c r="N31" s="76">
        <f>Z31+AB31+AE31+AF31</f>
        <v>0</v>
      </c>
      <c r="O31" s="12" t="e">
        <f>L31/#REF!</f>
        <v>#REF!</v>
      </c>
      <c r="P31" s="12">
        <f>L31/D31</f>
        <v>50000</v>
      </c>
      <c r="Q31" s="75"/>
      <c r="R31" s="55"/>
      <c r="S31" s="12">
        <f>Q31/D31</f>
        <v>0</v>
      </c>
      <c r="T31" s="75">
        <f>U31+Y31+AD31+Tableau6[[#This Row],[PRÊT ACL]]</f>
        <v>0</v>
      </c>
      <c r="U31" s="3">
        <f>V31+W31</f>
        <v>0</v>
      </c>
      <c r="V31" s="19"/>
      <c r="W31" s="19"/>
      <c r="X31" s="51">
        <f>U31/D31</f>
        <v>0</v>
      </c>
      <c r="Y31" s="17"/>
      <c r="Z31" s="130"/>
      <c r="AA31" s="129"/>
      <c r="AB31" s="129"/>
      <c r="AC31" s="113">
        <f>Z31/L31</f>
        <v>0</v>
      </c>
      <c r="AD31" s="129"/>
      <c r="AE31" s="129"/>
      <c r="AF31" s="129"/>
      <c r="AG31" s="12"/>
      <c r="AH31" s="12"/>
      <c r="AI31" s="85"/>
      <c r="AJ31" s="85"/>
      <c r="AK31" s="85" t="e">
        <f>(#REF!+#REF!+AJ31)/D31</f>
        <v>#REF!</v>
      </c>
      <c r="AL31" s="85"/>
      <c r="AM31" s="85">
        <f>(Q31+Z31+AJ31+AL31)/D31</f>
        <v>0</v>
      </c>
      <c r="AN31" s="84" t="e">
        <f>(#REF!+#REF!+AJ31+AL31)/(AI31+#REF!-AO31)</f>
        <v>#REF!</v>
      </c>
      <c r="AO31" s="85"/>
      <c r="AP31" s="85"/>
      <c r="AQ31" s="75"/>
      <c r="AR31" s="88"/>
      <c r="AS31" s="89">
        <f>AR31/L31</f>
        <v>0</v>
      </c>
      <c r="AT31" s="124">
        <f>L31-AR31</f>
        <v>1100000</v>
      </c>
      <c r="AU31" s="88" t="e">
        <f ca="1">IF(#REF!&lt;DATEDIF(TODAY(),$AU$1,"M"),AT31,(AT31/#REF!*DATEDIF(TODAY(),$AU$1,"M")))</f>
        <v>#REF!</v>
      </c>
      <c r="AV31" s="89" t="e">
        <f ca="1">(AU31+AR31)/L31</f>
        <v>#REF!</v>
      </c>
      <c r="AW31" s="90"/>
      <c r="AX31" s="88"/>
      <c r="AY31" s="88">
        <f>N31-AX31</f>
        <v>0</v>
      </c>
      <c r="AZ31" s="124" t="e">
        <f>AX31/N31</f>
        <v>#DIV/0!</v>
      </c>
      <c r="BA31" s="124"/>
      <c r="BB31" s="80"/>
      <c r="BC31" s="21"/>
      <c r="BD31" s="80"/>
      <c r="BE31" s="80">
        <f>SUM(Tableau6[[#This Row],[GO]:[CARRELAGE]])</f>
        <v>0</v>
      </c>
      <c r="BF31" s="116">
        <f>(Tableau6[[#This Row],[VRD / Espaces verts]]+Tableau6[[#This Row],[TRAVAUX BATIS]])/Tableau6[[#This Row],[N]]</f>
        <v>0</v>
      </c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80"/>
      <c r="BU31" s="116">
        <f>169259.85+64877.7</f>
        <v>234137.55</v>
      </c>
      <c r="BV31" s="80">
        <f>Tableau6[[#This Row],[TOTAL TRAVAUX]]+Tableau6[[#This Row],[HONORAIRES]]+Tableau6[[#This Row],[AUTRES FRAIS]]</f>
        <v>234137.55</v>
      </c>
      <c r="BW31" s="94">
        <f>Tableau6[[#This Row],[TOTAL PRP TTC]]-Tableau6[[#This Row],[PRP TTC ]]</f>
        <v>-865862.45</v>
      </c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</row>
    <row r="32" spans="1:86 16160:16160" ht="15" customHeight="1">
      <c r="A32" s="68" t="s">
        <v>110</v>
      </c>
      <c r="B32" s="14">
        <v>2023</v>
      </c>
      <c r="C32" s="13" t="s">
        <v>39</v>
      </c>
      <c r="D32" s="117">
        <f>SUM(F32:I32)</f>
        <v>19</v>
      </c>
      <c r="E32" s="62"/>
      <c r="F32" s="16"/>
      <c r="G32" s="16"/>
      <c r="H32" s="16"/>
      <c r="I32" s="13">
        <v>19</v>
      </c>
      <c r="J32" s="118">
        <v>45414</v>
      </c>
      <c r="K32" s="32"/>
      <c r="L32" s="71">
        <f>50000*Tableau6[[#This Row],[N]]</f>
        <v>950000</v>
      </c>
      <c r="M32" s="92">
        <f>L32</f>
        <v>950000</v>
      </c>
      <c r="N32" s="76">
        <f>Z32+AB32+AE32+AF32</f>
        <v>0</v>
      </c>
      <c r="O32" s="12" t="e">
        <f>L32/#REF!</f>
        <v>#REF!</v>
      </c>
      <c r="P32" s="12">
        <f>L32/D32</f>
        <v>50000</v>
      </c>
      <c r="Q32" s="75"/>
      <c r="R32" s="55"/>
      <c r="S32" s="12">
        <f>Q32/D32</f>
        <v>0</v>
      </c>
      <c r="T32" s="75">
        <f>U32+Y32+AD32+Tableau6[[#This Row],[PRÊT ACL]]</f>
        <v>0</v>
      </c>
      <c r="U32" s="3">
        <f>V32+W32</f>
        <v>0</v>
      </c>
      <c r="V32" s="19"/>
      <c r="W32" s="19"/>
      <c r="X32" s="51">
        <f>U32/D32</f>
        <v>0</v>
      </c>
      <c r="Y32" s="17"/>
      <c r="Z32" s="3"/>
      <c r="AA32" s="17"/>
      <c r="AB32" s="17"/>
      <c r="AC32" s="20">
        <f>Z32/L32</f>
        <v>0</v>
      </c>
      <c r="AD32" s="17"/>
      <c r="AE32" s="17"/>
      <c r="AF32" s="17"/>
      <c r="AG32" s="12"/>
      <c r="AH32" s="12"/>
      <c r="AI32" s="85"/>
      <c r="AJ32" s="85"/>
      <c r="AK32" s="85"/>
      <c r="AL32" s="85"/>
      <c r="AM32" s="85"/>
      <c r="AN32" s="84"/>
      <c r="AO32" s="85"/>
      <c r="AP32" s="85"/>
      <c r="AQ32" s="75"/>
      <c r="AR32" s="88"/>
      <c r="AS32" s="89">
        <f>AR32/L32</f>
        <v>0</v>
      </c>
      <c r="AT32" s="88">
        <f>L32-AR32</f>
        <v>950000</v>
      </c>
      <c r="AU32" s="88" t="e">
        <f ca="1">IF(#REF!&lt;DATEDIF(TODAY(),$AU$1,"M"),AT32,(AT32/#REF!*DATEDIF(TODAY(),$AU$1,"M")))</f>
        <v>#REF!</v>
      </c>
      <c r="AV32" s="89" t="e">
        <f ca="1">(AU32+AR32)/L32</f>
        <v>#REF!</v>
      </c>
      <c r="AW32" s="90"/>
      <c r="AX32" s="88"/>
      <c r="AY32" s="88">
        <f>N32-AX32</f>
        <v>0</v>
      </c>
      <c r="AZ32" s="88" t="e">
        <f>AX32/N32</f>
        <v>#DIV/0!</v>
      </c>
      <c r="BA32" s="88"/>
      <c r="BB32" s="80"/>
      <c r="BC32" s="21"/>
      <c r="BD32" s="80"/>
      <c r="BE32" s="80">
        <f>SUM(Tableau6[[#This Row],[GO]:[CARRELAGE]])</f>
        <v>0</v>
      </c>
      <c r="BF32" s="80">
        <f>(Tableau6[[#This Row],[VRD / Espaces verts]]+Tableau6[[#This Row],[TRAVAUX BATIS]])/Tableau6[[#This Row],[N]]</f>
        <v>0</v>
      </c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80"/>
      <c r="BU32" s="116">
        <f>169259.85+64877.7</f>
        <v>234137.55</v>
      </c>
      <c r="BV32" s="80">
        <f>Tableau6[[#This Row],[TOTAL TRAVAUX]]+Tableau6[[#This Row],[HONORAIRES]]+Tableau6[[#This Row],[AUTRES FRAIS]]</f>
        <v>234137.55</v>
      </c>
      <c r="BW32" s="94">
        <f>Tableau6[[#This Row],[TOTAL PRP TTC]]-Tableau6[[#This Row],[PRP TTC ]]</f>
        <v>-715862.45</v>
      </c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</row>
    <row r="33" spans="1:86" ht="15" customHeight="1">
      <c r="A33" s="68" t="s">
        <v>79</v>
      </c>
      <c r="B33" s="13">
        <v>2023</v>
      </c>
      <c r="C33" s="13" t="s">
        <v>39</v>
      </c>
      <c r="D33" s="117">
        <f>SUM(F33:I33)</f>
        <v>12</v>
      </c>
      <c r="E33" s="62"/>
      <c r="F33" s="16"/>
      <c r="G33" s="16"/>
      <c r="H33" s="16"/>
      <c r="I33" s="13">
        <v>12</v>
      </c>
      <c r="J33" s="118">
        <v>45414</v>
      </c>
      <c r="K33" s="32"/>
      <c r="L33" s="71">
        <f>50000*Tableau6[[#This Row],[N]]</f>
        <v>600000</v>
      </c>
      <c r="M33" s="92">
        <f>L33</f>
        <v>600000</v>
      </c>
      <c r="N33" s="76">
        <f>Z33+AB33+AE33+AF33</f>
        <v>0</v>
      </c>
      <c r="O33" s="12" t="e">
        <f>L33/#REF!</f>
        <v>#REF!</v>
      </c>
      <c r="P33" s="12">
        <f>L33/D33</f>
        <v>50000</v>
      </c>
      <c r="Q33" s="75"/>
      <c r="R33" s="55"/>
      <c r="S33" s="12">
        <f>Q33/D33</f>
        <v>0</v>
      </c>
      <c r="T33" s="75">
        <f>U33+Y33+AD33+Tableau6[[#This Row],[PRÊT ACL]]</f>
        <v>0</v>
      </c>
      <c r="U33" s="3">
        <f>V33+W33</f>
        <v>0</v>
      </c>
      <c r="V33" s="19"/>
      <c r="W33" s="19"/>
      <c r="X33" s="51">
        <f>U33/D33</f>
        <v>0</v>
      </c>
      <c r="Y33" s="17"/>
      <c r="Z33" s="3"/>
      <c r="AA33" s="17"/>
      <c r="AB33" s="17"/>
      <c r="AC33" s="20">
        <f>Z33/L33</f>
        <v>0</v>
      </c>
      <c r="AD33" s="17"/>
      <c r="AE33" s="17"/>
      <c r="AF33" s="17"/>
      <c r="AG33" s="12"/>
      <c r="AH33" s="12"/>
      <c r="AI33" s="85"/>
      <c r="AJ33" s="85"/>
      <c r="AK33" s="85" t="e">
        <f>(#REF!+#REF!+AJ33)/D33</f>
        <v>#REF!</v>
      </c>
      <c r="AL33" s="85"/>
      <c r="AM33" s="85">
        <f>(Q33+Z33+AJ33+AL33)/D33</f>
        <v>0</v>
      </c>
      <c r="AN33" s="84" t="e">
        <f>(#REF!+#REF!+AJ33+AL33)/(AI33+#REF!-AO33)</f>
        <v>#REF!</v>
      </c>
      <c r="AO33" s="85"/>
      <c r="AP33" s="85"/>
      <c r="AQ33" s="75"/>
      <c r="AR33" s="88"/>
      <c r="AS33" s="89">
        <f>AR33/L33</f>
        <v>0</v>
      </c>
      <c r="AT33" s="88">
        <f>L33-AR33</f>
        <v>600000</v>
      </c>
      <c r="AU33" s="88" t="e">
        <f ca="1">IF(#REF!&lt;DATEDIF(TODAY(),$AU$1,"M"),AT33,(AT33/#REF!*DATEDIF(TODAY(),$AU$1,"M")))</f>
        <v>#REF!</v>
      </c>
      <c r="AV33" s="89" t="e">
        <f ca="1">(AU33+AR33)/L33</f>
        <v>#REF!</v>
      </c>
      <c r="AW33" s="90"/>
      <c r="AX33" s="88"/>
      <c r="AY33" s="88">
        <f>N33-AX33</f>
        <v>0</v>
      </c>
      <c r="AZ33" s="88" t="e">
        <f>AX33/N33</f>
        <v>#DIV/0!</v>
      </c>
      <c r="BA33" s="88"/>
      <c r="BB33" s="80"/>
      <c r="BC33" s="21"/>
      <c r="BD33" s="80"/>
      <c r="BE33" s="80">
        <f>SUM(Tableau6[[#This Row],[GO]:[CARRELAGE]])</f>
        <v>0</v>
      </c>
      <c r="BF33" s="80">
        <f>(Tableau6[[#This Row],[VRD / Espaces verts]]+Tableau6[[#This Row],[TRAVAUX BATIS]])/Tableau6[[#This Row],[N]]</f>
        <v>0</v>
      </c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80"/>
      <c r="BU33" s="80"/>
      <c r="BV33" s="80">
        <f>Tableau6[[#This Row],[TOTAL TRAVAUX]]+Tableau6[[#This Row],[HONORAIRES]]+Tableau6[[#This Row],[AUTRES FRAIS]]</f>
        <v>0</v>
      </c>
      <c r="BW33" s="94">
        <f>Tableau6[[#This Row],[TOTAL PRP TTC]]-Tableau6[[#This Row],[PRP TTC ]]</f>
        <v>-600000</v>
      </c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</row>
    <row r="34" spans="1:86" ht="15" customHeight="1">
      <c r="A34" s="68" t="s">
        <v>82</v>
      </c>
      <c r="B34" s="13">
        <v>2023</v>
      </c>
      <c r="C34" s="13" t="s">
        <v>39</v>
      </c>
      <c r="D34" s="117">
        <f>SUM(F34:I34)</f>
        <v>29</v>
      </c>
      <c r="E34" s="62"/>
      <c r="F34" s="16"/>
      <c r="G34" s="16"/>
      <c r="H34" s="16"/>
      <c r="I34" s="13">
        <v>29</v>
      </c>
      <c r="J34" s="118">
        <v>45414</v>
      </c>
      <c r="K34" s="32"/>
      <c r="L34" s="71">
        <f>50000*Tableau6[[#This Row],[N]]</f>
        <v>1450000</v>
      </c>
      <c r="M34" s="92">
        <f>L34</f>
        <v>1450000</v>
      </c>
      <c r="N34" s="76">
        <f>Z34+AB34+AE34+AF34</f>
        <v>0</v>
      </c>
      <c r="O34" s="12" t="e">
        <f>L34/#REF!</f>
        <v>#REF!</v>
      </c>
      <c r="P34" s="12">
        <f>L34/D34</f>
        <v>50000</v>
      </c>
      <c r="Q34" s="75"/>
      <c r="R34" s="55"/>
      <c r="S34" s="12">
        <f>Q34/D34</f>
        <v>0</v>
      </c>
      <c r="T34" s="75">
        <f>U34+Y34+AD34+Tableau6[[#This Row],[PRÊT ACL]]</f>
        <v>0</v>
      </c>
      <c r="U34" s="3">
        <f>V34+W34</f>
        <v>0</v>
      </c>
      <c r="V34" s="19"/>
      <c r="W34" s="19"/>
      <c r="X34" s="51">
        <f>U34/D34</f>
        <v>0</v>
      </c>
      <c r="Y34" s="17"/>
      <c r="Z34" s="3"/>
      <c r="AA34" s="17"/>
      <c r="AB34" s="17"/>
      <c r="AC34" s="20">
        <f>Z34/L34</f>
        <v>0</v>
      </c>
      <c r="AD34" s="17"/>
      <c r="AE34" s="17"/>
      <c r="AF34" s="17"/>
      <c r="AG34" s="12"/>
      <c r="AH34" s="12"/>
      <c r="AI34" s="85"/>
      <c r="AJ34" s="85"/>
      <c r="AK34" s="85" t="e">
        <f>(#REF!+#REF!+AJ34)/D34</f>
        <v>#REF!</v>
      </c>
      <c r="AL34" s="85"/>
      <c r="AM34" s="85">
        <f>(Q34+Z34+AJ34+AL34)/D34</f>
        <v>0</v>
      </c>
      <c r="AN34" s="84" t="e">
        <f>(#REF!+#REF!+AJ34+AL34)/(AI34+#REF!-AO34)</f>
        <v>#REF!</v>
      </c>
      <c r="AO34" s="85"/>
      <c r="AP34" s="85"/>
      <c r="AQ34" s="75"/>
      <c r="AR34" s="88"/>
      <c r="AS34" s="89">
        <f>AR34/L34</f>
        <v>0</v>
      </c>
      <c r="AT34" s="88">
        <f>L34-AR34</f>
        <v>1450000</v>
      </c>
      <c r="AU34" s="88" t="e">
        <f ca="1">IF(#REF!&lt;DATEDIF(TODAY(),$AU$1,"M"),AT34,(AT34/#REF!*DATEDIF(TODAY(),$AU$1,"M")))</f>
        <v>#REF!</v>
      </c>
      <c r="AV34" s="89" t="e">
        <f ca="1">(AU34+AR34)/L34</f>
        <v>#REF!</v>
      </c>
      <c r="AW34" s="90"/>
      <c r="AX34" s="88"/>
      <c r="AY34" s="88">
        <f>N34-AX34</f>
        <v>0</v>
      </c>
      <c r="AZ34" s="88" t="e">
        <f>AX34/N34</f>
        <v>#DIV/0!</v>
      </c>
      <c r="BA34" s="88"/>
      <c r="BB34" s="80"/>
      <c r="BC34" s="21"/>
      <c r="BD34" s="80"/>
      <c r="BE34" s="80">
        <f>SUM(Tableau6[[#This Row],[GO]:[CARRELAGE]])</f>
        <v>0</v>
      </c>
      <c r="BF34" s="80">
        <f>(Tableau6[[#This Row],[VRD / Espaces verts]]+Tableau6[[#This Row],[TRAVAUX BATIS]])/Tableau6[[#This Row],[N]]</f>
        <v>0</v>
      </c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80"/>
      <c r="BU34" s="80"/>
      <c r="BV34" s="80">
        <f>Tableau6[[#This Row],[TOTAL TRAVAUX]]+Tableau6[[#This Row],[HONORAIRES]]+Tableau6[[#This Row],[AUTRES FRAIS]]</f>
        <v>0</v>
      </c>
      <c r="BW34" s="94">
        <f>Tableau6[[#This Row],[TOTAL PRP TTC]]-Tableau6[[#This Row],[PRP TTC ]]</f>
        <v>-1450000</v>
      </c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</row>
    <row r="35" spans="1:86" s="131" customFormat="1" ht="15" customHeight="1">
      <c r="A35" s="63"/>
      <c r="B35" s="13"/>
      <c r="C35" s="13"/>
      <c r="D35" s="62"/>
      <c r="E35" s="62"/>
      <c r="F35" s="16"/>
      <c r="G35" s="13"/>
      <c r="H35" s="16"/>
      <c r="I35" s="16"/>
      <c r="J35" s="57"/>
      <c r="K35" s="32"/>
      <c r="L35" s="67">
        <f>Tableau6[[#This Row],[CREDIT IMPOT ACTUEL]]+Tableau6[[#This Row],[PRETS TOTAUX]]+Tableau6[[#This Row],[LBU ]]+Tableau6[[#This Row],[SUB ETAT]]+Tableau6[[#This Row],[AUTRES SUBVENTIONS]]+Tableau6[[#This Row],[FONDS PROPRES CONSTRUCTION]]</f>
        <v>0</v>
      </c>
      <c r="M35" s="92">
        <f>L35</f>
        <v>0</v>
      </c>
      <c r="N35" s="76">
        <f>Z35+AB35+AE35+AF35</f>
        <v>0</v>
      </c>
      <c r="O35" s="12" t="e">
        <f>L35/#REF!</f>
        <v>#REF!</v>
      </c>
      <c r="P35" s="12" t="e">
        <f>L35/D35</f>
        <v>#DIV/0!</v>
      </c>
      <c r="Q35" s="75"/>
      <c r="R35" s="55"/>
      <c r="S35" s="12" t="e">
        <f>Q35/D35</f>
        <v>#DIV/0!</v>
      </c>
      <c r="T35" s="75">
        <f>U35+Y35+AD35+Tableau6[[#This Row],[PRÊT ACL]]</f>
        <v>0</v>
      </c>
      <c r="U35" s="17">
        <f>V35+W35</f>
        <v>0</v>
      </c>
      <c r="V35" s="19"/>
      <c r="W35" s="19"/>
      <c r="X35" s="51" t="e">
        <f>U35/D35</f>
        <v>#DIV/0!</v>
      </c>
      <c r="Y35" s="17"/>
      <c r="Z35" s="3"/>
      <c r="AA35" s="17"/>
      <c r="AB35" s="17"/>
      <c r="AC35" s="113" t="e">
        <f>Z35/L35</f>
        <v>#DIV/0!</v>
      </c>
      <c r="AD35" s="17"/>
      <c r="AE35" s="17"/>
      <c r="AF35" s="17"/>
      <c r="AG35" s="12"/>
      <c r="AH35" s="12"/>
      <c r="AI35" s="85"/>
      <c r="AJ35" s="85"/>
      <c r="AK35" s="85" t="e">
        <f>(Q35+Z35+AJ35)/D35</f>
        <v>#DIV/0!</v>
      </c>
      <c r="AL35" s="85"/>
      <c r="AM35" s="85" t="e">
        <f>(Q35+Z35+AJ35+AL35)/D35</f>
        <v>#DIV/0!</v>
      </c>
      <c r="AN35" s="84" t="e">
        <f>(Q35+Z35+AJ35+AL35)/(AI35+L35-AO35)</f>
        <v>#DIV/0!</v>
      </c>
      <c r="AO35" s="85"/>
      <c r="AP35" s="85"/>
      <c r="AQ35" s="75"/>
      <c r="AR35" s="88"/>
      <c r="AS35" s="89" t="e">
        <f>AR35/L35</f>
        <v>#DIV/0!</v>
      </c>
      <c r="AT35" s="88">
        <f>L35-AR35</f>
        <v>0</v>
      </c>
      <c r="AU35" s="88" t="e">
        <f ca="1">IF(#REF!&lt;DATEDIF(TODAY(),$AU$1,"M"),AT35,(AT35/#REF!*DATEDIF(TODAY(),$AU$1,"M")))</f>
        <v>#REF!</v>
      </c>
      <c r="AV35" s="89" t="e">
        <f ca="1">(AU35+AR35)/L35</f>
        <v>#REF!</v>
      </c>
      <c r="AW35" s="90"/>
      <c r="AX35" s="88"/>
      <c r="AY35" s="88">
        <f>N35-AX35</f>
        <v>0</v>
      </c>
      <c r="AZ35" s="88" t="e">
        <f>AX35/N35</f>
        <v>#DIV/0!</v>
      </c>
      <c r="BA35" s="88"/>
      <c r="BB35" s="80"/>
      <c r="BC35" s="21"/>
      <c r="BD35" s="80"/>
      <c r="BE35" s="80">
        <f>SUM(Tableau6[[#This Row],[GO]:[CARRELAGE]])</f>
        <v>0</v>
      </c>
      <c r="BF35" s="80" t="e">
        <f>(Tableau6[[#This Row],[VRD / Espaces verts]]+Tableau6[[#This Row],[TRAVAUX BATIS]])/Tableau6[[#This Row],[N]]</f>
        <v>#DIV/0!</v>
      </c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80"/>
      <c r="BU35" s="80"/>
      <c r="BV35" s="80" t="e">
        <f>Tableau6[[#This Row],[TOTAL TRAVAUX]]+Tableau6[[#This Row],[HONORAIRES]]+Tableau6[[#This Row],[AUTRES FRAIS]]</f>
        <v>#DIV/0!</v>
      </c>
      <c r="BW35" s="94" t="e">
        <f>Tableau6[[#This Row],[TOTAL PRP TTC]]-Tableau6[[#This Row],[PRP TTC ]]</f>
        <v>#DIV/0!</v>
      </c>
    </row>
    <row r="36" spans="1:86" ht="15" customHeight="1">
      <c r="A36" s="120"/>
      <c r="B36" s="95"/>
      <c r="C36" s="95"/>
      <c r="D36" s="61"/>
      <c r="E36" s="62"/>
      <c r="F36" s="96"/>
      <c r="G36" s="95"/>
      <c r="H36" s="96"/>
      <c r="I36" s="96"/>
      <c r="J36" s="97"/>
      <c r="K36" s="98"/>
      <c r="L36" s="99">
        <f>Tableau6[[#This Row],[CREDIT IMPOT ACTUEL]]+Tableau6[[#This Row],[PRETS TOTAUX]]+Tableau6[[#This Row],[LBU ]]+Tableau6[[#This Row],[SUB ETAT]]+Tableau6[[#This Row],[AUTRES SUBVENTIONS]]+Tableau6[[#This Row],[FONDS PROPRES CONSTRUCTION]]</f>
        <v>0</v>
      </c>
      <c r="M36" s="100">
        <f>L36</f>
        <v>0</v>
      </c>
      <c r="N36" s="101">
        <f>Z36+AB36+AE36+AF36</f>
        <v>0</v>
      </c>
      <c r="O36" s="102" t="e">
        <f>L36/#REF!</f>
        <v>#REF!</v>
      </c>
      <c r="P36" s="102" t="e">
        <f>L36/D36</f>
        <v>#DIV/0!</v>
      </c>
      <c r="Q36" s="103"/>
      <c r="R36" s="104"/>
      <c r="S36" s="102" t="e">
        <f>Q36/D36</f>
        <v>#DIV/0!</v>
      </c>
      <c r="T36" s="103">
        <f>U36+Y36+AD36+Tableau6[[#This Row],[PRÊT ACL]]</f>
        <v>0</v>
      </c>
      <c r="U36" s="105">
        <f>V36+W36</f>
        <v>0</v>
      </c>
      <c r="V36" s="121"/>
      <c r="W36" s="121"/>
      <c r="X36" s="106" t="e">
        <f>U36/D36</f>
        <v>#DIV/0!</v>
      </c>
      <c r="Y36" s="105"/>
      <c r="Z36" s="3"/>
      <c r="AA36" s="105"/>
      <c r="AB36" s="105"/>
      <c r="AC36" s="122" t="e">
        <f>Z36/L36</f>
        <v>#DIV/0!</v>
      </c>
      <c r="AD36" s="105"/>
      <c r="AE36" s="105"/>
      <c r="AF36" s="105"/>
      <c r="AG36" s="102"/>
      <c r="AH36" s="102"/>
      <c r="AI36" s="107"/>
      <c r="AJ36" s="107"/>
      <c r="AK36" s="85" t="e">
        <f>(Q36+Z36+AJ36)/D36</f>
        <v>#DIV/0!</v>
      </c>
      <c r="AL36" s="85"/>
      <c r="AM36" s="85" t="e">
        <f>(Q36+Z36+AJ36+AL36)/D36</f>
        <v>#DIV/0!</v>
      </c>
      <c r="AN36" s="84" t="e">
        <f>(Q36+Z36+AJ36+AL36)/(AI36+L36-AO36)</f>
        <v>#DIV/0!</v>
      </c>
      <c r="AO36" s="107"/>
      <c r="AP36" s="107"/>
      <c r="AQ36" s="103"/>
      <c r="AR36" s="108"/>
      <c r="AS36" s="109" t="e">
        <f>AR36/L36</f>
        <v>#DIV/0!</v>
      </c>
      <c r="AT36" s="108">
        <f>L36-AR36</f>
        <v>0</v>
      </c>
      <c r="AU36" s="108" t="e">
        <f ca="1">IF(#REF!&lt;DATEDIF(TODAY(),$AU$1,"M"),AT36,(AT36/#REF!*DATEDIF(TODAY(),$AU$1,"M")))</f>
        <v>#REF!</v>
      </c>
      <c r="AV36" s="109" t="e">
        <f ca="1">(AU36+AR36)/L36</f>
        <v>#REF!</v>
      </c>
      <c r="AW36" s="149"/>
      <c r="AX36" s="108"/>
      <c r="AY36" s="108">
        <f>N36-AX36</f>
        <v>0</v>
      </c>
      <c r="AZ36" s="108" t="e">
        <f>AX36/N36</f>
        <v>#DIV/0!</v>
      </c>
      <c r="BA36" s="108"/>
      <c r="BB36" s="110"/>
      <c r="BC36" s="111"/>
      <c r="BD36" s="110"/>
      <c r="BE36" s="80">
        <f>SUM(Tableau6[[#This Row],[GO]:[CARRELAGE]])</f>
        <v>0</v>
      </c>
      <c r="BF36" s="110" t="e">
        <f>(Tableau6[[#This Row],[VRD / Espaces verts]]+Tableau6[[#This Row],[TRAVAUX BATIS]])/Tableau6[[#This Row],[N]]</f>
        <v>#DIV/0!</v>
      </c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0"/>
      <c r="BU36" s="110"/>
      <c r="BV36" s="80" t="e">
        <f>Tableau6[[#This Row],[TOTAL TRAVAUX]]+Tableau6[[#This Row],[HONORAIRES]]+Tableau6[[#This Row],[AUTRES FRAIS]]</f>
        <v>#DIV/0!</v>
      </c>
      <c r="BW36" s="94" t="e">
        <f>Tableau6[[#This Row],[TOTAL PRP TTC]]-Tableau6[[#This Row],[PRP TTC ]]</f>
        <v>#DIV/0!</v>
      </c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</row>
    <row r="37" spans="1:86" ht="15" customHeight="1">
      <c r="A37" s="132" t="s">
        <v>14</v>
      </c>
      <c r="B37" s="133"/>
      <c r="C37" s="133">
        <f>SUBTOTAL(103,Tableau6[TYPE])</f>
        <v>33</v>
      </c>
      <c r="D37" s="146">
        <f>SUBTOTAL(109,Tableau6[N])</f>
        <v>1185</v>
      </c>
      <c r="E37" s="143">
        <f>SUBTOTAL(109,Tableau6[N hors REHAB])</f>
        <v>0</v>
      </c>
      <c r="F37" s="143">
        <f>SUBTOTAL(109,Tableau6[LLS])</f>
        <v>0</v>
      </c>
      <c r="G37" s="143">
        <f>SUBTOTAL(109,Tableau6[LLTS])</f>
        <v>0</v>
      </c>
      <c r="H37" s="143">
        <f>SUBTOTAL(109,Tableau6[PLS])</f>
        <v>0</v>
      </c>
      <c r="I37" s="143">
        <f>SUBTOTAL(109,Tableau6[REHAB])</f>
        <v>1185</v>
      </c>
      <c r="J37" s="134"/>
      <c r="K37" s="135"/>
      <c r="L37" s="151">
        <f>SUBTOTAL(109,Tableau6[[PRP TTC ]])</f>
        <v>56106296.049999997</v>
      </c>
      <c r="M37" s="138">
        <f>SUBTOTAL(109,Tableau6[PRP TTC AVEC FRAFU])</f>
        <v>26102337.009999998</v>
      </c>
      <c r="N37" s="139">
        <f>SUBTOTAL(109,Tableau6[SUBVENTIONS TOTALES])</f>
        <v>8632141.5599999987</v>
      </c>
      <c r="O37" s="133"/>
      <c r="P37" s="133"/>
      <c r="Q37" s="138">
        <f>SUBTOTAL(109,Tableau6[CREDIT IMPOT ACTUEL])</f>
        <v>3951603.5700000003</v>
      </c>
      <c r="R37" s="140">
        <f>SUBTOTAL(109,Tableau6[PRÊT CREDIT D''IMPOT (PM)])</f>
        <v>0</v>
      </c>
      <c r="S37" s="133"/>
      <c r="T37" s="138">
        <f>SUBTOTAL(109,Tableau6[PRETS TOTAUX])</f>
        <v>30872550.919999998</v>
      </c>
      <c r="U37" s="138">
        <f>SUBTOTAL(109,Tableau6[[PRÊT ]])</f>
        <v>22398107.920000002</v>
      </c>
      <c r="V37" s="138">
        <f>SUBTOTAL(109,Tableau6[FONCIER2])</f>
        <v>0</v>
      </c>
      <c r="W37" s="138">
        <f>SUBTOTAL(109,Tableau6[CONSTRUCTION])</f>
        <v>0</v>
      </c>
      <c r="X37" s="142"/>
      <c r="Y37" s="138">
        <f>SUBTOTAL(109,Tableau6[PRÊT COMPLEMENTAIRE BOOSTER])</f>
        <v>2874443</v>
      </c>
      <c r="Z37" s="138">
        <f>SUBTOTAL(109,Tableau6[[LBU ]])</f>
        <v>7646811.6699999999</v>
      </c>
      <c r="AA37" s="138">
        <f>SUBTOTAL(109,Tableau6[PRÊT ACL])</f>
        <v>2600000</v>
      </c>
      <c r="AB37" s="138">
        <f>SUBTOTAL(109,Tableau6[CAF])</f>
        <v>0</v>
      </c>
      <c r="AC37" s="136"/>
      <c r="AD37" s="138">
        <f>SUBTOTAL(109,Tableau6[PHB 2.0 ])</f>
        <v>3000000</v>
      </c>
      <c r="AE37" s="138">
        <f>SUBTOTAL(109,Tableau6[SUB ETAT])</f>
        <v>0</v>
      </c>
      <c r="AF37" s="138">
        <f>SUBTOTAL(109,Tableau6[AUTRES SUBVENTIONS])</f>
        <v>985329.89</v>
      </c>
      <c r="AG37" s="133"/>
      <c r="AH37" s="133"/>
      <c r="AI37" s="138">
        <f>SUBTOTAL(109,Tableau6[PRP FRAFU hors TVA résiduelle])</f>
        <v>0</v>
      </c>
      <c r="AJ37" s="138">
        <f>SUBTOTAL(109,Tableau6[FRAFU])</f>
        <v>0</v>
      </c>
      <c r="AK37" s="138"/>
      <c r="AL37" s="138">
        <f>SUBTOTAL(109,Tableau6[SUBVENTION COLLECTIVITE FRAFU])</f>
        <v>0</v>
      </c>
      <c r="AM37" s="138" t="e">
        <f>SUBTOTAL(109,Tableau6[AIDES PUBLIQUES / lgt])</f>
        <v>#DIV/0!</v>
      </c>
      <c r="AN37" s="142"/>
      <c r="AO37" s="138">
        <f>SUBTOTAL(109,Tableau6[CESSION FONCIERE])</f>
        <v>0</v>
      </c>
      <c r="AP37" s="138">
        <f>SUBTOTAL(109,Tableau6[FONDS PROPRES FRAFU])</f>
        <v>0</v>
      </c>
      <c r="AQ37" s="138">
        <f>SUBTOTAL(109,Tableau6[FONDS PROPRES CONSTRUCTION])</f>
        <v>0</v>
      </c>
      <c r="AR37" s="138">
        <f>SUBTOTAL(109,Tableau6[DEPENSES COMPTABILISEES])</f>
        <v>4528111.1944199996</v>
      </c>
      <c r="AS37" s="142"/>
      <c r="AT37" s="138">
        <f>SUBTOTAL(109,Tableau6[RESTE A DEPENSER])</f>
        <v>39084272.845579997</v>
      </c>
      <c r="AU37" s="133"/>
      <c r="AV37" s="142"/>
      <c r="AW37" s="144">
        <f>SUBTOTAL(109,Tableau6[PRETS COMPTABILISES])</f>
        <v>0</v>
      </c>
      <c r="AX37" s="138">
        <f>SUBTOTAL(109,Tableau6[SUBVENTIONS COMPTABILISEES])</f>
        <v>0</v>
      </c>
      <c r="AY37" s="138">
        <f>SUBTOTAL(109,Tableau6[SUBVENTIONS RESTANTES])</f>
        <v>6064502.1099999994</v>
      </c>
      <c r="AZ37" s="133"/>
      <c r="BA37" s="133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45">
        <f>SUBTOTAL(109,Tableau6[ECS])</f>
        <v>0</v>
      </c>
      <c r="BP37" s="136"/>
      <c r="BQ37" s="136"/>
      <c r="BR37" s="136"/>
      <c r="BS37" s="136"/>
      <c r="BT37" s="136"/>
      <c r="BU37" s="136"/>
      <c r="BV37" s="136"/>
      <c r="BW37" s="137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</row>
    <row r="38" spans="1:86" ht="15" customHeight="1">
      <c r="C38" s="24"/>
      <c r="D38" s="119"/>
      <c r="E38" s="8"/>
      <c r="J38" s="49"/>
      <c r="L38" s="114"/>
      <c r="N38" s="8">
        <f>Tableau6[[#Totals],[SUBVENTIONS TOTALES]]/Tableau6[[#Totals],[PRP TTC ]]</f>
        <v>0.15385334922674868</v>
      </c>
      <c r="O38" s="8">
        <f>Tableau6[[#Totals],[PRP /m² SF]]/Tableau6[[#Totals],[PRP TTC AVEC FRAFU]]</f>
        <v>0</v>
      </c>
      <c r="P38" s="8">
        <f>Tableau6[[#Totals],[PRP / lgt]]/Tableau6[[#Totals],[SUBVENTIONS TOTALES]]</f>
        <v>0</v>
      </c>
      <c r="Q38" s="8">
        <f>Tableau6[[#Totals],[CREDIT IMPOT ACTUEL]]/Tableau6[[#Totals],[PRP TTC ]]</f>
        <v>7.043066194350929E-2</v>
      </c>
      <c r="R38" s="8"/>
      <c r="S38" s="8">
        <f>Tableau6[[#Totals],[DEFISC / lgt]]/Tableau6[[#Totals],[CREDIT IMPOT ACTUEL]]</f>
        <v>0</v>
      </c>
      <c r="T38" s="8">
        <f>Tableau6[[#Totals],[PRETS TOTAUX]]/Tableau6[[#Totals],[PRP TTC ]]</f>
        <v>0.55025109646317494</v>
      </c>
      <c r="U38"/>
      <c r="V38"/>
      <c r="W38"/>
      <c r="X38"/>
      <c r="Y38" s="23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</row>
    <row r="39" spans="1:86" ht="15" customHeight="1">
      <c r="C39" s="24">
        <f>BO37/Tableau6[[#Totals],[N]]</f>
        <v>0</v>
      </c>
      <c r="D39" s="126"/>
      <c r="E39" s="86"/>
      <c r="F39" s="86"/>
      <c r="G39" s="86"/>
      <c r="H39" s="86"/>
      <c r="I39" s="86"/>
      <c r="J39" s="127"/>
      <c r="T39"/>
      <c r="U39"/>
      <c r="V39"/>
      <c r="W39"/>
      <c r="X39"/>
      <c r="Y39" s="23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86" ht="15" customHeight="1">
      <c r="C40" s="24"/>
      <c r="D40" s="126"/>
      <c r="E40" s="8"/>
      <c r="F40" s="58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BU40" s="65"/>
    </row>
    <row r="41" spans="1:86" customFormat="1" ht="15" customHeight="1"/>
    <row r="42" spans="1:86" customFormat="1" ht="15" customHeight="1"/>
    <row r="43" spans="1:86" customFormat="1" ht="15" customHeight="1"/>
    <row r="44" spans="1:86" customFormat="1" ht="15" customHeight="1"/>
    <row r="45" spans="1:86" customFormat="1" ht="15" customHeight="1"/>
    <row r="46" spans="1:86" customFormat="1" ht="15" customHeight="1"/>
    <row r="47" spans="1:86" customFormat="1" ht="15" customHeight="1"/>
    <row r="48" spans="1:86" customFormat="1" ht="15" customHeight="1"/>
    <row r="49" customFormat="1" ht="15" customHeight="1"/>
    <row r="50" customFormat="1" ht="15" customHeight="1"/>
    <row r="51" customFormat="1" ht="15" customHeight="1"/>
    <row r="52" customFormat="1" ht="15" customHeight="1"/>
    <row r="53" customFormat="1" ht="15" customHeight="1"/>
    <row r="54" customFormat="1" ht="15" customHeight="1"/>
    <row r="55" customFormat="1" ht="15" customHeight="1"/>
    <row r="56" customFormat="1" ht="15" customHeight="1"/>
    <row r="57" customFormat="1" ht="15" customHeight="1"/>
    <row r="58" customFormat="1" ht="15" customHeight="1"/>
    <row r="59" customFormat="1" ht="15" customHeight="1"/>
    <row r="60" customFormat="1" ht="15" customHeight="1"/>
    <row r="61" customFormat="1" ht="15" customHeight="1"/>
    <row r="62" customFormat="1" ht="15" customHeight="1"/>
    <row r="63" customFormat="1" ht="15" customHeight="1"/>
    <row r="64" customFormat="1" ht="15" customHeight="1"/>
    <row r="65" customFormat="1" ht="15" customHeight="1"/>
    <row r="66" customFormat="1" ht="15" customHeight="1"/>
    <row r="67" customFormat="1" ht="15" customHeight="1"/>
    <row r="68" customFormat="1" ht="15" customHeight="1"/>
    <row r="69" customFormat="1" ht="15" customHeight="1"/>
    <row r="70" customFormat="1" ht="15" customHeight="1"/>
    <row r="71" customFormat="1" ht="15" customHeight="1"/>
    <row r="72" customFormat="1" ht="15" customHeight="1"/>
    <row r="73" customFormat="1" ht="15" customHeight="1"/>
    <row r="74" customFormat="1" ht="15" customHeight="1"/>
    <row r="75" customFormat="1" ht="15" customHeight="1"/>
    <row r="76" customFormat="1" ht="15" customHeight="1"/>
    <row r="77" customFormat="1" ht="15" customHeight="1"/>
    <row r="78" customFormat="1" ht="15" customHeight="1"/>
    <row r="79" customFormat="1" ht="15" customHeight="1"/>
    <row r="80" customFormat="1" ht="15" customHeight="1"/>
    <row r="81" customFormat="1" ht="15" customHeight="1"/>
    <row r="82" customFormat="1" ht="15" customHeight="1"/>
    <row r="83" customFormat="1" ht="15" customHeight="1"/>
    <row r="84" customFormat="1" ht="15" customHeight="1"/>
    <row r="85" customFormat="1" ht="15" customHeight="1"/>
    <row r="86" customFormat="1" ht="15" customHeight="1"/>
    <row r="87" customFormat="1" ht="15" customHeight="1"/>
    <row r="88" customFormat="1" ht="15" customHeight="1"/>
    <row r="89" customFormat="1" ht="15" customHeight="1"/>
    <row r="90" customFormat="1" ht="15" customHeight="1"/>
    <row r="91" customFormat="1" ht="15" customHeight="1"/>
    <row r="92" customFormat="1" ht="15" customHeight="1"/>
    <row r="93" customFormat="1" ht="15" customHeight="1"/>
    <row r="94" customFormat="1" ht="15" customHeight="1"/>
    <row r="95" customFormat="1" ht="15" customHeight="1"/>
    <row r="96" customFormat="1" ht="15" customHeight="1"/>
    <row r="97" customFormat="1" ht="15" customHeight="1"/>
    <row r="98" customFormat="1" ht="15" customHeight="1"/>
    <row r="99" customFormat="1" ht="15" customHeight="1"/>
    <row r="100" customFormat="1" ht="15" customHeight="1"/>
    <row r="101" customFormat="1" ht="15" customHeight="1"/>
    <row r="102" customFormat="1" ht="15" customHeight="1"/>
    <row r="103" customFormat="1" ht="15" customHeight="1"/>
    <row r="104" customFormat="1" ht="15" customHeight="1"/>
    <row r="105" customFormat="1" ht="15" customHeight="1"/>
    <row r="106" customFormat="1" ht="15" customHeight="1"/>
    <row r="107" customFormat="1" ht="15" customHeight="1"/>
    <row r="108" customFormat="1" ht="15" customHeight="1"/>
    <row r="109" customFormat="1" ht="15" customHeight="1"/>
    <row r="110" customFormat="1" ht="15" customHeight="1"/>
    <row r="111" customFormat="1" ht="15" customHeight="1"/>
    <row r="112" customFormat="1" ht="15" customHeight="1"/>
    <row r="113" customFormat="1" ht="15" customHeight="1"/>
    <row r="114" customFormat="1" ht="15" customHeight="1"/>
    <row r="115" customFormat="1" ht="15" customHeight="1"/>
    <row r="116" customFormat="1" ht="15" customHeight="1"/>
    <row r="117" customFormat="1" ht="15" customHeight="1"/>
    <row r="118" customFormat="1" ht="15" customHeight="1"/>
    <row r="119" customFormat="1" ht="15" customHeight="1"/>
    <row r="120" customFormat="1" ht="15" customHeight="1"/>
    <row r="121" customFormat="1" ht="15" customHeight="1"/>
    <row r="122" customFormat="1" ht="15" customHeight="1"/>
    <row r="123" customFormat="1" ht="15" customHeight="1"/>
    <row r="124" customFormat="1" ht="15" customHeight="1"/>
    <row r="125" customFormat="1" ht="15" customHeight="1"/>
    <row r="126" customFormat="1" ht="15" customHeight="1"/>
    <row r="127" customFormat="1" ht="15" customHeight="1"/>
    <row r="128" customFormat="1" ht="15" customHeight="1"/>
    <row r="129" customFormat="1" ht="15" customHeight="1"/>
    <row r="130" customFormat="1" ht="15" customHeight="1"/>
    <row r="131" customFormat="1" ht="15" customHeight="1"/>
    <row r="132" customFormat="1" ht="15" customHeight="1"/>
    <row r="133" customFormat="1" ht="15" customHeight="1"/>
    <row r="134" customFormat="1" ht="15" customHeight="1"/>
    <row r="135" customFormat="1" ht="15" customHeight="1"/>
    <row r="136" customFormat="1" ht="15" customHeight="1"/>
    <row r="137" customFormat="1" ht="15" customHeight="1"/>
    <row r="138" customFormat="1" ht="15" customHeight="1"/>
    <row r="139" customFormat="1" ht="15" customHeight="1"/>
    <row r="140" customFormat="1" ht="15" customHeight="1"/>
    <row r="141" customFormat="1" ht="15" customHeight="1"/>
    <row r="142" customFormat="1" ht="15" customHeight="1"/>
    <row r="143" customFormat="1" ht="15" customHeight="1"/>
    <row r="144" customFormat="1" ht="15" customHeight="1"/>
    <row r="145" customFormat="1" ht="15" customHeight="1"/>
    <row r="146" customFormat="1" ht="15" customHeight="1"/>
    <row r="147" customFormat="1" ht="15" customHeight="1"/>
    <row r="148" customFormat="1" ht="15" customHeight="1"/>
    <row r="149" customFormat="1" ht="15" customHeight="1"/>
    <row r="150" customFormat="1" ht="15" customHeight="1"/>
    <row r="151" customFormat="1" ht="15" customHeight="1"/>
    <row r="152" customFormat="1" ht="15" customHeight="1"/>
    <row r="153" customFormat="1" ht="15" customHeight="1"/>
    <row r="154" customFormat="1" ht="15" customHeight="1"/>
    <row r="155" customFormat="1" ht="15" customHeight="1"/>
    <row r="156" customFormat="1" ht="15" customHeight="1"/>
    <row r="157" customFormat="1" ht="15" customHeight="1"/>
    <row r="158" customFormat="1" ht="15" customHeight="1"/>
    <row r="159" customFormat="1" ht="15" customHeight="1"/>
    <row r="160" customFormat="1" ht="15" customHeight="1"/>
    <row r="161" customFormat="1" ht="15" customHeight="1"/>
    <row r="162" customFormat="1" ht="15" customHeight="1"/>
    <row r="163" customFormat="1" ht="15" customHeight="1"/>
    <row r="164" customFormat="1" ht="15" customHeight="1"/>
    <row r="165" customFormat="1" ht="15" customHeight="1"/>
    <row r="166" customFormat="1" ht="15" customHeight="1"/>
    <row r="167" customFormat="1" ht="15" customHeight="1"/>
    <row r="168" customFormat="1" ht="15" customHeight="1"/>
    <row r="169" customFormat="1" ht="15" customHeight="1"/>
    <row r="170" customFormat="1" ht="15" customHeight="1"/>
    <row r="171" customFormat="1" ht="15" customHeight="1"/>
    <row r="172" customFormat="1" ht="15" customHeight="1"/>
    <row r="173" customFormat="1" ht="15" customHeight="1"/>
  </sheetData>
  <dataConsolidate>
    <dataRefs count="1">
      <dataRef ref="AL167:AM185" sheet="Données initiales"/>
    </dataRefs>
  </dataConsolidate>
  <phoneticPr fontId="18" type="noConversion"/>
  <dataValidations count="1">
    <dataValidation type="list" allowBlank="1" showInputMessage="1" showErrorMessage="1" sqref="C23:C31 C33:C36 C2:C21" xr:uid="{00000000-0002-0000-0200-000006000000}">
      <formula1>"LLS,LLTS,PLS,Rehab"</formula1>
    </dataValidation>
  </dataValidations>
  <pageMargins left="0.27559055118110237" right="0.27559055118110237" top="0.74803149606299213" bottom="0.74803149606299213" header="0.31496062992125984" footer="0.31496062992125984"/>
  <pageSetup paperSize="9" scale="10" orientation="landscape" r:id="rId1"/>
  <headerFooter>
    <oddFooter>Préparé par NBL &amp;D&amp;RPage &amp;P</oddFooter>
  </headerFooter>
  <colBreaks count="2" manualBreakCount="2">
    <brk id="4" max="264" man="1"/>
    <brk id="31" max="1048575" man="1"/>
  </col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99FF"/>
  </sheetPr>
  <dimension ref="A1:E73"/>
  <sheetViews>
    <sheetView tabSelected="1" topLeftCell="A52" workbookViewId="0">
      <selection activeCell="C71" sqref="C71"/>
    </sheetView>
  </sheetViews>
  <sheetFormatPr baseColWidth="10" defaultRowHeight="14.4"/>
  <cols>
    <col min="1" max="1" width="28.44140625" bestFit="1" customWidth="1"/>
    <col min="2" max="2" width="20.21875" customWidth="1"/>
    <col min="3" max="3" width="14.77734375" customWidth="1"/>
    <col min="4" max="4" width="15.44140625" customWidth="1"/>
    <col min="5" max="5" width="11.88671875" bestFit="1" customWidth="1"/>
    <col min="6" max="21" width="24.77734375" bestFit="1" customWidth="1"/>
    <col min="22" max="22" width="29.5546875" bestFit="1" customWidth="1"/>
    <col min="23" max="23" width="26.6640625" bestFit="1" customWidth="1"/>
    <col min="24" max="24" width="35" bestFit="1" customWidth="1"/>
    <col min="25" max="25" width="32.109375" bestFit="1" customWidth="1"/>
    <col min="26" max="27" width="24.77734375" bestFit="1" customWidth="1"/>
    <col min="28" max="28" width="35" bestFit="1" customWidth="1"/>
    <col min="29" max="29" width="32.109375" bestFit="1" customWidth="1"/>
    <col min="30" max="31" width="24.77734375" bestFit="1" customWidth="1"/>
    <col min="32" max="32" width="35" bestFit="1" customWidth="1"/>
    <col min="33" max="33" width="32.109375" bestFit="1" customWidth="1"/>
    <col min="34" max="35" width="24.77734375" bestFit="1" customWidth="1"/>
    <col min="36" max="36" width="35" bestFit="1" customWidth="1"/>
    <col min="37" max="37" width="32.109375" bestFit="1" customWidth="1"/>
    <col min="38" max="39" width="24.77734375" bestFit="1" customWidth="1"/>
    <col min="40" max="40" width="35" bestFit="1" customWidth="1"/>
    <col min="41" max="41" width="32.109375" bestFit="1" customWidth="1"/>
    <col min="42" max="42" width="29.5546875" bestFit="1" customWidth="1"/>
    <col min="43" max="43" width="26.6640625" bestFit="1" customWidth="1"/>
  </cols>
  <sheetData>
    <row r="1" spans="1:5">
      <c r="A1" s="1" t="s">
        <v>19</v>
      </c>
      <c r="B1" t="s">
        <v>39</v>
      </c>
    </row>
    <row r="2" spans="1:5">
      <c r="A2" s="78" t="s">
        <v>68</v>
      </c>
      <c r="B2" s="78"/>
      <c r="C2" s="78"/>
      <c r="D2" s="78"/>
      <c r="E2" s="78"/>
    </row>
    <row r="3" spans="1:5">
      <c r="A3" s="1" t="s">
        <v>7</v>
      </c>
      <c r="B3" t="s">
        <v>9</v>
      </c>
    </row>
    <row r="4" spans="1:5">
      <c r="A4" s="2">
        <v>2017</v>
      </c>
      <c r="B4" s="7">
        <v>192</v>
      </c>
    </row>
    <row r="5" spans="1:5">
      <c r="A5" s="2">
        <v>2018</v>
      </c>
      <c r="B5" s="7">
        <v>215</v>
      </c>
    </row>
    <row r="6" spans="1:5">
      <c r="A6" s="2">
        <v>2020</v>
      </c>
      <c r="B6" s="7">
        <v>243</v>
      </c>
    </row>
    <row r="7" spans="1:5">
      <c r="A7" s="2">
        <v>2021</v>
      </c>
      <c r="B7" s="7">
        <v>258</v>
      </c>
    </row>
    <row r="8" spans="1:5">
      <c r="A8" s="2">
        <v>2022</v>
      </c>
      <c r="B8" s="7">
        <v>130</v>
      </c>
    </row>
    <row r="9" spans="1:5">
      <c r="A9" s="2">
        <v>2023</v>
      </c>
      <c r="B9" s="7">
        <v>147</v>
      </c>
    </row>
    <row r="10" spans="1:5">
      <c r="A10" s="2" t="s">
        <v>8</v>
      </c>
      <c r="B10" s="7">
        <v>1185</v>
      </c>
    </row>
    <row r="21" spans="1:4">
      <c r="A21" t="s">
        <v>52</v>
      </c>
      <c r="B21" t="s">
        <v>15</v>
      </c>
      <c r="C21" t="s">
        <v>16</v>
      </c>
      <c r="D21" t="s">
        <v>8</v>
      </c>
    </row>
    <row r="22" spans="1:4">
      <c r="A22">
        <v>2017</v>
      </c>
      <c r="B22">
        <v>161</v>
      </c>
      <c r="C22">
        <v>31</v>
      </c>
      <c r="D22">
        <v>192</v>
      </c>
    </row>
    <row r="23" spans="1:4">
      <c r="A23">
        <v>2018</v>
      </c>
      <c r="B23">
        <v>215</v>
      </c>
      <c r="D23">
        <v>215</v>
      </c>
    </row>
    <row r="24" spans="1:4">
      <c r="A24">
        <v>2020</v>
      </c>
      <c r="B24">
        <v>243</v>
      </c>
      <c r="D24">
        <v>243</v>
      </c>
    </row>
    <row r="25" spans="1:4">
      <c r="A25">
        <v>2021</v>
      </c>
      <c r="B25">
        <v>219</v>
      </c>
      <c r="C25">
        <v>39</v>
      </c>
      <c r="D25">
        <v>258</v>
      </c>
    </row>
    <row r="26" spans="1:4">
      <c r="A26">
        <v>2022</v>
      </c>
      <c r="B26">
        <v>192</v>
      </c>
      <c r="D26">
        <v>192</v>
      </c>
    </row>
    <row r="35" spans="1:5">
      <c r="A35" s="1" t="s">
        <v>19</v>
      </c>
      <c r="B35" t="s">
        <v>39</v>
      </c>
    </row>
    <row r="37" spans="1:5">
      <c r="B37" s="1" t="s">
        <v>10</v>
      </c>
    </row>
    <row r="38" spans="1:5">
      <c r="B38">
        <v>2018</v>
      </c>
      <c r="C38">
        <v>2019</v>
      </c>
      <c r="D38">
        <v>2020</v>
      </c>
      <c r="E38" t="s">
        <v>8</v>
      </c>
    </row>
    <row r="39" spans="1:5">
      <c r="A39" t="s">
        <v>107</v>
      </c>
      <c r="B39" s="6">
        <v>9860412.0899999999</v>
      </c>
      <c r="C39" s="6">
        <v>6089483.5600000005</v>
      </c>
      <c r="D39" s="6">
        <v>1325066.52</v>
      </c>
      <c r="E39" s="6">
        <v>17274962.170000002</v>
      </c>
    </row>
    <row r="42" spans="1:5">
      <c r="A42" s="1" t="s">
        <v>19</v>
      </c>
      <c r="B42" t="s">
        <v>39</v>
      </c>
    </row>
    <row r="44" spans="1:5">
      <c r="B44" s="1" t="s">
        <v>10</v>
      </c>
    </row>
    <row r="45" spans="1:5">
      <c r="B45">
        <v>2018</v>
      </c>
      <c r="C45">
        <v>2019</v>
      </c>
      <c r="D45">
        <v>2020</v>
      </c>
      <c r="E45" t="s">
        <v>8</v>
      </c>
    </row>
    <row r="46" spans="1:5">
      <c r="A46" t="s">
        <v>55</v>
      </c>
      <c r="B46" s="6">
        <v>1420522.8</v>
      </c>
      <c r="C46" s="6">
        <v>992622.58</v>
      </c>
      <c r="D46" s="6">
        <v>232391.84</v>
      </c>
      <c r="E46" s="6">
        <v>2645537.2199999997</v>
      </c>
    </row>
    <row r="49" spans="1:5" ht="18">
      <c r="A49" s="155" t="s">
        <v>85</v>
      </c>
      <c r="B49" s="155"/>
      <c r="C49" s="155"/>
      <c r="D49" s="155"/>
      <c r="E49" s="155"/>
    </row>
    <row r="50" spans="1:5" ht="18">
      <c r="A50" s="155" t="s">
        <v>128</v>
      </c>
      <c r="B50" s="155"/>
      <c r="C50" s="155"/>
      <c r="D50" s="155"/>
      <c r="E50" s="155"/>
    </row>
    <row r="51" spans="1:5">
      <c r="A51" s="1" t="s">
        <v>19</v>
      </c>
      <c r="B51" t="s">
        <v>39</v>
      </c>
    </row>
    <row r="53" spans="1:5">
      <c r="B53" s="1" t="s">
        <v>54</v>
      </c>
    </row>
    <row r="54" spans="1:5">
      <c r="A54" s="1" t="s">
        <v>122</v>
      </c>
      <c r="B54" s="77">
        <v>2018</v>
      </c>
      <c r="C54" s="77">
        <v>2019</v>
      </c>
      <c r="D54" s="77">
        <v>2020</v>
      </c>
      <c r="E54" s="77" t="s">
        <v>8</v>
      </c>
    </row>
    <row r="55" spans="1:5" s="11" customFormat="1">
      <c r="A55" s="11" t="s">
        <v>129</v>
      </c>
      <c r="B55" s="115">
        <v>6</v>
      </c>
      <c r="C55" s="115">
        <v>3</v>
      </c>
      <c r="D55" s="115">
        <v>1</v>
      </c>
      <c r="E55" s="115">
        <v>10</v>
      </c>
    </row>
    <row r="56" spans="1:5">
      <c r="A56" s="11" t="s">
        <v>127</v>
      </c>
      <c r="B56" s="115">
        <v>192</v>
      </c>
      <c r="C56" s="115">
        <v>185</v>
      </c>
      <c r="D56" s="115">
        <v>30</v>
      </c>
      <c r="E56" s="115">
        <v>407</v>
      </c>
    </row>
    <row r="57" spans="1:5">
      <c r="A57" s="11" t="s">
        <v>123</v>
      </c>
      <c r="B57" s="115">
        <v>9860412.0899999999</v>
      </c>
      <c r="C57" s="115">
        <v>6089483.5600000005</v>
      </c>
      <c r="D57" s="115">
        <v>1325066.52</v>
      </c>
      <c r="E57" s="115">
        <v>17274962.170000002</v>
      </c>
    </row>
    <row r="58" spans="1:5">
      <c r="A58" s="38" t="s">
        <v>124</v>
      </c>
      <c r="B58" s="154">
        <v>7853234.69893</v>
      </c>
      <c r="C58" s="154">
        <v>4914279.2</v>
      </c>
      <c r="D58" s="154">
        <v>1042048.02</v>
      </c>
      <c r="E58" s="154">
        <v>13809561.918929998</v>
      </c>
    </row>
    <row r="59" spans="1:5">
      <c r="A59" s="38" t="s">
        <v>125</v>
      </c>
      <c r="B59" s="154">
        <v>2007177.4139380946</v>
      </c>
      <c r="C59" s="154">
        <v>1175204.4242038052</v>
      </c>
      <c r="D59" s="154">
        <v>283019.42289999983</v>
      </c>
      <c r="E59" s="154">
        <v>3465401.2610418992</v>
      </c>
    </row>
    <row r="60" spans="1:5">
      <c r="A60" s="11" t="s">
        <v>126</v>
      </c>
      <c r="B60" s="115">
        <v>1420522.8</v>
      </c>
      <c r="C60" s="115">
        <v>992622.58</v>
      </c>
      <c r="D60" s="115">
        <v>232391.84</v>
      </c>
      <c r="E60" s="115">
        <v>2645537.2199999997</v>
      </c>
    </row>
    <row r="63" spans="1:5">
      <c r="A63" s="1" t="s">
        <v>19</v>
      </c>
      <c r="B63" t="s">
        <v>39</v>
      </c>
    </row>
    <row r="65" spans="1:5">
      <c r="B65" s="1" t="s">
        <v>54</v>
      </c>
    </row>
    <row r="66" spans="1:5">
      <c r="A66" s="1" t="s">
        <v>122</v>
      </c>
      <c r="B66" s="77">
        <v>2018</v>
      </c>
      <c r="C66" s="77">
        <v>2019</v>
      </c>
      <c r="D66" s="77">
        <v>2020</v>
      </c>
      <c r="E66" s="77" t="s">
        <v>8</v>
      </c>
    </row>
    <row r="67" spans="1:5">
      <c r="A67" t="s">
        <v>134</v>
      </c>
      <c r="B67" s="157">
        <v>0.79644082085518597</v>
      </c>
      <c r="C67" s="157">
        <v>0.80701083295148923</v>
      </c>
      <c r="D67" s="157">
        <v>0.78641185500634336</v>
      </c>
      <c r="E67" s="157">
        <v>0.79939752012377319</v>
      </c>
    </row>
    <row r="68" spans="1:5">
      <c r="A68" t="s">
        <v>136</v>
      </c>
      <c r="B68" s="157">
        <v>0.20355918146399646</v>
      </c>
      <c r="C68" s="157">
        <v>0.19298917759190157</v>
      </c>
      <c r="D68" s="157">
        <v>0.21358884148699178</v>
      </c>
      <c r="E68" s="157">
        <v>0.2006025383407192</v>
      </c>
    </row>
    <row r="69" spans="1:5">
      <c r="A69" t="s">
        <v>135</v>
      </c>
      <c r="B69" s="157">
        <v>0.14406322849738018</v>
      </c>
      <c r="C69" s="157">
        <v>0.16300603659072854</v>
      </c>
      <c r="D69" s="157">
        <v>0.17538126312330343</v>
      </c>
      <c r="E69" s="157">
        <v>0.15314286618782214</v>
      </c>
    </row>
    <row r="70" spans="1:5">
      <c r="A70" s="11" t="s">
        <v>133</v>
      </c>
      <c r="B70" s="156">
        <v>7398.5562500000005</v>
      </c>
      <c r="C70" s="156">
        <v>5365.5274594594594</v>
      </c>
      <c r="D70" s="156">
        <v>7746.3946666666661</v>
      </c>
      <c r="E70" s="156">
        <v>6500.091449631449</v>
      </c>
    </row>
    <row r="71" spans="1:5">
      <c r="A71" t="s">
        <v>130</v>
      </c>
      <c r="B71" s="30">
        <v>40902.264056927081</v>
      </c>
      <c r="C71" s="30">
        <v>26563.671351351353</v>
      </c>
      <c r="D71" s="30">
        <v>34734.934000000001</v>
      </c>
      <c r="E71" s="30">
        <v>33930.127564938572</v>
      </c>
    </row>
    <row r="72" spans="1:5">
      <c r="A72" t="s">
        <v>131</v>
      </c>
      <c r="B72" s="30">
        <v>10454.049030927576</v>
      </c>
      <c r="C72" s="30">
        <v>6352.456347047595</v>
      </c>
      <c r="D72" s="30">
        <v>9433.9807633333276</v>
      </c>
      <c r="E72" s="30">
        <v>8514.4994128793587</v>
      </c>
    </row>
    <row r="73" spans="1:5">
      <c r="A73" s="11" t="s">
        <v>132</v>
      </c>
      <c r="B73" s="156">
        <v>51356.312968749997</v>
      </c>
      <c r="C73" s="156">
        <v>32916.127351351352</v>
      </c>
      <c r="D73" s="156">
        <v>44168.883999999998</v>
      </c>
      <c r="E73" s="156">
        <v>42444.6244963145</v>
      </c>
    </row>
  </sheetData>
  <mergeCells count="2">
    <mergeCell ref="A49:E49"/>
    <mergeCell ref="A50:E50"/>
  </mergeCells>
  <pageMargins left="0.7" right="0.7" top="0.75" bottom="0.75" header="0.3" footer="0.3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B0D78-828A-4A29-9FE5-4E141848D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initiales</vt:lpstr>
      <vt:lpstr>STAT REHAB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2021-09-13T04:26:06Z</cp:lastPrinted>
  <dcterms:created xsi:type="dcterms:W3CDTF">2012-11-19T18:43:46Z</dcterms:created>
  <dcterms:modified xsi:type="dcterms:W3CDTF">2021-09-18T07:20:16Z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