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CD0181CD-8B1F-469D-A49B-7C91CAA4FF90}" xr6:coauthVersionLast="45" xr6:coauthVersionMax="45" xr10:uidLastSave="{00000000-0000-0000-0000-000000000000}"/>
  <bookViews>
    <workbookView xWindow="-108" yWindow="-108" windowWidth="30936" windowHeight="16896" tabRatio="490" xr2:uid="{00000000-000D-0000-FFFF-FFFF00000000}"/>
  </bookViews>
  <sheets>
    <sheet name="Prév Hono Construction 2020" sheetId="10" r:id="rId1"/>
    <sheet name="Listes" sheetId="20" r:id="rId2"/>
  </sheets>
  <externalReferences>
    <externalReference r:id="rId3"/>
    <externalReference r:id="rId4"/>
    <externalReference r:id="rId5"/>
  </externalReferences>
  <definedNames>
    <definedName name="_NH2011">#REF!</definedName>
    <definedName name="_NH2012">#REF!</definedName>
    <definedName name="_Rem2010" localSheetId="0">'Prév Hono Construction 2020'!$F$3:$F$6</definedName>
    <definedName name="_RO2010" localSheetId="0">'Prév Hono Construction 2020'!$F$9:$F$11</definedName>
    <definedName name="Am" localSheetId="0">'Prév Hono Construction 2020'!$E$239:$E$251</definedName>
    <definedName name="Annee_Inaug">'[1]Données initiales'!$FL$2:$FL$136</definedName>
    <definedName name="Annee_OS">'[1]Données initiales'!$DY$2:$DY$136</definedName>
    <definedName name="Ass">'[1]Données initiales'!$H$2:$H$136</definedName>
    <definedName name="Avancement">'[1]Données initiales'!$I$2:$I$136</definedName>
    <definedName name="Bdgt" localSheetId="0">'Prév Hono Construction 2020'!$G$129:$G$221</definedName>
    <definedName name="Bdgt">'[1]Données initiales'!$GW$4:$GW$136</definedName>
    <definedName name="Bdgt2010" localSheetId="0">'Prév Hono Construction 2020'!$I$9:$I$11</definedName>
    <definedName name="Bdgt2011" localSheetId="0">'Prév Hono Construction 2020'!$I$13:$I$17</definedName>
    <definedName name="Bdgt2012" localSheetId="0">'Prév Hono Construction 2020'!$I$19:$I$30</definedName>
    <definedName name="Bdgt2013" localSheetId="0">'Prév Hono Construction 2020'!$I$32:$I$41</definedName>
    <definedName name="Bdgt2014" localSheetId="0">'Prév Hono Construction 2020'!$I$43:$I$49</definedName>
    <definedName name="Bdgt2015" localSheetId="0">'Prév Hono Construction 2020'!$I$51:$I$58</definedName>
    <definedName name="Bdgt2016">'Prév Hono Construction 2020'!$I$60:$I$67</definedName>
    <definedName name="Bdgt2017">'Prév Hono Construction 2020'!$I$69:$I$76</definedName>
    <definedName name="Bdgt2018">'Prév Hono Construction 2020'!$I$78:$I$83</definedName>
    <definedName name="Bdgt2019">'Prév Hono Construction 2020'!$I$85:$I$92</definedName>
    <definedName name="Bdgt2020">'Prév Hono Construction 2020'!$I$94:$I$103</definedName>
    <definedName name="Bdgt2021">'Prév Hono Construction 2020'!$I$105:$I$113</definedName>
    <definedName name="Ecart_DEAL_OS">'[1]Données initiales'!$DZ$2:$DZ$136</definedName>
    <definedName name="Fonds_propres">'[1]Données initiales'!$IL$2:$IL$136</definedName>
    <definedName name="LBU">'[1]Données initiales'!$HR$2:$HR$136</definedName>
    <definedName name="Livraison">'[1]Données initiales'!$FK$2:$FK$136</definedName>
    <definedName name="Loyers">'[1]Données initiales'!$FO$2:$FO$136</definedName>
    <definedName name="N_lgt">'Prév Hono Construction 2020'!$E$19:$E$115</definedName>
    <definedName name="Nlgts">'[1]Données initiales'!$AE$2:$AE$136</definedName>
    <definedName name="Nlgts_hors_rehab">'[1]Données initiales'!$AF$2:$AF$136</definedName>
    <definedName name="Notaire">'[1]Données initiales'!$CS$2:$CS$136</definedName>
    <definedName name="OS">'[1]Données initiales'!$DX$2:$DX$136</definedName>
    <definedName name="PA_SAS_HT_PLS">'[2]DPR PLS'!$E$68</definedName>
    <definedName name="Phase" localSheetId="0">'Prév Hono Construction 2020'!$G$32:$G$113</definedName>
    <definedName name="Phase2010" localSheetId="0">'Prév Hono Construction 2020'!$G$9:$G$11</definedName>
    <definedName name="Phase2011" localSheetId="0">'Prév Hono Construction 2020'!$G$13:$G$17</definedName>
    <definedName name="Phase2012" localSheetId="0">'Prév Hono Construction 2020'!$G$19:$G$30</definedName>
    <definedName name="Phase2013" localSheetId="0">'Prév Hono Construction 2020'!$G$32:$G$41</definedName>
    <definedName name="Phase2014" localSheetId="0">'Prév Hono Construction 2020'!$G$43:$G$49</definedName>
    <definedName name="Phase2015" localSheetId="0">'Prév Hono Construction 2020'!$G$51:$G$58</definedName>
    <definedName name="Phase2016">'Prév Hono Construction 2020'!$G$60:$G$67</definedName>
    <definedName name="Phase2017">'Prév Hono Construction 2020'!$G$69:$G$76</definedName>
    <definedName name="Phase2018">'Prév Hono Construction 2020'!$G$78:$G$83</definedName>
    <definedName name="Phase2019">'Prév Hono Construction 2020'!$G$85:$G$92</definedName>
    <definedName name="Phase2020">'Prév Hono Construction 2020'!$G$94:$G$103</definedName>
    <definedName name="Phase2021">'Prév Hono Construction 2020'!$G$105:$G$113</definedName>
    <definedName name="Prog" localSheetId="0">'Prév Hono Construction 2020'!$C$129:$C$221</definedName>
    <definedName name="Prog">'[1]Données initiales'!$E$2:$E$136</definedName>
    <definedName name="Prog2010" localSheetId="0">'Prév Hono Construction 2020'!$E$9:$E$11</definedName>
    <definedName name="Prog2011" localSheetId="0">'Prév Hono Construction 2020'!$E$13:$E$17</definedName>
    <definedName name="Prog2012" localSheetId="0">'Prév Hono Construction 2020'!$E$19:$E$30</definedName>
    <definedName name="Prog2013" localSheetId="0">'Prév Hono Construction 2020'!$E$32:$E$41</definedName>
    <definedName name="Prog2014" localSheetId="0">'Prév Hono Construction 2020'!$E$43:$E$49</definedName>
    <definedName name="Prog2015" localSheetId="0">'Prév Hono Construction 2020'!$E$51:$E$58</definedName>
    <definedName name="Prog2016">'Prév Hono Construction 2020'!$E$60:$E$67</definedName>
    <definedName name="Prog2017" localSheetId="0">'Prév Hono Construction 2020'!$E$69:$E$76</definedName>
    <definedName name="Prog2018">'Prév Hono Construction 2020'!$E$78:$E$83</definedName>
    <definedName name="Prog2019">'Prév Hono Construction 2020'!$E$85:$E$92</definedName>
    <definedName name="Prog2020">'Prév Hono Construction 2020'!$E$94:$E$103</definedName>
    <definedName name="Prog2021">'Prév Hono Construction 2020'!$E$105:$E$113</definedName>
    <definedName name="PRP">'[1]Données initiales'!$GX$2:$GX$136</definedName>
    <definedName name="Px_Foncier">'[1]Données initiales'!$Q$2:$Q$136</definedName>
    <definedName name="Rem" localSheetId="0">'Prév Hono Construction 2020'!$I$129:$I$221</definedName>
    <definedName name="Rem_2009" localSheetId="0">'Prév Hono Construction 2020'!$O$3:$O$7</definedName>
    <definedName name="Rem_2010" localSheetId="0">'Prév Hono Construction 2020'!$K$9:$K$11</definedName>
    <definedName name="Rem_2011" localSheetId="0">'Prév Hono Construction 2020'!$K$13:$K$17</definedName>
    <definedName name="Rem_2012" localSheetId="0">'Prév Hono Construction 2020'!$K$19:$K$30</definedName>
    <definedName name="Rem_2013" localSheetId="0">'Prév Hono Construction 2020'!$K$32:$K$41</definedName>
    <definedName name="Rem_2014" localSheetId="0">'Prév Hono Construction 2020'!$K$43:$K$49</definedName>
    <definedName name="Rem_2015" localSheetId="0">'Prév Hono Construction 2020'!$K$51:$K$58</definedName>
    <definedName name="Rem_2016">'Prév Hono Construction 2020'!$K$60:$K$67</definedName>
    <definedName name="Rem_2017">'Prév Hono Construction 2020'!$K$69:$K$76</definedName>
    <definedName name="Rem_2018">'Prév Hono Construction 2020'!$K$78:$K$83</definedName>
    <definedName name="Rem_2019">'Prév Hono Construction 2020'!$K$85:$K$92</definedName>
    <definedName name="Rem_2020">'Prév Hono Construction 2020'!$K$94:$K$103</definedName>
    <definedName name="Rem_2021">'Prév Hono Construction 2020'!$K$105:$K$113</definedName>
    <definedName name="Rem_Amgt">'Prév Hono Construction 2020'!$I$239:$I$251</definedName>
    <definedName name="Rem2009Preven2015">'Prév Hono Construction 2020'!$AM$3:$AM$7</definedName>
    <definedName name="Rem2010en2012" localSheetId="0">'Prév Hono Construction 2020'!$O$9:$O$11</definedName>
    <definedName name="Rem2010en2013" localSheetId="0">'Prév Hono Construction 2020'!$P$9:$P$11</definedName>
    <definedName name="Rem2010en2014" localSheetId="0">'Prév Hono Construction 2020'!$S$9:$S$11</definedName>
    <definedName name="Rem2010en2015">'Prév Hono Construction 2020'!$V$9:$V$11</definedName>
    <definedName name="Rem2010Preven2015">'Prév Hono Construction 2020'!$AM$9:$AM$11</definedName>
    <definedName name="Rem2011en2012" localSheetId="0">'Prév Hono Construction 2020'!$O$13:$O$17</definedName>
    <definedName name="Rem2011en2013" localSheetId="0">'Prév Hono Construction 2020'!$P$13:$P$17</definedName>
    <definedName name="Rem2011en2014" localSheetId="0">'Prév Hono Construction 2020'!$S$13:$S$17</definedName>
    <definedName name="Rem2011en2015">'Prév Hono Construction 2020'!$V$13:$V$17</definedName>
    <definedName name="Rem2011Preven2015">'Prév Hono Construction 2020'!$AM$13:$AM$17</definedName>
    <definedName name="Rem2012en2012" localSheetId="0">'Prév Hono Construction 2020'!$O$19:$O$30</definedName>
    <definedName name="Rem2012en2013" localSheetId="0">'Prév Hono Construction 2020'!$P$19:$P$30</definedName>
    <definedName name="Rem2012en2014" localSheetId="0">'Prév Hono Construction 2020'!$S$19:$S$30</definedName>
    <definedName name="Rem2012en2015">'Prév Hono Construction 2020'!$V$19:$V$30</definedName>
    <definedName name="Rem2012en2016">'Prév Hono Construction 2020'!$Y$19:$Y$30</definedName>
    <definedName name="Rem2012en2017">'Prév Hono Construction 2020'!$AB$19:$AB$30</definedName>
    <definedName name="Rem2012en2018">'Prév Hono Construction 2020'!$AE$19:$AE$30</definedName>
    <definedName name="Rem2012Preven2018">'Prév Hono Construction 2020'!$AM$19:$AM$30</definedName>
    <definedName name="Rem2013en2012" localSheetId="0">'Prév Hono Construction 2020'!$O$32:$O$41</definedName>
    <definedName name="Rem2013en2013" localSheetId="0">'Prév Hono Construction 2020'!$P$32:$P$41</definedName>
    <definedName name="Rem2013en2014" localSheetId="0">'Prév Hono Construction 2020'!$S$32:$S$41</definedName>
    <definedName name="Rem2013en2015">'Prév Hono Construction 2020'!$V$32:$V$41</definedName>
    <definedName name="Rem2013en2016">'Prév Hono Construction 2020'!$Y$32:$Y$41</definedName>
    <definedName name="Rem2013en2017">'Prév Hono Construction 2020'!$AB$32:$AB$41</definedName>
    <definedName name="Rem2013en2018">'Prév Hono Construction 2020'!$AE$32:$AE$41</definedName>
    <definedName name="Rem2013en2019">'Prév Hono Construction 2020'!$AH$32:$AH$41</definedName>
    <definedName name="Rem2013en2020">'Prév Hono Construction 2020'!$AK$32:$AK$41</definedName>
    <definedName name="Rem2013Preven2018">'[3]Prév Hono Construction 2019'!$AH$32:$AH$41</definedName>
    <definedName name="Rem2013Preven2020">'Prév Hono Construction 2020'!$AM$32:$AM$41</definedName>
    <definedName name="Rem2014en2012" localSheetId="0">'Prév Hono Construction 2020'!$O$49:$O$49</definedName>
    <definedName name="Rem2014en2013" localSheetId="0">'Prév Hono Construction 2020'!$P$49:$P$49</definedName>
    <definedName name="Rem2014en2014" localSheetId="0">'Prév Hono Construction 2020'!$S$43:$S$49</definedName>
    <definedName name="Rem2014en2015">'Prév Hono Construction 2020'!$V$43:$V$49</definedName>
    <definedName name="Rem2014en2016">'Prév Hono Construction 2020'!$Y$43:$Y$49</definedName>
    <definedName name="Rem2014en2017">'Prév Hono Construction 2020'!$AB$43:$AB$49</definedName>
    <definedName name="Rem2014en2018">'Prév Hono Construction 2020'!$AE$43:$AE$49</definedName>
    <definedName name="Rem2014en2019">'Prév Hono Construction 2020'!$AH$43:$AH$49</definedName>
    <definedName name="Rem2014en2020">'Prév Hono Construction 2020'!$AK$43:$AK$49</definedName>
    <definedName name="Rem2014Preven2018">'[3]Prév Hono Construction 2019'!$AH$43:$AH$49</definedName>
    <definedName name="Rem2014Preven2020">'Prév Hono Construction 2020'!$AM$43:$AM$49</definedName>
    <definedName name="Rem2015en2012" localSheetId="0">'Prév Hono Construction 2020'!$O$51:$O$58</definedName>
    <definedName name="Rem2015en2013" localSheetId="0">'Prév Hono Construction 2020'!$P$51:$P$58</definedName>
    <definedName name="Rem2015en2014" localSheetId="0">'Prév Hono Construction 2020'!$S$51:$S$58</definedName>
    <definedName name="Rem2015en2015">'Prév Hono Construction 2020'!$V$51:$V$58</definedName>
    <definedName name="Rem2015en2016">'Prév Hono Construction 2020'!$Y$51:$Y$58</definedName>
    <definedName name="Rem2015en2017">'Prév Hono Construction 2020'!$AB$51:$AB$58</definedName>
    <definedName name="Rem2015en2018">'Prév Hono Construction 2020'!$AE$51:$AE$58</definedName>
    <definedName name="Rem2015en2019">'Prév Hono Construction 2020'!$AH$51:$AH$58</definedName>
    <definedName name="Rem2015en2020">'Prév Hono Construction 2020'!$AK$51:$AK$58</definedName>
    <definedName name="Rem2015Preven2019">'[3]Prév Hono Construction 2019'!$AH$51:$AH$57</definedName>
    <definedName name="Rem2015Preven2020">'Prév Hono Construction 2020'!$AM$51:$AM$58</definedName>
    <definedName name="Rem2016en2012">'Prév Hono Construction 2020'!$O$60:$O$67</definedName>
    <definedName name="Rem2016en2013">'Prév Hono Construction 2020'!$P$60:$P$67</definedName>
    <definedName name="Rem2016en2014">'Prév Hono Construction 2020'!$S$60:$S$67</definedName>
    <definedName name="Rem2016en2015">'Prév Hono Construction 2020'!$V$60:$V$67</definedName>
    <definedName name="Rem2016en2016">'Prév Hono Construction 2020'!$Y$60:$Y$67</definedName>
    <definedName name="Rem2016en2017">'Prév Hono Construction 2020'!$AB$60:$AB$67</definedName>
    <definedName name="Rem2016en2018">'Prév Hono Construction 2020'!$AE$60:$AE$67</definedName>
    <definedName name="Rem2016en2019">'Prév Hono Construction 2020'!$AH$60:$AH$67</definedName>
    <definedName name="Rem2016en2020">'Prév Hono Construction 2020'!$AK$60:$AK$67</definedName>
    <definedName name="Rem2016Preven2019">'[3]Prév Hono Construction 2019'!$AH$59:$AH$66</definedName>
    <definedName name="Rem2016Preven2020">'Prév Hono Construction 2020'!$AM$60:$AM$67</definedName>
    <definedName name="Rem2017en2013">'Prév Hono Construction 2020'!$P$69:$P$76</definedName>
    <definedName name="Rem2017en2014">'Prév Hono Construction 2020'!$S$69:$S$76</definedName>
    <definedName name="Rem2017en2015">'Prév Hono Construction 2020'!$V$69:$V$76</definedName>
    <definedName name="Rem2017en2016">'Prév Hono Construction 2020'!$Y$69:$Y$76</definedName>
    <definedName name="Rem2017en2017">'Prév Hono Construction 2020'!$AB$69:$AB$76</definedName>
    <definedName name="Rem2017en2018">'Prév Hono Construction 2020'!$AE$69:$AE$76</definedName>
    <definedName name="Rem2017en2019">'Prév Hono Construction 2020'!$AH$69:$AH$76</definedName>
    <definedName name="Rem2017en2020">'Prév Hono Construction 2020'!$AK$69:$AK$76</definedName>
    <definedName name="Rem2017Preven2019">'[3]Prév Hono Construction 2019'!$AH$68:$AH$75</definedName>
    <definedName name="Rem2017Preven2020">'Prév Hono Construction 2020'!$AM$69:$AM$76</definedName>
    <definedName name="Rem2018en2016">'Prév Hono Construction 2020'!$Y$78:$Y$83</definedName>
    <definedName name="Rem2018en2017">'Prév Hono Construction 2020'!$AB$78:$AB$83</definedName>
    <definedName name="Rem2018en2018">'Prév Hono Construction 2020'!$AE$78:$AE$83</definedName>
    <definedName name="Rem2018en2019">'Prév Hono Construction 2020'!$AH$78:$AH$83</definedName>
    <definedName name="Rem2018en2020">'Prév Hono Construction 2020'!$AK$78:$AK$83</definedName>
    <definedName name="Rem2018Preven2019">'[3]Prév Hono Construction 2019'!$AH$77:$AH$82</definedName>
    <definedName name="Rem2018Preven2020">'Prév Hono Construction 2020'!$AM$78:$AM$83</definedName>
    <definedName name="Rem2019en2016">'Prév Hono Construction 2020'!$Y$85:$Y$92</definedName>
    <definedName name="Rem2019en2017">'Prév Hono Construction 2020'!$AB$85:$AB$92</definedName>
    <definedName name="Rem2019en2018">'Prév Hono Construction 2020'!$AE$85:$AE$92</definedName>
    <definedName name="Rem2019en2019">'Prév Hono Construction 2020'!$AH$85:$AH$92</definedName>
    <definedName name="Rem2019en2020">'Prév Hono Construction 2020'!$AK$85:$AK$92</definedName>
    <definedName name="Rem2019Preven2019">'[3]Prév Hono Construction 2019'!$AH$84:$AH$91</definedName>
    <definedName name="Rem2019Preven2020">'Prév Hono Construction 2020'!$AM$85:$AM$92</definedName>
    <definedName name="Rem2020en2016">'Prév Hono Construction 2020'!$Y$94:$Y$103</definedName>
    <definedName name="Rem2020en2017">'Prév Hono Construction 2020'!$AB$94:$AB$103</definedName>
    <definedName name="Rem2020en2018">'Prév Hono Construction 2020'!$AE$94:$AE$103</definedName>
    <definedName name="Rem2020en2019">'Prév Hono Construction 2020'!$AH$94:$AH$103</definedName>
    <definedName name="Rem2020en2020">'Prév Hono Construction 2020'!$AK$94:$AK$103</definedName>
    <definedName name="Rem2020Preven2019">'[3]Prév Hono Construction 2019'!$AH$93:$AH$101</definedName>
    <definedName name="Rem2020Preven2020">'Prév Hono Construction 2020'!$AM$94:$AM$103</definedName>
    <definedName name="Rem2021en2016">'Prév Hono Construction 2020'!$Y$105:$Y$113</definedName>
    <definedName name="Rem2021en2019">'Prév Hono Construction 2020'!$AH$105:$AH$113</definedName>
    <definedName name="Rem2021en2020">'Prév Hono Construction 2020'!$AK$105:$AK$113</definedName>
    <definedName name="Rem2021Preven2020">'Prév Hono Construction 2020'!$AM$105:$AM$113</definedName>
    <definedName name="RemEtude2010" localSheetId="0">'Prév Hono Construction 2020'!$I$3:$I$6</definedName>
    <definedName name="RemRest" localSheetId="0">'Prév Hono Construction 2020'!$K$129:$K$221</definedName>
    <definedName name="RemRest2010" localSheetId="0">'Prév Hono Construction 2020'!$AO$9:$AO$11</definedName>
    <definedName name="RemRest2011" localSheetId="0">'Prév Hono Construction 2020'!$AO$13:$AO$17</definedName>
    <definedName name="RemRest2012" localSheetId="0">'Prév Hono Construction 2020'!$AO$19:$AO$30</definedName>
    <definedName name="RemRest2013" localSheetId="0">'Prév Hono Construction 2020'!$AO$32:$AO$41</definedName>
    <definedName name="RemRest2014" localSheetId="0">'Prév Hono Construction 2020'!$AO$43:$AO$49</definedName>
    <definedName name="RemRest2015" localSheetId="0">'Prév Hono Construction 2020'!$AO$51:$AO$58</definedName>
    <definedName name="RemRest2016">'Prév Hono Construction 2020'!$AO$60:$AO$67</definedName>
    <definedName name="RemRest2017">'Prév Hono Construction 2020'!$AO$69:$AO$76</definedName>
    <definedName name="RemRest2018">'Prév Hono Construction 2020'!$AO$78:$AO$83</definedName>
    <definedName name="RemRest2019">'Prév Hono Construction 2020'!$AO$85:$AO$92</definedName>
    <definedName name="RemRest2020">'Prév Hono Construction 2020'!$AO$94:$AO$103</definedName>
    <definedName name="RemRest2021">'Prév Hono Construction 2020'!$AO$105:$AO$113</definedName>
    <definedName name="RemTvx2010" localSheetId="0">'Prév Hono Construction 2020'!$J$3:$J$6</definedName>
    <definedName name="Resp">#REF!</definedName>
    <definedName name="Retard_loyer">'[1]Données initiales'!$FM$2:$FM$136</definedName>
    <definedName name="Retard_VEFA">'[1]Données initiales'!$DA$2:$DA$136</definedName>
    <definedName name="RO" localSheetId="0">'Prév Hono Construction 2020'!$B$129:$B$221</definedName>
    <definedName name="RO">'[1]Données initiales'!$G$2:$G$136</definedName>
    <definedName name="RO_2009" localSheetId="0">'Prév Hono Construction 2020'!$F$3:$F$7</definedName>
    <definedName name="RO_2010" localSheetId="0">'Prév Hono Construction 2020'!$F$9:$F$11</definedName>
    <definedName name="RO_2011" localSheetId="0">'Prév Hono Construction 2020'!$F$13:$F$17</definedName>
    <definedName name="RO_2012" localSheetId="0">'Prév Hono Construction 2020'!$F$19:$F$30</definedName>
    <definedName name="RO_2013" localSheetId="0">'Prév Hono Construction 2020'!$F$32:$F$41</definedName>
    <definedName name="RO_2014" localSheetId="0">'Prév Hono Construction 2020'!$F$43:$F$49</definedName>
    <definedName name="RO_2015" localSheetId="0">'Prév Hono Construction 2020'!$F$51:$F$58</definedName>
    <definedName name="RO_2016">'Prév Hono Construction 2020'!$F$60:$F$67</definedName>
    <definedName name="RO_2017">'Prév Hono Construction 2020'!$F$69:$F$76</definedName>
    <definedName name="RO_2018">'Prév Hono Construction 2020'!$F$78:$F$83</definedName>
    <definedName name="RO_2019">'Prév Hono Construction 2020'!$F$85:$F$92</definedName>
    <definedName name="RO_2020">'Prév Hono Construction 2020'!$F$94:$F$103</definedName>
    <definedName name="RO_2021">'Prév Hono Construction 2020'!$F$105:$F$113</definedName>
    <definedName name="RO_Am" localSheetId="0">'Prév Hono Construction 2020'!$F$239:$F$251</definedName>
    <definedName name="RO_gen">'Prév Hono Construction 2020'!$F$32:$F$113</definedName>
    <definedName name="S_TERRAIN">'[1]Données initiales'!$P$2:$P$136</definedName>
    <definedName name="SF">'[1]Données initiales'!$AN$2:$AN$136</definedName>
    <definedName name="Type">'[1]Données initiales'!$AD$2:$AD$136</definedName>
    <definedName name="Ville">'[1]Données initiales'!$C$2:$C$136</definedName>
    <definedName name="_xlnm.Print_Area" localSheetId="0">'Prév Hono Construction 2020'!$A$1:$AW$284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0" l="1"/>
  <c r="AR103" i="10"/>
  <c r="AR101" i="10"/>
  <c r="AR100" i="10"/>
  <c r="AR98" i="10"/>
  <c r="AR96" i="10"/>
  <c r="AR72" i="10"/>
  <c r="L70" i="10" l="1"/>
  <c r="L79" i="10"/>
  <c r="L78" i="10"/>
  <c r="L82" i="10"/>
  <c r="L81" i="10"/>
  <c r="L91" i="10"/>
  <c r="L90" i="10"/>
  <c r="L103" i="10"/>
  <c r="L102" i="10"/>
  <c r="L101" i="10"/>
  <c r="L100" i="10"/>
  <c r="L99" i="10"/>
  <c r="L98" i="10"/>
  <c r="L97" i="10"/>
  <c r="L96" i="10"/>
  <c r="L95" i="10"/>
  <c r="L94" i="10"/>
  <c r="L113" i="10"/>
  <c r="L112" i="10"/>
  <c r="L111" i="10"/>
  <c r="L110" i="10"/>
  <c r="L109" i="10"/>
  <c r="L108" i="10"/>
  <c r="L107" i="10"/>
  <c r="L105" i="10"/>
  <c r="C2" i="20"/>
  <c r="C3" i="20" s="1"/>
  <c r="C4" i="20" s="1"/>
  <c r="C6" i="20" s="1"/>
  <c r="C7" i="20" s="1"/>
  <c r="C8" i="20" s="1"/>
  <c r="C9" i="20" l="1"/>
  <c r="C10" i="20" s="1"/>
  <c r="C11" i="20" s="1"/>
  <c r="C12" i="20" s="1"/>
  <c r="C13" i="20" s="1"/>
  <c r="C14" i="20" s="1"/>
  <c r="C15" i="20" s="1"/>
  <c r="AR86" i="10"/>
  <c r="AR85" i="10"/>
  <c r="AR89" i="10"/>
  <c r="AR102" i="10" l="1"/>
  <c r="AR97" i="10"/>
  <c r="K112" i="10" l="1"/>
  <c r="K111" i="10"/>
  <c r="K110" i="10"/>
  <c r="K109" i="10"/>
  <c r="K113" i="10"/>
  <c r="K108" i="10"/>
  <c r="K107" i="10"/>
  <c r="K106" i="10"/>
  <c r="K105" i="10"/>
  <c r="K103" i="10"/>
  <c r="K102" i="10"/>
  <c r="K101" i="10"/>
  <c r="K100" i="10"/>
  <c r="K99" i="10"/>
  <c r="K98" i="10"/>
  <c r="K97" i="10"/>
  <c r="K96" i="10"/>
  <c r="K95" i="10"/>
  <c r="K94" i="10"/>
  <c r="K91" i="10"/>
  <c r="K90" i="10"/>
  <c r="K89" i="10"/>
  <c r="K88" i="10"/>
  <c r="K87" i="10"/>
  <c r="K86" i="10"/>
  <c r="K85" i="10"/>
  <c r="K82" i="10"/>
  <c r="K80" i="10"/>
  <c r="K79" i="10"/>
  <c r="K78" i="10"/>
  <c r="K75" i="10"/>
  <c r="K74" i="10"/>
  <c r="K73" i="10"/>
  <c r="K72" i="10"/>
  <c r="K71" i="10"/>
  <c r="K70" i="10"/>
  <c r="K67" i="10"/>
  <c r="K66" i="10"/>
  <c r="K65" i="10"/>
  <c r="K64" i="10"/>
  <c r="K63" i="10"/>
  <c r="K62" i="10"/>
  <c r="K61" i="10"/>
  <c r="K60" i="10"/>
  <c r="K58" i="10"/>
  <c r="K57" i="10"/>
  <c r="K56" i="10"/>
  <c r="K55" i="10"/>
  <c r="K54" i="10"/>
  <c r="K53" i="10"/>
  <c r="K52" i="10"/>
  <c r="K51" i="10"/>
  <c r="K49" i="10"/>
  <c r="K48" i="10"/>
  <c r="K47" i="10"/>
  <c r="K46" i="10"/>
  <c r="K45" i="10"/>
  <c r="K44" i="10"/>
  <c r="K43" i="10"/>
  <c r="K41" i="10"/>
  <c r="K40" i="10"/>
  <c r="K39" i="10"/>
  <c r="K38" i="10"/>
  <c r="K37" i="10"/>
  <c r="K36" i="10"/>
  <c r="K35" i="10"/>
  <c r="K34" i="10"/>
  <c r="K33" i="10"/>
  <c r="L92" i="10"/>
  <c r="AA120" i="10" l="1"/>
  <c r="AA122" i="10"/>
  <c r="AM86" i="10" l="1"/>
  <c r="AO45" i="10" l="1"/>
  <c r="AM108" i="10" l="1"/>
  <c r="AM107" i="10" l="1"/>
  <c r="AM75" i="10" l="1"/>
  <c r="AM79" i="10" l="1"/>
  <c r="AM95" i="10"/>
  <c r="AM91" i="10"/>
  <c r="AM90" i="10"/>
  <c r="AM82" i="10"/>
  <c r="AM70" i="10"/>
  <c r="AM66" i="10"/>
  <c r="AM63" i="10"/>
  <c r="AM60" i="10"/>
  <c r="AM97" i="10" l="1"/>
  <c r="AM80" i="10" l="1"/>
  <c r="AN65" i="10"/>
  <c r="AG65" i="10"/>
  <c r="AM37" i="10"/>
  <c r="AO57" i="10" l="1"/>
  <c r="AL57" i="10" l="1"/>
  <c r="AJ57" i="10"/>
  <c r="N57" i="10"/>
  <c r="X57" i="10"/>
  <c r="AN57" i="10"/>
  <c r="U57" i="10"/>
  <c r="AA57" i="10"/>
  <c r="AD57" i="10"/>
  <c r="R57" i="10"/>
  <c r="AG57" i="10"/>
  <c r="T284" i="10"/>
  <c r="T283" i="10"/>
  <c r="T282" i="10"/>
  <c r="T281" i="10"/>
  <c r="T280" i="10"/>
  <c r="T279" i="10"/>
  <c r="T278" i="10"/>
  <c r="Q284" i="10"/>
  <c r="Q283" i="10"/>
  <c r="Q282" i="10"/>
  <c r="Q281" i="10"/>
  <c r="Q280" i="10"/>
  <c r="Q279" i="10"/>
  <c r="Q278" i="10"/>
  <c r="O284" i="10"/>
  <c r="O283" i="10"/>
  <c r="O282" i="10"/>
  <c r="O281" i="10"/>
  <c r="O280" i="10"/>
  <c r="O279" i="10"/>
  <c r="O278" i="10"/>
  <c r="M284" i="10"/>
  <c r="M283" i="10"/>
  <c r="M282" i="10"/>
  <c r="M281" i="10"/>
  <c r="M280" i="10"/>
  <c r="M279" i="10"/>
  <c r="M278" i="10"/>
  <c r="K284" i="10"/>
  <c r="K283" i="10"/>
  <c r="K282" i="10"/>
  <c r="K281" i="10"/>
  <c r="K280" i="10"/>
  <c r="K279" i="10"/>
  <c r="K278" i="10"/>
  <c r="I284" i="10"/>
  <c r="I283" i="10"/>
  <c r="I282" i="10"/>
  <c r="I281" i="10"/>
  <c r="I280" i="10"/>
  <c r="I279" i="10"/>
  <c r="I278" i="10"/>
  <c r="G284" i="10"/>
  <c r="G283" i="10"/>
  <c r="G282" i="10"/>
  <c r="G281" i="10"/>
  <c r="G280" i="10"/>
  <c r="G279" i="10"/>
  <c r="G278" i="10"/>
  <c r="E284" i="10"/>
  <c r="E283" i="10"/>
  <c r="E282" i="10"/>
  <c r="E281" i="10"/>
  <c r="E280" i="10"/>
  <c r="E279" i="10"/>
  <c r="E278" i="10"/>
  <c r="C264" i="10"/>
  <c r="E264" i="10"/>
  <c r="G264" i="10"/>
  <c r="I264" i="10"/>
  <c r="K264" i="10"/>
  <c r="E267" i="10"/>
  <c r="J96" i="10" l="1"/>
  <c r="AJ96" i="10"/>
  <c r="X96" i="10"/>
  <c r="AL96" i="10"/>
  <c r="N96" i="10"/>
  <c r="AA96" i="10"/>
  <c r="AO96" i="10"/>
  <c r="U96" i="10"/>
  <c r="AG96" i="10"/>
  <c r="AN96" i="10"/>
  <c r="R96" i="10"/>
  <c r="AD96" i="10"/>
  <c r="M264" i="10"/>
  <c r="N228" i="10"/>
  <c r="N229" i="10"/>
  <c r="N230" i="10"/>
  <c r="N231" i="10"/>
  <c r="N232" i="10"/>
  <c r="N233" i="10"/>
  <c r="N234" i="10"/>
  <c r="N235" i="10"/>
  <c r="N227" i="10"/>
  <c r="O228" i="10"/>
  <c r="O229" i="10"/>
  <c r="O230" i="10"/>
  <c r="O231" i="10"/>
  <c r="O232" i="10"/>
  <c r="O233" i="10"/>
  <c r="O234" i="10"/>
  <c r="O235" i="10"/>
  <c r="O227" i="10"/>
  <c r="P228" i="10"/>
  <c r="P229" i="10"/>
  <c r="P230" i="10"/>
  <c r="P231" i="10"/>
  <c r="P232" i="10"/>
  <c r="P233" i="10"/>
  <c r="P234" i="10"/>
  <c r="P235" i="10"/>
  <c r="P227" i="10"/>
  <c r="Q228" i="10"/>
  <c r="Q229" i="10"/>
  <c r="Q230" i="10"/>
  <c r="Q231" i="10"/>
  <c r="Q232" i="10"/>
  <c r="Q233" i="10"/>
  <c r="Q234" i="10"/>
  <c r="Q235" i="10"/>
  <c r="Q227" i="10"/>
  <c r="R228" i="10"/>
  <c r="R229" i="10"/>
  <c r="R230" i="10"/>
  <c r="R231" i="10"/>
  <c r="R232" i="10"/>
  <c r="R233" i="10"/>
  <c r="R234" i="10"/>
  <c r="R235" i="10"/>
  <c r="R227" i="10"/>
  <c r="S228" i="10"/>
  <c r="S229" i="10"/>
  <c r="S230" i="10"/>
  <c r="S231" i="10"/>
  <c r="S232" i="10"/>
  <c r="S233" i="10"/>
  <c r="S234" i="10"/>
  <c r="S235" i="10"/>
  <c r="S227" i="10"/>
  <c r="T228" i="10"/>
  <c r="T229" i="10"/>
  <c r="T230" i="10"/>
  <c r="T231" i="10"/>
  <c r="T232" i="10"/>
  <c r="T233" i="10"/>
  <c r="T234" i="10"/>
  <c r="T235" i="10"/>
  <c r="T227" i="10"/>
  <c r="U228" i="10"/>
  <c r="U229" i="10"/>
  <c r="U230" i="10"/>
  <c r="U231" i="10"/>
  <c r="U232" i="10"/>
  <c r="U233" i="10"/>
  <c r="U234" i="10"/>
  <c r="U235" i="10"/>
  <c r="U227" i="10"/>
  <c r="V230" i="10"/>
  <c r="V231" i="10"/>
  <c r="V232" i="10"/>
  <c r="V233" i="10"/>
  <c r="V234" i="10"/>
  <c r="V235" i="10"/>
  <c r="V229" i="10"/>
  <c r="V227" i="10"/>
  <c r="W228" i="10"/>
  <c r="W229" i="10"/>
  <c r="W230" i="10"/>
  <c r="W231" i="10"/>
  <c r="W232" i="10"/>
  <c r="W233" i="10"/>
  <c r="W234" i="10"/>
  <c r="W235" i="10"/>
  <c r="W227" i="10"/>
  <c r="V228" i="10"/>
  <c r="G220" i="10"/>
  <c r="G219" i="10"/>
  <c r="G218" i="10"/>
  <c r="G217" i="10"/>
  <c r="G216" i="10"/>
  <c r="E220" i="10"/>
  <c r="E219" i="10"/>
  <c r="E218" i="10"/>
  <c r="E217" i="10"/>
  <c r="E216" i="10"/>
  <c r="C220" i="10"/>
  <c r="C219" i="10"/>
  <c r="C218" i="10"/>
  <c r="C217" i="10"/>
  <c r="C216" i="10"/>
  <c r="W236" i="10" l="1"/>
  <c r="U236" i="10"/>
  <c r="V236" i="10"/>
  <c r="C206" i="10"/>
  <c r="E206" i="10"/>
  <c r="G206" i="10"/>
  <c r="R206" i="10"/>
  <c r="U206" i="10"/>
  <c r="V206" i="10" s="1"/>
  <c r="W206" i="10"/>
  <c r="X206" i="10" s="1"/>
  <c r="Y206" i="10"/>
  <c r="AE206" i="10"/>
  <c r="AF206" i="10" s="1"/>
  <c r="C207" i="10"/>
  <c r="D207" i="10" s="1"/>
  <c r="E207" i="10"/>
  <c r="F207" i="10" s="1"/>
  <c r="G207" i="10"/>
  <c r="H207" i="10" s="1"/>
  <c r="R207" i="10"/>
  <c r="U207" i="10"/>
  <c r="V207" i="10" s="1"/>
  <c r="W207" i="10"/>
  <c r="X207" i="10" s="1"/>
  <c r="Y207" i="10"/>
  <c r="Z207" i="10" s="1"/>
  <c r="AE207" i="10"/>
  <c r="AF207" i="10" s="1"/>
  <c r="C208" i="10"/>
  <c r="E208" i="10"/>
  <c r="G208" i="10"/>
  <c r="R208" i="10"/>
  <c r="U208" i="10"/>
  <c r="V208" i="10" s="1"/>
  <c r="W208" i="10"/>
  <c r="X208" i="10" s="1"/>
  <c r="Y208" i="10"/>
  <c r="AE208" i="10"/>
  <c r="AE220" i="10"/>
  <c r="AF220" i="10" s="1"/>
  <c r="AE219" i="10"/>
  <c r="AF219" i="10" s="1"/>
  <c r="AE218" i="10"/>
  <c r="AF218" i="10" s="1"/>
  <c r="AE217" i="10"/>
  <c r="AF217" i="10" s="1"/>
  <c r="AE216" i="10"/>
  <c r="AA220" i="10"/>
  <c r="AA219" i="10"/>
  <c r="AA218" i="10"/>
  <c r="AA217" i="10"/>
  <c r="AA216" i="10"/>
  <c r="E178" i="10"/>
  <c r="G178" i="10"/>
  <c r="M178" i="10"/>
  <c r="O178" i="10"/>
  <c r="P178" i="10" s="1"/>
  <c r="Q178" i="10"/>
  <c r="R178" i="10" s="1"/>
  <c r="AE178" i="10"/>
  <c r="AF178" i="10" s="1"/>
  <c r="S221" i="10"/>
  <c r="O221" i="10"/>
  <c r="M221" i="10"/>
  <c r="Y220" i="10"/>
  <c r="Z220" i="10" s="1"/>
  <c r="W220" i="10"/>
  <c r="X220" i="10" s="1"/>
  <c r="U220" i="10"/>
  <c r="V220" i="10" s="1"/>
  <c r="T220" i="10"/>
  <c r="R220" i="10"/>
  <c r="P220" i="10"/>
  <c r="N220" i="10"/>
  <c r="Y219" i="10"/>
  <c r="Z219" i="10" s="1"/>
  <c r="W219" i="10"/>
  <c r="X219" i="10" s="1"/>
  <c r="U219" i="10"/>
  <c r="V219" i="10" s="1"/>
  <c r="T219" i="10"/>
  <c r="R219" i="10"/>
  <c r="P219" i="10"/>
  <c r="N219" i="10"/>
  <c r="Y218" i="10"/>
  <c r="Z218" i="10" s="1"/>
  <c r="W218" i="10"/>
  <c r="X218" i="10" s="1"/>
  <c r="U218" i="10"/>
  <c r="V218" i="10" s="1"/>
  <c r="T218" i="10"/>
  <c r="R218" i="10"/>
  <c r="P218" i="10"/>
  <c r="N218" i="10"/>
  <c r="Y217" i="10"/>
  <c r="Z217" i="10" s="1"/>
  <c r="W217" i="10"/>
  <c r="X217" i="10" s="1"/>
  <c r="U217" i="10"/>
  <c r="V217" i="10" s="1"/>
  <c r="T217" i="10"/>
  <c r="R217" i="10"/>
  <c r="P217" i="10"/>
  <c r="N217" i="10"/>
  <c r="Y216" i="10"/>
  <c r="Z216" i="10" s="1"/>
  <c r="W216" i="10"/>
  <c r="X216" i="10" s="1"/>
  <c r="U216" i="10"/>
  <c r="V216" i="10" s="1"/>
  <c r="T216" i="10"/>
  <c r="R216" i="10"/>
  <c r="P216" i="10"/>
  <c r="N216" i="10"/>
  <c r="M2" i="10"/>
  <c r="AL113" i="10"/>
  <c r="AL105" i="10"/>
  <c r="AL103" i="10"/>
  <c r="AL101" i="10"/>
  <c r="AL100" i="10"/>
  <c r="AL99" i="10"/>
  <c r="AL98" i="10"/>
  <c r="AL97" i="10"/>
  <c r="AL94" i="10"/>
  <c r="AL92" i="10"/>
  <c r="AL91" i="10"/>
  <c r="AL87" i="10"/>
  <c r="AL86" i="10"/>
  <c r="AL80" i="10"/>
  <c r="AL78" i="10"/>
  <c r="AL76" i="10"/>
  <c r="AL75" i="10"/>
  <c r="AL74" i="10"/>
  <c r="AL73" i="10"/>
  <c r="AL72" i="10"/>
  <c r="AL71" i="10"/>
  <c r="AL70" i="10"/>
  <c r="AL67" i="10"/>
  <c r="AL66" i="10"/>
  <c r="AL65" i="10"/>
  <c r="AL63" i="10"/>
  <c r="AL62" i="10"/>
  <c r="AL61" i="10"/>
  <c r="AL60" i="10"/>
  <c r="AL56" i="10"/>
  <c r="AL55" i="10"/>
  <c r="AL52" i="10"/>
  <c r="AL49" i="10"/>
  <c r="AL47" i="10"/>
  <c r="AL46" i="10"/>
  <c r="AL45" i="10"/>
  <c r="AL44" i="10"/>
  <c r="AL41" i="10"/>
  <c r="AL40" i="10"/>
  <c r="AL39" i="10"/>
  <c r="AL38" i="10"/>
  <c r="AL36" i="10"/>
  <c r="AL35" i="10"/>
  <c r="AL34" i="10"/>
  <c r="AL33" i="10"/>
  <c r="AK50" i="10"/>
  <c r="AK59" i="10"/>
  <c r="AK68" i="10"/>
  <c r="AK77" i="10"/>
  <c r="AK84" i="10"/>
  <c r="AK93" i="10"/>
  <c r="AK104" i="10"/>
  <c r="AK114" i="10"/>
  <c r="AK42" i="10"/>
  <c r="AJ113" i="10"/>
  <c r="AJ105" i="10"/>
  <c r="AJ103" i="10"/>
  <c r="AJ101" i="10"/>
  <c r="AJ100" i="10"/>
  <c r="AJ99" i="10"/>
  <c r="AJ98" i="10"/>
  <c r="AJ97" i="10"/>
  <c r="AJ94" i="10"/>
  <c r="AJ91" i="10"/>
  <c r="AJ87" i="10"/>
  <c r="AJ86" i="10"/>
  <c r="AJ80" i="10"/>
  <c r="AJ78" i="10"/>
  <c r="AJ75" i="10"/>
  <c r="AJ74" i="10"/>
  <c r="AJ73" i="10"/>
  <c r="AJ72" i="10"/>
  <c r="AJ71" i="10"/>
  <c r="AJ70" i="10"/>
  <c r="AJ67" i="10"/>
  <c r="AJ66" i="10"/>
  <c r="AJ65" i="10"/>
  <c r="AJ63" i="10"/>
  <c r="AJ62" i="10"/>
  <c r="AJ61" i="10"/>
  <c r="AJ60" i="10"/>
  <c r="AJ56" i="10"/>
  <c r="AJ55" i="10"/>
  <c r="AJ52" i="10"/>
  <c r="AJ49" i="10"/>
  <c r="AJ47" i="10"/>
  <c r="AJ46" i="10"/>
  <c r="AJ45" i="10"/>
  <c r="AJ44" i="10"/>
  <c r="AJ41" i="10"/>
  <c r="AJ40" i="10"/>
  <c r="AJ39" i="10"/>
  <c r="AJ38" i="10"/>
  <c r="AJ36" i="10"/>
  <c r="AJ35" i="10"/>
  <c r="AJ34" i="10"/>
  <c r="AJ33" i="10"/>
  <c r="AI114" i="10"/>
  <c r="AI104" i="10"/>
  <c r="AI93" i="10"/>
  <c r="AI84" i="10"/>
  <c r="AI77" i="10"/>
  <c r="AI68" i="10"/>
  <c r="AI59" i="10"/>
  <c r="AI50" i="10"/>
  <c r="AI42" i="10"/>
  <c r="AE214" i="10"/>
  <c r="AF214" i="10" s="1"/>
  <c r="AE213" i="10"/>
  <c r="AF213" i="10" s="1"/>
  <c r="AE212" i="10"/>
  <c r="AF212" i="10" s="1"/>
  <c r="AE211" i="10"/>
  <c r="AE210" i="10"/>
  <c r="AE205" i="10"/>
  <c r="AF205" i="10" s="1"/>
  <c r="AE204" i="10"/>
  <c r="AF204" i="10" s="1"/>
  <c r="AE203" i="10"/>
  <c r="AE201" i="10"/>
  <c r="AF201" i="10" s="1"/>
  <c r="AE200" i="10"/>
  <c r="AF200" i="10" s="1"/>
  <c r="AE199" i="10"/>
  <c r="AF199" i="10" s="1"/>
  <c r="AE198" i="10"/>
  <c r="AF198" i="10" s="1"/>
  <c r="AE197" i="10"/>
  <c r="AF197" i="10" s="1"/>
  <c r="AE196" i="10"/>
  <c r="AF196" i="10" s="1"/>
  <c r="AE194" i="10"/>
  <c r="AE193" i="10"/>
  <c r="AF193" i="10" s="1"/>
  <c r="AE192" i="10"/>
  <c r="AF192" i="10" s="1"/>
  <c r="AE191" i="10"/>
  <c r="AF191" i="10" s="1"/>
  <c r="AE190" i="10"/>
  <c r="AE189" i="10"/>
  <c r="AE187" i="10"/>
  <c r="AF187" i="10" s="1"/>
  <c r="AE186" i="10"/>
  <c r="AF186" i="10" s="1"/>
  <c r="AE185" i="10"/>
  <c r="AF185" i="10" s="1"/>
  <c r="AE184" i="10"/>
  <c r="AF184" i="10" s="1"/>
  <c r="AE183" i="10"/>
  <c r="AF183" i="10" s="1"/>
  <c r="AE182" i="10"/>
  <c r="AE180" i="10"/>
  <c r="AF180" i="10" s="1"/>
  <c r="AE179" i="10"/>
  <c r="AF179" i="10" s="1"/>
  <c r="AE177" i="10"/>
  <c r="AF177" i="10" s="1"/>
  <c r="AE176" i="10"/>
  <c r="AF176" i="10" s="1"/>
  <c r="AE175" i="10"/>
  <c r="AF175" i="10" s="1"/>
  <c r="AE174" i="10"/>
  <c r="AE172" i="10"/>
  <c r="AF172" i="10" s="1"/>
  <c r="AE171" i="10"/>
  <c r="AF171" i="10" s="1"/>
  <c r="AE170" i="10"/>
  <c r="AF170" i="10" s="1"/>
  <c r="AE169" i="10"/>
  <c r="AF169" i="10" s="1"/>
  <c r="AE168" i="10"/>
  <c r="AF168" i="10" s="1"/>
  <c r="AE167" i="10"/>
  <c r="AF167" i="10" s="1"/>
  <c r="AE166" i="10"/>
  <c r="AF166" i="10" s="1"/>
  <c r="AE165" i="10"/>
  <c r="AF165" i="10" s="1"/>
  <c r="AE163" i="10"/>
  <c r="AF163" i="10" s="1"/>
  <c r="AE162" i="10"/>
  <c r="AF162" i="10" s="1"/>
  <c r="AE161" i="10"/>
  <c r="AF161" i="10" s="1"/>
  <c r="AE160" i="10"/>
  <c r="AF160" i="10" s="1"/>
  <c r="AE159" i="10"/>
  <c r="AF159" i="10" s="1"/>
  <c r="AE158" i="10"/>
  <c r="AF158" i="10" s="1"/>
  <c r="AE157" i="10"/>
  <c r="AF157" i="10" s="1"/>
  <c r="AE156" i="10"/>
  <c r="AF156" i="10" s="1"/>
  <c r="AF155" i="10"/>
  <c r="X233" i="10" l="1"/>
  <c r="X234" i="10"/>
  <c r="AE209" i="10"/>
  <c r="AE221" i="10"/>
  <c r="AE195" i="10"/>
  <c r="AE181" i="10"/>
  <c r="AF164" i="10"/>
  <c r="P221" i="10"/>
  <c r="N221" i="10"/>
  <c r="AI115" i="10"/>
  <c r="C221" i="10"/>
  <c r="W221" i="10"/>
  <c r="G221" i="10"/>
  <c r="R221" i="10"/>
  <c r="T221" i="10"/>
  <c r="X221" i="10"/>
  <c r="Z221" i="10"/>
  <c r="AF216" i="10"/>
  <c r="AF221" i="10" s="1"/>
  <c r="U221" i="10"/>
  <c r="Y221" i="10"/>
  <c r="V221" i="10"/>
  <c r="E221" i="10"/>
  <c r="AK115" i="10"/>
  <c r="AF203" i="10"/>
  <c r="AF189" i="10"/>
  <c r="AE164" i="10"/>
  <c r="AF202" i="10"/>
  <c r="AF173" i="10"/>
  <c r="AE155" i="10"/>
  <c r="AE173" i="10"/>
  <c r="AE188" i="10"/>
  <c r="AE202" i="10"/>
  <c r="AE215" i="10"/>
  <c r="AE222" i="10" l="1"/>
  <c r="Z122" i="10" l="1"/>
  <c r="AH86" i="10"/>
  <c r="AH73" i="10" l="1"/>
  <c r="AH74" i="10"/>
  <c r="AN73" i="10" l="1"/>
  <c r="AN71" i="10"/>
  <c r="AH53" i="10" l="1"/>
  <c r="AH56" i="10" l="1"/>
  <c r="AO101" i="10" l="1"/>
  <c r="AN101" i="10"/>
  <c r="AG101" i="10"/>
  <c r="AD101" i="10"/>
  <c r="AA101" i="10"/>
  <c r="X101" i="10"/>
  <c r="U101" i="10"/>
  <c r="R101" i="10"/>
  <c r="N101" i="10"/>
  <c r="J101" i="10"/>
  <c r="AH94" i="10"/>
  <c r="AG113" i="10" l="1"/>
  <c r="AH99" i="10"/>
  <c r="AH75" i="10"/>
  <c r="AA213" i="10" l="1"/>
  <c r="AA210" i="10"/>
  <c r="AA211" i="10"/>
  <c r="AA212" i="10"/>
  <c r="AA214" i="10"/>
  <c r="AH72" i="10"/>
  <c r="AA221" i="10" l="1"/>
  <c r="J102" i="10"/>
  <c r="AL102" i="10" l="1"/>
  <c r="AJ102" i="10"/>
  <c r="J100" i="10"/>
  <c r="AW90" i="10" l="1"/>
  <c r="AW91" i="10" s="1"/>
  <c r="AW92" i="10" s="1"/>
  <c r="AW93" i="10" s="1"/>
  <c r="AW94" i="10" s="1"/>
  <c r="AW95" i="10" s="1"/>
  <c r="AW96" i="10" s="1"/>
  <c r="AW97" i="10" s="1"/>
  <c r="AW98" i="10" s="1"/>
  <c r="AW99" i="10" s="1"/>
  <c r="AW100" i="10" s="1"/>
  <c r="AW101" i="10" s="1"/>
  <c r="AW102" i="10" s="1"/>
  <c r="AW103" i="10" s="1"/>
  <c r="AW104" i="10" s="1"/>
  <c r="AW105" i="10" s="1"/>
  <c r="AW106" i="10" s="1"/>
  <c r="J90" i="10"/>
  <c r="R90" i="10" l="1"/>
  <c r="AL90" i="10"/>
  <c r="AJ90" i="10"/>
  <c r="U90" i="10"/>
  <c r="AG90" i="10"/>
  <c r="AN90" i="10"/>
  <c r="AA90" i="10"/>
  <c r="AO90" i="10"/>
  <c r="N90" i="10"/>
  <c r="AD90" i="10"/>
  <c r="X90" i="10"/>
  <c r="AH71" i="10" l="1"/>
  <c r="AA192" i="10" l="1"/>
  <c r="AA189" i="10"/>
  <c r="AA191" i="10"/>
  <c r="AA193" i="10"/>
  <c r="AA194" i="10"/>
  <c r="AA190" i="10"/>
  <c r="AH67" i="10"/>
  <c r="AH63" i="10" l="1"/>
  <c r="AA184" i="10" s="1"/>
  <c r="AA187" i="10" l="1"/>
  <c r="AA183" i="10"/>
  <c r="AA186" i="10"/>
  <c r="AA182" i="10"/>
  <c r="AA185" i="10"/>
  <c r="AT125" i="10" l="1"/>
  <c r="AV141" i="10" s="1"/>
  <c r="AW110" i="10"/>
  <c r="AW111" i="10" s="1"/>
  <c r="AW112" i="10" s="1"/>
  <c r="AW113" i="10" s="1"/>
  <c r="AW114" i="10" s="1"/>
  <c r="AW115" i="10" s="1"/>
  <c r="AW116" i="10" s="1"/>
  <c r="AU117" i="10" s="1"/>
  <c r="AU118" i="10" s="1"/>
  <c r="AU119" i="10" s="1"/>
  <c r="AU120" i="10" s="1"/>
  <c r="AU121" i="10" s="1"/>
  <c r="AU122" i="10" s="1"/>
  <c r="AU123" i="10" s="1"/>
  <c r="AU124" i="10" s="1"/>
  <c r="AW127" i="10" s="1"/>
  <c r="AW128" i="10" s="1"/>
  <c r="AW129" i="10" s="1"/>
  <c r="AW130" i="10" s="1"/>
  <c r="AW131" i="10" s="1"/>
  <c r="AW132" i="10" s="1"/>
  <c r="AW133" i="10" s="1"/>
  <c r="AW134" i="10" s="1"/>
  <c r="AW135" i="10" s="1"/>
  <c r="AW136" i="10" s="1"/>
  <c r="AW137" i="10" s="1"/>
  <c r="AW138" i="10" s="1"/>
  <c r="AW139" i="10" s="1"/>
  <c r="AW140" i="10" s="1"/>
  <c r="AC185" i="10" l="1"/>
  <c r="AC186" i="10"/>
  <c r="AC184" i="10"/>
  <c r="AC182" i="10"/>
  <c r="AC187" i="10"/>
  <c r="AC183" i="10"/>
  <c r="AH80" i="10"/>
  <c r="AA201" i="10" l="1"/>
  <c r="AA197" i="10"/>
  <c r="AA200" i="10"/>
  <c r="AA196" i="10"/>
  <c r="AA199" i="10"/>
  <c r="AA198" i="10"/>
  <c r="AH48" i="10" l="1"/>
  <c r="M48" i="10"/>
  <c r="AA172" i="10" l="1"/>
  <c r="AA168" i="10"/>
  <c r="AA165" i="10"/>
  <c r="AA171" i="10"/>
  <c r="AA167" i="10"/>
  <c r="AA170" i="10"/>
  <c r="AA166" i="10"/>
  <c r="AA169" i="10"/>
  <c r="E170" i="10" l="1"/>
  <c r="E172" i="10"/>
  <c r="C267" i="10"/>
  <c r="C266" i="10"/>
  <c r="C265" i="10"/>
  <c r="C263" i="10"/>
  <c r="C262" i="10"/>
  <c r="C261" i="10"/>
  <c r="C260" i="10"/>
  <c r="E262" i="10"/>
  <c r="AW71" i="10"/>
  <c r="AW72" i="10" s="1"/>
  <c r="AW73" i="10" s="1"/>
  <c r="AW74" i="10" s="1"/>
  <c r="AW75" i="10" s="1"/>
  <c r="AW76" i="10" s="1"/>
  <c r="AW77" i="10" s="1"/>
  <c r="AW78" i="10" s="1"/>
  <c r="AW79" i="10" s="1"/>
  <c r="AW80" i="10" s="1"/>
  <c r="AW81" i="10" s="1"/>
  <c r="AW82" i="10" s="1"/>
  <c r="AW83" i="10" s="1"/>
  <c r="AW84" i="10" s="1"/>
  <c r="X228" i="10" l="1"/>
  <c r="AH114" i="10"/>
  <c r="AF114" i="10"/>
  <c r="AE114" i="10"/>
  <c r="AC114" i="10"/>
  <c r="AB114" i="10"/>
  <c r="Z114" i="10"/>
  <c r="Y114" i="10"/>
  <c r="W114" i="10"/>
  <c r="V114" i="10"/>
  <c r="T114" i="10"/>
  <c r="S114" i="10"/>
  <c r="Q114" i="10"/>
  <c r="P114" i="10"/>
  <c r="O114" i="10"/>
  <c r="M114" i="10"/>
  <c r="E114" i="10"/>
  <c r="D114" i="10"/>
  <c r="M104" i="10"/>
  <c r="O104" i="10"/>
  <c r="P104" i="10"/>
  <c r="Q104" i="10"/>
  <c r="S104" i="10"/>
  <c r="T104" i="10"/>
  <c r="V104" i="10"/>
  <c r="W104" i="10"/>
  <c r="Y104" i="10"/>
  <c r="Z104" i="10"/>
  <c r="AB104" i="10"/>
  <c r="AC104" i="10"/>
  <c r="AE104" i="10"/>
  <c r="AF104" i="10"/>
  <c r="AH104" i="10"/>
  <c r="E104" i="10"/>
  <c r="D104" i="10"/>
  <c r="J112" i="10" l="1"/>
  <c r="J109" i="10"/>
  <c r="J108" i="10"/>
  <c r="J107" i="10"/>
  <c r="J106" i="10"/>
  <c r="J105" i="10"/>
  <c r="J99" i="10"/>
  <c r="AG100" i="10"/>
  <c r="AM104" i="10" l="1"/>
  <c r="AC210" i="10"/>
  <c r="AC214" i="10"/>
  <c r="AC213" i="10"/>
  <c r="AC212" i="10"/>
  <c r="AC211" i="10"/>
  <c r="AJ95" i="10"/>
  <c r="AL95" i="10"/>
  <c r="AL106" i="10"/>
  <c r="AJ106" i="10"/>
  <c r="AJ107" i="10"/>
  <c r="AL107" i="10"/>
  <c r="AG95" i="10"/>
  <c r="AG103" i="10"/>
  <c r="AG107" i="10"/>
  <c r="I114" i="10"/>
  <c r="J103" i="10"/>
  <c r="AA107" i="10"/>
  <c r="AA103" i="10"/>
  <c r="N103" i="10"/>
  <c r="R103" i="10"/>
  <c r="AD103" i="10"/>
  <c r="AO103" i="10"/>
  <c r="X103" i="10"/>
  <c r="AN103" i="10"/>
  <c r="U103" i="10"/>
  <c r="R105" i="10"/>
  <c r="N106" i="10"/>
  <c r="AD105" i="10"/>
  <c r="U106" i="10"/>
  <c r="AN106" i="10"/>
  <c r="AA106" i="10"/>
  <c r="N107" i="10"/>
  <c r="J113" i="10"/>
  <c r="AO113" i="10"/>
  <c r="U105" i="10"/>
  <c r="AG105" i="10"/>
  <c r="AO105" i="10"/>
  <c r="R106" i="10"/>
  <c r="AD106" i="10"/>
  <c r="AO106" i="10"/>
  <c r="R107" i="10"/>
  <c r="AD107" i="10"/>
  <c r="AO107" i="10"/>
  <c r="J110" i="10"/>
  <c r="X105" i="10"/>
  <c r="AG106" i="10"/>
  <c r="U107" i="10"/>
  <c r="J111" i="10"/>
  <c r="N105" i="10"/>
  <c r="AA105" i="10"/>
  <c r="X106" i="10"/>
  <c r="X107" i="10"/>
  <c r="AG99" i="10"/>
  <c r="M51" i="10"/>
  <c r="AH51" i="10"/>
  <c r="AN107" i="10" l="1"/>
  <c r="AA108" i="10"/>
  <c r="AL108" i="10"/>
  <c r="AJ108" i="10"/>
  <c r="AA178" i="10"/>
  <c r="AA177" i="10"/>
  <c r="AA174" i="10"/>
  <c r="AA176" i="10"/>
  <c r="AA179" i="10"/>
  <c r="AA180" i="10"/>
  <c r="AA175" i="10"/>
  <c r="AD113" i="10"/>
  <c r="AN113" i="10"/>
  <c r="U113" i="10"/>
  <c r="N113" i="10"/>
  <c r="AA113" i="10"/>
  <c r="X108" i="10"/>
  <c r="X113" i="10"/>
  <c r="R113" i="10"/>
  <c r="AD108" i="10"/>
  <c r="AN102" i="10"/>
  <c r="AG102" i="10"/>
  <c r="AG108" i="10"/>
  <c r="AN105" i="10"/>
  <c r="R108" i="10"/>
  <c r="N108" i="10"/>
  <c r="U108" i="10"/>
  <c r="AN108" i="10"/>
  <c r="AO108" i="10"/>
  <c r="X102" i="10"/>
  <c r="AA102" i="10"/>
  <c r="N102" i="10"/>
  <c r="R102" i="10"/>
  <c r="AD102" i="10"/>
  <c r="U102" i="10"/>
  <c r="AO102" i="10"/>
  <c r="J98" i="10" l="1"/>
  <c r="AG98" i="10" l="1"/>
  <c r="Y214" i="10"/>
  <c r="Y213" i="10"/>
  <c r="Z213" i="10" s="1"/>
  <c r="Y212" i="10"/>
  <c r="Y211" i="10"/>
  <c r="Y210" i="10"/>
  <c r="W214" i="10"/>
  <c r="X214" i="10" s="1"/>
  <c r="W213" i="10"/>
  <c r="W212" i="10"/>
  <c r="X212" i="10" s="1"/>
  <c r="W211" i="10"/>
  <c r="X211" i="10" s="1"/>
  <c r="W210" i="10"/>
  <c r="X210" i="10" s="1"/>
  <c r="E214" i="10"/>
  <c r="E213" i="10"/>
  <c r="E212" i="10"/>
  <c r="E211" i="10"/>
  <c r="E210" i="10"/>
  <c r="C214" i="10"/>
  <c r="C213" i="10"/>
  <c r="C212" i="10"/>
  <c r="C211" i="10"/>
  <c r="C210" i="10"/>
  <c r="S215" i="10"/>
  <c r="O215" i="10"/>
  <c r="M215" i="10"/>
  <c r="U214" i="10"/>
  <c r="V214" i="10" s="1"/>
  <c r="T214" i="10"/>
  <c r="R214" i="10"/>
  <c r="P214" i="10"/>
  <c r="N214" i="10"/>
  <c r="U213" i="10"/>
  <c r="V213" i="10" s="1"/>
  <c r="T213" i="10"/>
  <c r="R213" i="10"/>
  <c r="P213" i="10"/>
  <c r="N213" i="10"/>
  <c r="U212" i="10"/>
  <c r="V212" i="10" s="1"/>
  <c r="T212" i="10"/>
  <c r="R212" i="10"/>
  <c r="P212" i="10"/>
  <c r="N212" i="10"/>
  <c r="U211" i="10"/>
  <c r="R211" i="10"/>
  <c r="U210" i="10"/>
  <c r="V210" i="10" s="1"/>
  <c r="T210" i="10"/>
  <c r="R210" i="10"/>
  <c r="P210" i="10"/>
  <c r="N210" i="10"/>
  <c r="E204" i="10"/>
  <c r="G204" i="10"/>
  <c r="R204" i="10"/>
  <c r="U204" i="10"/>
  <c r="V204" i="10" s="1"/>
  <c r="W204" i="10"/>
  <c r="X204" i="10" s="1"/>
  <c r="Y204" i="10"/>
  <c r="G186" i="10"/>
  <c r="G185" i="10"/>
  <c r="G184" i="10"/>
  <c r="G183" i="10"/>
  <c r="G182" i="10"/>
  <c r="Y163" i="10"/>
  <c r="Y162" i="10"/>
  <c r="Y161" i="10"/>
  <c r="Y160" i="10"/>
  <c r="Y159" i="10"/>
  <c r="Y158" i="10"/>
  <c r="Y157" i="10"/>
  <c r="Y156" i="10"/>
  <c r="G177" i="10"/>
  <c r="E177" i="10"/>
  <c r="M177" i="10"/>
  <c r="N177" i="10" s="1"/>
  <c r="O177" i="10"/>
  <c r="P177" i="10" s="1"/>
  <c r="Q177" i="10"/>
  <c r="N98" i="10"/>
  <c r="R98" i="10"/>
  <c r="U98" i="10"/>
  <c r="X98" i="10"/>
  <c r="AA98" i="10"/>
  <c r="AD98" i="10"/>
  <c r="AN98" i="10"/>
  <c r="AO98" i="10"/>
  <c r="N99" i="10"/>
  <c r="R99" i="10"/>
  <c r="U99" i="10"/>
  <c r="X99" i="10"/>
  <c r="AA99" i="10"/>
  <c r="AD99" i="10"/>
  <c r="AN99" i="10"/>
  <c r="AO99" i="10"/>
  <c r="N100" i="10"/>
  <c r="R100" i="10"/>
  <c r="U100" i="10"/>
  <c r="X100" i="10"/>
  <c r="AA100" i="10"/>
  <c r="AD100" i="10"/>
  <c r="AN100" i="10"/>
  <c r="AO100" i="10"/>
  <c r="AN95" i="10"/>
  <c r="AO95" i="10"/>
  <c r="AD95" i="10"/>
  <c r="AA95" i="10"/>
  <c r="R95" i="10"/>
  <c r="U95" i="10"/>
  <c r="X95" i="10"/>
  <c r="N95" i="10"/>
  <c r="J95" i="10"/>
  <c r="X232" i="10" l="1"/>
  <c r="I104" i="10"/>
  <c r="J97" i="10"/>
  <c r="Y215" i="10"/>
  <c r="G213" i="10"/>
  <c r="G212" i="10"/>
  <c r="G210" i="10"/>
  <c r="G211" i="10"/>
  <c r="G214" i="10"/>
  <c r="U215" i="10"/>
  <c r="R215" i="10"/>
  <c r="W215" i="10"/>
  <c r="V211" i="10"/>
  <c r="V215" i="10" s="1"/>
  <c r="E215" i="10"/>
  <c r="AG97" i="10" l="1"/>
  <c r="K104" i="10"/>
  <c r="I214" i="10"/>
  <c r="I211" i="10"/>
  <c r="N97" i="10"/>
  <c r="AA97" i="10"/>
  <c r="AO97" i="10"/>
  <c r="I210" i="10"/>
  <c r="R97" i="10"/>
  <c r="AD97" i="10"/>
  <c r="I213" i="10"/>
  <c r="U97" i="10"/>
  <c r="I212" i="10"/>
  <c r="X97" i="10"/>
  <c r="AN97" i="10"/>
  <c r="G215" i="10"/>
  <c r="AH89" i="10"/>
  <c r="AL104" i="10" l="1"/>
  <c r="AJ104" i="10"/>
  <c r="X104" i="10"/>
  <c r="AD104" i="10"/>
  <c r="U104" i="10"/>
  <c r="AG104" i="10"/>
  <c r="R104" i="10"/>
  <c r="AA104" i="10"/>
  <c r="N104" i="10"/>
  <c r="AH87" i="10"/>
  <c r="AA207" i="10" l="1"/>
  <c r="AB207" i="10" s="1"/>
  <c r="AA206" i="10"/>
  <c r="AA208" i="10"/>
  <c r="AA203" i="10"/>
  <c r="AA205" i="10"/>
  <c r="AA204" i="10"/>
  <c r="AN72" i="10" l="1"/>
  <c r="AE73" i="10" l="1"/>
  <c r="AN44" i="10" l="1"/>
  <c r="AE44" i="10"/>
  <c r="AE58" i="10"/>
  <c r="AE65" i="10"/>
  <c r="AE45" i="10" l="1"/>
  <c r="AF62" i="10" l="1"/>
  <c r="AF61" i="10"/>
  <c r="AE62" i="10"/>
  <c r="AE61" i="10"/>
  <c r="AF34" i="10" l="1"/>
  <c r="AF39" i="10" l="1"/>
  <c r="AE56" i="10" l="1"/>
  <c r="AF71" i="10" l="1"/>
  <c r="AE71" i="10" l="1"/>
  <c r="Y189" i="10" l="1"/>
  <c r="Y193" i="10"/>
  <c r="Y194" i="10"/>
  <c r="Y192" i="10"/>
  <c r="Y190" i="10"/>
  <c r="Y191" i="10"/>
  <c r="J94" i="10"/>
  <c r="AO94" i="10"/>
  <c r="AN104" i="10"/>
  <c r="U94" i="10"/>
  <c r="AG94" i="10"/>
  <c r="AD94" i="10"/>
  <c r="X94" i="10"/>
  <c r="N94" i="10"/>
  <c r="R94" i="10"/>
  <c r="AA94" i="10"/>
  <c r="AH42" i="10"/>
  <c r="AH50" i="10"/>
  <c r="AH59" i="10"/>
  <c r="AH68" i="10"/>
  <c r="AH77" i="10"/>
  <c r="AH84" i="10"/>
  <c r="AH93" i="10"/>
  <c r="AJ2" i="10"/>
  <c r="AN70" i="10"/>
  <c r="AG80" i="10"/>
  <c r="AG74" i="10"/>
  <c r="AG71" i="10"/>
  <c r="AG70" i="10"/>
  <c r="AG66" i="10"/>
  <c r="AG62" i="10"/>
  <c r="AG61" i="10"/>
  <c r="AG60" i="10"/>
  <c r="AG49" i="10"/>
  <c r="AG47" i="10"/>
  <c r="AG46" i="10"/>
  <c r="AG45" i="10"/>
  <c r="AG44" i="10"/>
  <c r="AG41" i="10"/>
  <c r="AG40" i="10"/>
  <c r="AG39" i="10"/>
  <c r="AG38" i="10"/>
  <c r="AG35" i="10"/>
  <c r="AG34" i="10"/>
  <c r="AG33" i="10"/>
  <c r="AO104" i="10" l="1"/>
  <c r="AH115" i="10"/>
  <c r="Z118" i="10" s="1"/>
  <c r="AN94" i="10"/>
  <c r="Z124" i="10" l="1"/>
  <c r="AF31" i="10"/>
  <c r="AF18" i="10"/>
  <c r="AF12" i="10"/>
  <c r="AF8" i="10"/>
  <c r="AF78" i="10"/>
  <c r="AG78" i="10" s="1"/>
  <c r="AF75" i="10"/>
  <c r="AF73" i="10"/>
  <c r="AG73" i="10" s="1"/>
  <c r="AG72" i="10"/>
  <c r="AF67" i="10"/>
  <c r="AG67" i="10" s="1"/>
  <c r="AF63" i="10"/>
  <c r="AG63" i="10" s="1"/>
  <c r="AF55" i="10"/>
  <c r="AF53" i="10"/>
  <c r="AF42" i="10"/>
  <c r="AG36" i="10"/>
  <c r="AE78" i="10"/>
  <c r="AE67" i="10"/>
  <c r="AE55" i="10"/>
  <c r="AE53" i="10"/>
  <c r="AF50" i="10"/>
  <c r="AF93" i="10"/>
  <c r="Y174" i="10" l="1"/>
  <c r="Y178" i="10"/>
  <c r="AF59" i="10"/>
  <c r="AF84" i="10"/>
  <c r="Y177" i="10"/>
  <c r="Y176" i="10"/>
  <c r="Y180" i="10"/>
  <c r="Y175" i="10"/>
  <c r="Y179" i="10"/>
  <c r="AF77" i="10"/>
  <c r="AG75" i="10"/>
  <c r="AF68" i="10"/>
  <c r="AF115" i="10" l="1"/>
  <c r="J88" i="10"/>
  <c r="AM89" i="10"/>
  <c r="AL89" i="10" l="1"/>
  <c r="AJ89" i="10"/>
  <c r="AN88" i="10"/>
  <c r="AL88" i="10"/>
  <c r="AJ88" i="10"/>
  <c r="AG91" i="10"/>
  <c r="AG89" i="10"/>
  <c r="AD88" i="10"/>
  <c r="AG88" i="10"/>
  <c r="U88" i="10"/>
  <c r="X88" i="10"/>
  <c r="N88" i="10"/>
  <c r="AA88" i="10"/>
  <c r="AO88" i="10"/>
  <c r="R88" i="10"/>
  <c r="AG86" i="10" l="1"/>
  <c r="AN85" i="10" l="1"/>
  <c r="AJ85" i="10"/>
  <c r="I206" i="10"/>
  <c r="I207" i="10"/>
  <c r="J207" i="10" s="1"/>
  <c r="I208" i="10"/>
  <c r="AL85" i="10"/>
  <c r="I204" i="10"/>
  <c r="AG85" i="10"/>
  <c r="I215" i="10" l="1"/>
  <c r="AO80" i="10"/>
  <c r="AE43" i="10" l="1"/>
  <c r="AE82" i="10"/>
  <c r="AM43" i="10" l="1"/>
  <c r="AC172" i="10" l="1"/>
  <c r="AC169" i="10"/>
  <c r="AC171" i="10"/>
  <c r="AC170" i="10"/>
  <c r="AC167" i="10"/>
  <c r="AC168" i="10"/>
  <c r="AC165" i="10"/>
  <c r="AC166" i="10"/>
  <c r="AJ43" i="10"/>
  <c r="AL43" i="10"/>
  <c r="AJ58" i="10"/>
  <c r="AL58" i="10"/>
  <c r="AG43" i="10"/>
  <c r="AG58" i="10"/>
  <c r="AE80" i="10"/>
  <c r="J89" i="10" l="1"/>
  <c r="AO91" i="10" l="1"/>
  <c r="J86" i="10"/>
  <c r="K214" i="10" l="1"/>
  <c r="K212" i="10"/>
  <c r="K211" i="10"/>
  <c r="K213" i="10"/>
  <c r="K210" i="10"/>
  <c r="C204" i="10"/>
  <c r="U89" i="10"/>
  <c r="AD89" i="10"/>
  <c r="X89" i="10"/>
  <c r="R89" i="10"/>
  <c r="AA89" i="10"/>
  <c r="N89" i="10"/>
  <c r="AO89" i="10"/>
  <c r="C215" i="10" l="1"/>
  <c r="AN89" i="10"/>
  <c r="R86" i="10"/>
  <c r="AD86" i="10"/>
  <c r="U86" i="10"/>
  <c r="X86" i="10"/>
  <c r="AN86" i="10"/>
  <c r="AO86" i="10"/>
  <c r="AA86" i="10"/>
  <c r="N86" i="10"/>
  <c r="AG87" i="10" l="1"/>
  <c r="AN87" i="10"/>
  <c r="R87" i="10"/>
  <c r="N87" i="10"/>
  <c r="X87" i="10"/>
  <c r="AD87" i="10"/>
  <c r="AO87" i="10"/>
  <c r="U87" i="10"/>
  <c r="AA87" i="10"/>
  <c r="J87" i="10"/>
  <c r="AE48" i="10" l="1"/>
  <c r="Y169" i="10" l="1"/>
  <c r="Y168" i="10"/>
  <c r="Y165" i="10"/>
  <c r="Y171" i="10"/>
  <c r="Y170" i="10"/>
  <c r="Y166" i="10"/>
  <c r="Y167" i="10"/>
  <c r="Y172" i="10"/>
  <c r="AE64" i="10"/>
  <c r="Y187" i="10" l="1"/>
  <c r="Y182" i="10"/>
  <c r="Y184" i="10"/>
  <c r="Y186" i="10"/>
  <c r="Y183" i="10"/>
  <c r="Y185" i="10"/>
  <c r="Z46" i="10"/>
  <c r="Y46" i="10"/>
  <c r="AB47" i="10" l="1"/>
  <c r="AE81" i="10" l="1"/>
  <c r="M81" i="10"/>
  <c r="AV107" i="10" l="1"/>
  <c r="Y205" i="10" l="1"/>
  <c r="Y203" i="10"/>
  <c r="Y197" i="10"/>
  <c r="Z197" i="10" s="1"/>
  <c r="Y198" i="10"/>
  <c r="Y199" i="10"/>
  <c r="Y200" i="10"/>
  <c r="Y201" i="10"/>
  <c r="Y196" i="10"/>
  <c r="Z190" i="10"/>
  <c r="Z189" i="10"/>
  <c r="Z185" i="10"/>
  <c r="Z187" i="10"/>
  <c r="Z180" i="10"/>
  <c r="Z166" i="10"/>
  <c r="Z171" i="10"/>
  <c r="Z159" i="10"/>
  <c r="I145" i="10"/>
  <c r="G145" i="10"/>
  <c r="E145" i="10"/>
  <c r="C145" i="10"/>
  <c r="AO3" i="10"/>
  <c r="AN3" i="10"/>
  <c r="Z196" i="10" l="1"/>
  <c r="Z155" i="10"/>
  <c r="Y164" i="10"/>
  <c r="Z160" i="10" s="1"/>
  <c r="Y173" i="10"/>
  <c r="Y181" i="10"/>
  <c r="AF174" i="10" s="1"/>
  <c r="AF181" i="10" s="1"/>
  <c r="Y188" i="10"/>
  <c r="Y195" i="10"/>
  <c r="Y202" i="10"/>
  <c r="Y155" i="10"/>
  <c r="Y209" i="10"/>
  <c r="AG30" i="10"/>
  <c r="AG29" i="10"/>
  <c r="AG28" i="10"/>
  <c r="AG27" i="10"/>
  <c r="AG26" i="10"/>
  <c r="AG25" i="10"/>
  <c r="AG24" i="10"/>
  <c r="AG23" i="10"/>
  <c r="AG22" i="10"/>
  <c r="AG21" i="10"/>
  <c r="AG20" i="10"/>
  <c r="AG19" i="10"/>
  <c r="AG17" i="10"/>
  <c r="AG16" i="10"/>
  <c r="AG15" i="10"/>
  <c r="AG14" i="10"/>
  <c r="AG11" i="10"/>
  <c r="AG10" i="10"/>
  <c r="AG9" i="10"/>
  <c r="AG7" i="10"/>
  <c r="AG6" i="10"/>
  <c r="AG5" i="10"/>
  <c r="AG4" i="10"/>
  <c r="AG3" i="10"/>
  <c r="Z192" i="10" l="1"/>
  <c r="AF190" i="10"/>
  <c r="AF194" i="10"/>
  <c r="Z184" i="10"/>
  <c r="AF182" i="10"/>
  <c r="AF188" i="10" s="1"/>
  <c r="AB219" i="10"/>
  <c r="AF210" i="10"/>
  <c r="AF211" i="10"/>
  <c r="AF208" i="10"/>
  <c r="AF209" i="10" s="1"/>
  <c r="AB206" i="10"/>
  <c r="Z206" i="10"/>
  <c r="Z208" i="10"/>
  <c r="AB208" i="10"/>
  <c r="Z177" i="10"/>
  <c r="AB178" i="10"/>
  <c r="Z178" i="10"/>
  <c r="AB218" i="10"/>
  <c r="AB216" i="10"/>
  <c r="AB220" i="10"/>
  <c r="AB217" i="10"/>
  <c r="Z169" i="10"/>
  <c r="Z170" i="10"/>
  <c r="Z156" i="10"/>
  <c r="Z158" i="10"/>
  <c r="Z212" i="10"/>
  <c r="Z210" i="10"/>
  <c r="Z211" i="10"/>
  <c r="Z214" i="10"/>
  <c r="Z204" i="10"/>
  <c r="Z205" i="10"/>
  <c r="Z172" i="10"/>
  <c r="Z168" i="10"/>
  <c r="Z186" i="10"/>
  <c r="Z174" i="10"/>
  <c r="Z176" i="10"/>
  <c r="Z201" i="10"/>
  <c r="Z203" i="10"/>
  <c r="Z179" i="10"/>
  <c r="Z162" i="10"/>
  <c r="Z157" i="10"/>
  <c r="Z161" i="10"/>
  <c r="Z163" i="10"/>
  <c r="Z183" i="10"/>
  <c r="Z175" i="10"/>
  <c r="Z193" i="10"/>
  <c r="Z182" i="10"/>
  <c r="Z198" i="10"/>
  <c r="Z194" i="10"/>
  <c r="Z191" i="10"/>
  <c r="Z167" i="10"/>
  <c r="Z165" i="10"/>
  <c r="Z200" i="10"/>
  <c r="Z199" i="10"/>
  <c r="Y222" i="10"/>
  <c r="AE93" i="10"/>
  <c r="AE84" i="10"/>
  <c r="AE77" i="10"/>
  <c r="AE68" i="10"/>
  <c r="AE59" i="10"/>
  <c r="AE50" i="10"/>
  <c r="AE42" i="10"/>
  <c r="AE31" i="10"/>
  <c r="AE18" i="10"/>
  <c r="AE12" i="10"/>
  <c r="AE8" i="10"/>
  <c r="AD92" i="10"/>
  <c r="AD91" i="10"/>
  <c r="AD85" i="10"/>
  <c r="AD80" i="10"/>
  <c r="AD78" i="10"/>
  <c r="AD75" i="10"/>
  <c r="AD74" i="10"/>
  <c r="AD73" i="10"/>
  <c r="AD72" i="10"/>
  <c r="AD71" i="10"/>
  <c r="AD70" i="10"/>
  <c r="AD67" i="10"/>
  <c r="AD66" i="10"/>
  <c r="AD65" i="10"/>
  <c r="AD63" i="10"/>
  <c r="AD62" i="10"/>
  <c r="AD61" i="10"/>
  <c r="AD60" i="10"/>
  <c r="AD58" i="10"/>
  <c r="AD49" i="10"/>
  <c r="AD47" i="10"/>
  <c r="AD46" i="10"/>
  <c r="AD45" i="10"/>
  <c r="AD44" i="10"/>
  <c r="AD43" i="10"/>
  <c r="AD41" i="10"/>
  <c r="AD40" i="10"/>
  <c r="AD39" i="10"/>
  <c r="AD38" i="10"/>
  <c r="AD36" i="10"/>
  <c r="AD35" i="10"/>
  <c r="AD34" i="10"/>
  <c r="AD33" i="10"/>
  <c r="AD30" i="10"/>
  <c r="AD29" i="10"/>
  <c r="AD28" i="10"/>
  <c r="AD27" i="10"/>
  <c r="AD26" i="10"/>
  <c r="AD25" i="10"/>
  <c r="AD24" i="10"/>
  <c r="AD23" i="10"/>
  <c r="AD22" i="10"/>
  <c r="AD21" i="10"/>
  <c r="AD20" i="10"/>
  <c r="AD19" i="10"/>
  <c r="AD17" i="10"/>
  <c r="AD16" i="10"/>
  <c r="AD15" i="10"/>
  <c r="AD14" i="10"/>
  <c r="AD11" i="10"/>
  <c r="AD10" i="10"/>
  <c r="AD9" i="10"/>
  <c r="AD7" i="10"/>
  <c r="AD6" i="10"/>
  <c r="AD5" i="10"/>
  <c r="AD4" i="10"/>
  <c r="AD3" i="10"/>
  <c r="AA7" i="10"/>
  <c r="AA6" i="10"/>
  <c r="AA5" i="10"/>
  <c r="AA4" i="10"/>
  <c r="AA3" i="10"/>
  <c r="AA11" i="10"/>
  <c r="AA10" i="10"/>
  <c r="AA9" i="10"/>
  <c r="AA17" i="10"/>
  <c r="AA16" i="10"/>
  <c r="AA15" i="10"/>
  <c r="AA14" i="10"/>
  <c r="AA33" i="10"/>
  <c r="AC93" i="10"/>
  <c r="AC84" i="10"/>
  <c r="AC77" i="10"/>
  <c r="AC68" i="10"/>
  <c r="AC59" i="10"/>
  <c r="AC50" i="10"/>
  <c r="AC42" i="10"/>
  <c r="AC31" i="10"/>
  <c r="AC18" i="10"/>
  <c r="AC12" i="10"/>
  <c r="AC8" i="10"/>
  <c r="AF215" i="10" l="1"/>
  <c r="AF195" i="10"/>
  <c r="AB221" i="10"/>
  <c r="AE115" i="10"/>
  <c r="Y118" i="10" s="1"/>
  <c r="AC115" i="10"/>
  <c r="Z215" i="10"/>
  <c r="Z209" i="10"/>
  <c r="Z164" i="10"/>
  <c r="Z188" i="10"/>
  <c r="Z181" i="10"/>
  <c r="Z202" i="10"/>
  <c r="Z195" i="10"/>
  <c r="Z173" i="10"/>
  <c r="R284" i="10" l="1"/>
  <c r="R283" i="10"/>
  <c r="R282" i="10"/>
  <c r="R281" i="10"/>
  <c r="R280" i="10"/>
  <c r="R279" i="10"/>
  <c r="R278" i="10"/>
  <c r="P284" i="10"/>
  <c r="P283" i="10"/>
  <c r="P282" i="10"/>
  <c r="P281" i="10"/>
  <c r="P280" i="10"/>
  <c r="P279" i="10"/>
  <c r="P278" i="10"/>
  <c r="I262" i="10"/>
  <c r="D93" i="10"/>
  <c r="AO78" i="10"/>
  <c r="AN78" i="10"/>
  <c r="AA78" i="10"/>
  <c r="X78" i="10"/>
  <c r="U78" i="10"/>
  <c r="R78" i="10"/>
  <c r="N78" i="10"/>
  <c r="J78" i="10"/>
  <c r="AB79" i="10"/>
  <c r="J79" i="10"/>
  <c r="E84" i="10"/>
  <c r="I83" i="10"/>
  <c r="K83" i="10" s="1"/>
  <c r="AN80" i="10"/>
  <c r="AB80" i="10"/>
  <c r="AA80" i="10"/>
  <c r="X80" i="10"/>
  <c r="U80" i="10"/>
  <c r="R80" i="10"/>
  <c r="N80" i="10"/>
  <c r="J80" i="10"/>
  <c r="AL79" i="10" l="1"/>
  <c r="AJ79" i="10"/>
  <c r="AN79" i="10"/>
  <c r="AG79" i="10"/>
  <c r="AL83" i="10"/>
  <c r="AO79" i="10"/>
  <c r="AD79" i="10"/>
  <c r="R285" i="10"/>
  <c r="P285" i="10"/>
  <c r="E93" i="10"/>
  <c r="R79" i="10"/>
  <c r="U79" i="10"/>
  <c r="X79" i="10"/>
  <c r="N79" i="10"/>
  <c r="AA79" i="10"/>
  <c r="AB72" i="10"/>
  <c r="AD83" i="10" l="1"/>
  <c r="AA83" i="10"/>
  <c r="AO83" i="10"/>
  <c r="X83" i="10"/>
  <c r="R83" i="10"/>
  <c r="U83" i="10"/>
  <c r="AB39" i="10"/>
  <c r="N39" i="10" l="1"/>
  <c r="AB25" i="10" l="1"/>
  <c r="W151" i="10" l="1"/>
  <c r="W147" i="10"/>
  <c r="W148" i="10"/>
  <c r="W154" i="10"/>
  <c r="W150" i="10"/>
  <c r="W146" i="10"/>
  <c r="W153" i="10"/>
  <c r="W149" i="10"/>
  <c r="W145" i="10"/>
  <c r="W152" i="10"/>
  <c r="AB35" i="10"/>
  <c r="AB56" i="10" l="1"/>
  <c r="AB63" i="10" l="1"/>
  <c r="AB43" i="10"/>
  <c r="AB65" i="10"/>
  <c r="AB73" i="10"/>
  <c r="AB34" i="10" l="1"/>
  <c r="AB67" i="10" l="1"/>
  <c r="I81" i="10" l="1"/>
  <c r="K81" i="10" s="1"/>
  <c r="AJ81" i="10" l="1"/>
  <c r="AL81" i="10"/>
  <c r="AG81" i="10"/>
  <c r="AD81" i="10"/>
  <c r="AB55" i="10" l="1"/>
  <c r="AB52" i="10"/>
  <c r="AB61" i="10" l="1"/>
  <c r="AB71" i="10" l="1"/>
  <c r="AB62" i="10" l="1"/>
  <c r="AB82" i="10"/>
  <c r="AB54" i="10" l="1"/>
  <c r="J34" i="10"/>
  <c r="N34" i="10"/>
  <c r="P34" i="10"/>
  <c r="R34" i="10"/>
  <c r="U34" i="10"/>
  <c r="X34" i="10"/>
  <c r="AA34" i="10"/>
  <c r="AN34" i="10"/>
  <c r="AO34" i="10"/>
  <c r="O285" i="10" l="1"/>
  <c r="O286" i="10" s="1"/>
  <c r="AM35" i="10" l="1"/>
  <c r="AM25" i="10"/>
  <c r="AC161" i="10" l="1"/>
  <c r="AC157" i="10"/>
  <c r="AC156" i="10"/>
  <c r="AC163" i="10"/>
  <c r="AC159" i="10"/>
  <c r="AC162" i="10"/>
  <c r="AC158" i="10"/>
  <c r="AC160" i="10"/>
  <c r="AB69" i="10"/>
  <c r="M69" i="10"/>
  <c r="I69" i="10"/>
  <c r="K69" i="10" s="1"/>
  <c r="AM77" i="10" l="1"/>
  <c r="AL69" i="10"/>
  <c r="AJ69" i="10"/>
  <c r="AG69" i="10"/>
  <c r="AD155" i="10"/>
  <c r="AC155" i="10"/>
  <c r="AD69" i="10"/>
  <c r="AB36" i="10"/>
  <c r="AC194" i="10" l="1"/>
  <c r="AC190" i="10"/>
  <c r="AC193" i="10"/>
  <c r="AC189" i="10"/>
  <c r="AC192" i="10"/>
  <c r="AC191" i="10"/>
  <c r="W160" i="10"/>
  <c r="W159" i="10"/>
  <c r="W161" i="10"/>
  <c r="W158" i="10"/>
  <c r="W156" i="10"/>
  <c r="W157" i="10"/>
  <c r="W162" i="10"/>
  <c r="W163" i="10"/>
  <c r="E182" i="10"/>
  <c r="E189" i="10"/>
  <c r="AB64" i="10" l="1"/>
  <c r="AB51" i="10" l="1"/>
  <c r="W178" i="10" s="1"/>
  <c r="W179" i="10" l="1"/>
  <c r="W174" i="10"/>
  <c r="W180" i="10"/>
  <c r="W177" i="10"/>
  <c r="W175" i="10"/>
  <c r="W176" i="10"/>
  <c r="AM53" i="10"/>
  <c r="AJ53" i="10" l="1"/>
  <c r="AL53" i="10"/>
  <c r="AG53" i="10"/>
  <c r="AD53" i="10"/>
  <c r="N91" i="10" l="1"/>
  <c r="R91" i="10"/>
  <c r="U91" i="10"/>
  <c r="X91" i="10"/>
  <c r="AA91" i="10"/>
  <c r="AN91" i="10"/>
  <c r="J91" i="10"/>
  <c r="Q93" i="10"/>
  <c r="S93" i="10"/>
  <c r="T93" i="10"/>
  <c r="W93" i="10"/>
  <c r="V93" i="10"/>
  <c r="Y93" i="10"/>
  <c r="Z93" i="10"/>
  <c r="AN67" i="10"/>
  <c r="AO67" i="10"/>
  <c r="AA67" i="10"/>
  <c r="Y67" i="10"/>
  <c r="X67" i="10"/>
  <c r="U67" i="10"/>
  <c r="N67" i="10"/>
  <c r="J67" i="10"/>
  <c r="AO66" i="10"/>
  <c r="AN66" i="10"/>
  <c r="AA66" i="10"/>
  <c r="Y66" i="10"/>
  <c r="X66" i="10"/>
  <c r="U66" i="10"/>
  <c r="R66" i="10"/>
  <c r="N66" i="10"/>
  <c r="J66" i="10"/>
  <c r="AO60" i="10"/>
  <c r="AN60" i="10"/>
  <c r="AA60" i="10"/>
  <c r="X60" i="10"/>
  <c r="U60" i="10"/>
  <c r="R60" i="10"/>
  <c r="N60" i="10"/>
  <c r="J60" i="10"/>
  <c r="J64" i="10"/>
  <c r="AJ64" i="10" l="1"/>
  <c r="AL64" i="10"/>
  <c r="AG64" i="10"/>
  <c r="AN64" i="10"/>
  <c r="AD64" i="10"/>
  <c r="AM68" i="10"/>
  <c r="X64" i="10"/>
  <c r="N64" i="10"/>
  <c r="AA64" i="10"/>
  <c r="R64" i="10"/>
  <c r="AO64" i="10"/>
  <c r="U64" i="10"/>
  <c r="AS128" i="10"/>
  <c r="AS129" i="10" s="1"/>
  <c r="AS130" i="10" s="1"/>
  <c r="AS131" i="10" s="1"/>
  <c r="Z59" i="10" l="1"/>
  <c r="V56" i="10"/>
  <c r="J56" i="10"/>
  <c r="AN45" i="10"/>
  <c r="AA45" i="10"/>
  <c r="Y45" i="10"/>
  <c r="X45" i="10"/>
  <c r="U45" i="10"/>
  <c r="S45" i="10"/>
  <c r="R45" i="10"/>
  <c r="O45" i="10"/>
  <c r="N45" i="10"/>
  <c r="J45" i="10"/>
  <c r="E50" i="10"/>
  <c r="D50" i="10"/>
  <c r="I50" i="10"/>
  <c r="Q50" i="10"/>
  <c r="T50" i="10"/>
  <c r="Z50" i="10"/>
  <c r="AN56" i="10" l="1"/>
  <c r="AG56" i="10"/>
  <c r="AA56" i="10"/>
  <c r="AD56" i="10"/>
  <c r="U56" i="10"/>
  <c r="N56" i="10"/>
  <c r="X56" i="10"/>
  <c r="AO56" i="10"/>
  <c r="R56" i="10"/>
  <c r="AB48" i="10" l="1"/>
  <c r="M50" i="10"/>
  <c r="AM50" i="10" l="1"/>
  <c r="M93" i="10" l="1"/>
  <c r="AB93" i="10"/>
  <c r="Q285" i="10" l="1"/>
  <c r="Q286" i="10" s="1"/>
  <c r="AB75" i="10" l="1"/>
  <c r="AB44" i="10" l="1"/>
  <c r="AB49" i="10" l="1"/>
  <c r="W169" i="10" l="1"/>
  <c r="W166" i="10"/>
  <c r="W170" i="10"/>
  <c r="W165" i="10"/>
  <c r="W172" i="10"/>
  <c r="W171" i="10"/>
  <c r="W168" i="10"/>
  <c r="W167" i="10"/>
  <c r="AB50" i="10"/>
  <c r="AB59" i="10"/>
  <c r="C256" i="10"/>
  <c r="U205" i="10" l="1"/>
  <c r="U203" i="10"/>
  <c r="W205" i="10"/>
  <c r="X205" i="10" s="1"/>
  <c r="W203" i="10"/>
  <c r="T205" i="10"/>
  <c r="T203" i="10"/>
  <c r="R205" i="10"/>
  <c r="R203" i="10"/>
  <c r="P205" i="10"/>
  <c r="P203" i="10"/>
  <c r="P196" i="10"/>
  <c r="N205" i="10"/>
  <c r="N203" i="10"/>
  <c r="S209" i="10"/>
  <c r="O209" i="10"/>
  <c r="M209" i="10"/>
  <c r="E205" i="10"/>
  <c r="E203" i="10"/>
  <c r="C205" i="10"/>
  <c r="C203" i="10"/>
  <c r="C196" i="10"/>
  <c r="AB84" i="10"/>
  <c r="Z84" i="10"/>
  <c r="Y84" i="10"/>
  <c r="W84" i="10"/>
  <c r="V84" i="10"/>
  <c r="T84" i="10"/>
  <c r="S84" i="10"/>
  <c r="Q84" i="10"/>
  <c r="P84" i="10"/>
  <c r="O84" i="10"/>
  <c r="M84" i="10"/>
  <c r="D84" i="10"/>
  <c r="C198" i="10"/>
  <c r="Z77" i="10"/>
  <c r="W77" i="10"/>
  <c r="V77" i="10"/>
  <c r="T77" i="10"/>
  <c r="S77" i="10"/>
  <c r="Q77" i="10"/>
  <c r="P77" i="10"/>
  <c r="E77" i="10"/>
  <c r="D77" i="10"/>
  <c r="D68" i="10"/>
  <c r="Z68" i="10"/>
  <c r="W68" i="10"/>
  <c r="V68" i="10"/>
  <c r="T68" i="10"/>
  <c r="S68" i="10"/>
  <c r="Q68" i="10"/>
  <c r="P68" i="10"/>
  <c r="O68" i="10"/>
  <c r="I68" i="10"/>
  <c r="E68" i="10"/>
  <c r="D59" i="10"/>
  <c r="D42" i="10"/>
  <c r="D31" i="10"/>
  <c r="P207" i="10" l="1"/>
  <c r="P206" i="10"/>
  <c r="P208" i="10"/>
  <c r="N207" i="10"/>
  <c r="N206" i="10"/>
  <c r="N208" i="10"/>
  <c r="T206" i="10"/>
  <c r="T208" i="10"/>
  <c r="T207" i="10"/>
  <c r="N204" i="10"/>
  <c r="N211" i="10"/>
  <c r="N215" i="10" s="1"/>
  <c r="P204" i="10"/>
  <c r="P211" i="10"/>
  <c r="P215" i="10" s="1"/>
  <c r="T204" i="10"/>
  <c r="T211" i="10"/>
  <c r="T215" i="10" s="1"/>
  <c r="C209" i="10"/>
  <c r="R209" i="10"/>
  <c r="W209" i="10"/>
  <c r="X213" i="10" s="1"/>
  <c r="X215" i="10" s="1"/>
  <c r="U209" i="10"/>
  <c r="V205" i="10" s="1"/>
  <c r="V203" i="10"/>
  <c r="X203" i="10"/>
  <c r="E209" i="10"/>
  <c r="F219" i="10" s="1"/>
  <c r="P209" i="10" l="1"/>
  <c r="D219" i="10"/>
  <c r="D213" i="10"/>
  <c r="AB213" i="10" s="1"/>
  <c r="N209" i="10"/>
  <c r="D208" i="10"/>
  <c r="D206" i="10"/>
  <c r="F208" i="10"/>
  <c r="F206" i="10"/>
  <c r="T209" i="10"/>
  <c r="D218" i="10"/>
  <c r="D216" i="10"/>
  <c r="D220" i="10"/>
  <c r="D217" i="10"/>
  <c r="D221" i="10"/>
  <c r="F220" i="10"/>
  <c r="F217" i="10"/>
  <c r="F218" i="10"/>
  <c r="F216" i="10"/>
  <c r="D211" i="10"/>
  <c r="AB211" i="10" s="1"/>
  <c r="D214" i="10"/>
  <c r="AB214" i="10" s="1"/>
  <c r="D212" i="10"/>
  <c r="AB212" i="10" s="1"/>
  <c r="D210" i="10"/>
  <c r="D215" i="10"/>
  <c r="F211" i="10"/>
  <c r="F214" i="10"/>
  <c r="F213" i="10"/>
  <c r="F210" i="10"/>
  <c r="F212" i="10"/>
  <c r="F204" i="10"/>
  <c r="D209" i="10"/>
  <c r="D204" i="10"/>
  <c r="AB204" i="10" s="1"/>
  <c r="D203" i="10"/>
  <c r="F203" i="10"/>
  <c r="V209" i="10"/>
  <c r="F205" i="10"/>
  <c r="D205" i="10"/>
  <c r="AB205" i="10" s="1"/>
  <c r="F221" i="10" l="1"/>
  <c r="AB210" i="10"/>
  <c r="AB215" i="10" s="1"/>
  <c r="AA215" i="10"/>
  <c r="AA209" i="10"/>
  <c r="AB203" i="10"/>
  <c r="AB209" i="10" s="1"/>
  <c r="F215" i="10"/>
  <c r="X209" i="10"/>
  <c r="F209" i="10"/>
  <c r="AO81" i="10" l="1"/>
  <c r="X81" i="10"/>
  <c r="R81" i="10"/>
  <c r="AA81" i="10"/>
  <c r="N81" i="10"/>
  <c r="AN81" i="10"/>
  <c r="U81" i="10"/>
  <c r="J81" i="10"/>
  <c r="AN82" i="10" l="1"/>
  <c r="AL82" i="10"/>
  <c r="AJ82" i="10"/>
  <c r="AG82" i="10"/>
  <c r="AD82" i="10"/>
  <c r="I84" i="10"/>
  <c r="J82" i="10"/>
  <c r="AA82" i="10"/>
  <c r="R82" i="10"/>
  <c r="N82" i="10"/>
  <c r="AO82" i="10"/>
  <c r="U82" i="10"/>
  <c r="X82" i="10"/>
  <c r="AC199" i="10" l="1"/>
  <c r="AC198" i="10"/>
  <c r="AC201" i="10"/>
  <c r="AC197" i="10"/>
  <c r="AC200" i="10"/>
  <c r="AC196" i="10"/>
  <c r="AB70" i="10"/>
  <c r="W193" i="10" l="1"/>
  <c r="W192" i="10"/>
  <c r="W189" i="10"/>
  <c r="W194" i="10"/>
  <c r="W191" i="10"/>
  <c r="W190" i="10"/>
  <c r="W184" i="10" l="1"/>
  <c r="W183" i="10"/>
  <c r="W186" i="10"/>
  <c r="W185" i="10"/>
  <c r="W182" i="10"/>
  <c r="W187" i="10"/>
  <c r="M77" i="10" l="1"/>
  <c r="K77" i="10"/>
  <c r="I77" i="10"/>
  <c r="AL77" i="10" l="1"/>
  <c r="AJ77" i="10"/>
  <c r="AG77" i="10"/>
  <c r="AD77" i="10"/>
  <c r="AB68" i="10"/>
  <c r="M68" i="10"/>
  <c r="K267" i="10" l="1"/>
  <c r="K266" i="10"/>
  <c r="K265" i="10"/>
  <c r="K263" i="10"/>
  <c r="K262" i="10"/>
  <c r="K261" i="10"/>
  <c r="I267" i="10"/>
  <c r="I266" i="10"/>
  <c r="I265" i="10"/>
  <c r="I263" i="10"/>
  <c r="I261" i="10"/>
  <c r="G267" i="10"/>
  <c r="G266" i="10"/>
  <c r="G265" i="10"/>
  <c r="G263" i="10"/>
  <c r="G262" i="10"/>
  <c r="G261" i="10"/>
  <c r="E266" i="10"/>
  <c r="E265" i="10"/>
  <c r="E263" i="10"/>
  <c r="E261" i="10"/>
  <c r="M266" i="10" l="1"/>
  <c r="X231" i="10" l="1"/>
  <c r="X145" i="10"/>
  <c r="X153" i="10"/>
  <c r="X151" i="10"/>
  <c r="X148" i="10"/>
  <c r="X146" i="10"/>
  <c r="X171" i="10"/>
  <c r="X166" i="10"/>
  <c r="X180" i="10"/>
  <c r="W196" i="10"/>
  <c r="W144" i="10"/>
  <c r="X143" i="10"/>
  <c r="X142" i="10"/>
  <c r="X141" i="10"/>
  <c r="X140" i="10"/>
  <c r="X139" i="10"/>
  <c r="X138" i="10"/>
  <c r="X137" i="10"/>
  <c r="X135" i="10"/>
  <c r="X134" i="10"/>
  <c r="X133" i="10"/>
  <c r="X132" i="10"/>
  <c r="X131" i="10"/>
  <c r="X130" i="10"/>
  <c r="X129" i="10"/>
  <c r="W136" i="10"/>
  <c r="W201" i="10"/>
  <c r="W200" i="10"/>
  <c r="W199" i="10"/>
  <c r="W197" i="10"/>
  <c r="X197" i="10" s="1"/>
  <c r="W198" i="10"/>
  <c r="X144" i="10" l="1"/>
  <c r="T236" i="10"/>
  <c r="W164" i="10"/>
  <c r="W155" i="10"/>
  <c r="W173" i="10"/>
  <c r="X170" i="10" s="1"/>
  <c r="W181" i="10"/>
  <c r="X136" i="10"/>
  <c r="W202" i="10"/>
  <c r="X198" i="10" s="1"/>
  <c r="X196" i="10"/>
  <c r="U201" i="10"/>
  <c r="V201" i="10" s="1"/>
  <c r="U200" i="10"/>
  <c r="U199" i="10"/>
  <c r="U198" i="10"/>
  <c r="U197" i="10"/>
  <c r="V197" i="10" s="1"/>
  <c r="U196" i="10"/>
  <c r="V196" i="10" s="1"/>
  <c r="E201" i="10"/>
  <c r="E200" i="10"/>
  <c r="E199" i="10"/>
  <c r="E198" i="10"/>
  <c r="E197" i="10"/>
  <c r="E196" i="10"/>
  <c r="T201" i="10"/>
  <c r="T200" i="10"/>
  <c r="T199" i="10"/>
  <c r="T198" i="10"/>
  <c r="T197" i="10"/>
  <c r="T196" i="10"/>
  <c r="R201" i="10"/>
  <c r="R200" i="10"/>
  <c r="R199" i="10"/>
  <c r="R198" i="10"/>
  <c r="R197" i="10"/>
  <c r="R196" i="10"/>
  <c r="P201" i="10"/>
  <c r="P200" i="10"/>
  <c r="P199" i="10"/>
  <c r="P198" i="10"/>
  <c r="P197" i="10"/>
  <c r="N201" i="10"/>
  <c r="N200" i="10"/>
  <c r="N199" i="10"/>
  <c r="N198" i="10"/>
  <c r="N197" i="10"/>
  <c r="N196" i="10"/>
  <c r="C201" i="10"/>
  <c r="C200" i="10"/>
  <c r="C199" i="10"/>
  <c r="C197" i="10"/>
  <c r="M202" i="10"/>
  <c r="S202" i="10"/>
  <c r="O202" i="10"/>
  <c r="X177" i="10" l="1"/>
  <c r="X178" i="10"/>
  <c r="X152" i="10"/>
  <c r="X150" i="10"/>
  <c r="X154" i="10"/>
  <c r="X159" i="10"/>
  <c r="X160" i="10"/>
  <c r="X172" i="10"/>
  <c r="X168" i="10"/>
  <c r="X176" i="10"/>
  <c r="X201" i="10"/>
  <c r="X179" i="10"/>
  <c r="X162" i="10"/>
  <c r="X199" i="10"/>
  <c r="X157" i="10"/>
  <c r="X149" i="10"/>
  <c r="X167" i="10"/>
  <c r="X175" i="10"/>
  <c r="X161" i="10"/>
  <c r="X147" i="10"/>
  <c r="X200" i="10"/>
  <c r="X165" i="10"/>
  <c r="X156" i="10"/>
  <c r="D196" i="10"/>
  <c r="F196" i="10"/>
  <c r="X158" i="10"/>
  <c r="X163" i="10"/>
  <c r="X169" i="10"/>
  <c r="X174" i="10"/>
  <c r="N202" i="10"/>
  <c r="C202" i="10"/>
  <c r="D200" i="10" s="1"/>
  <c r="AB200" i="10" s="1"/>
  <c r="E202" i="10"/>
  <c r="Q202" i="10"/>
  <c r="U202" i="10"/>
  <c r="P202" i="10"/>
  <c r="N194" i="10"/>
  <c r="N193" i="10"/>
  <c r="N192" i="10"/>
  <c r="N191" i="10"/>
  <c r="N190" i="10"/>
  <c r="N189" i="10"/>
  <c r="E146" i="10"/>
  <c r="AB196" i="10" l="1"/>
  <c r="X181" i="10"/>
  <c r="D197" i="10"/>
  <c r="AB197" i="10" s="1"/>
  <c r="F197" i="10"/>
  <c r="X173" i="10"/>
  <c r="X202" i="10"/>
  <c r="F201" i="10"/>
  <c r="D201" i="10"/>
  <c r="AB201" i="10" s="1"/>
  <c r="X164" i="10"/>
  <c r="D199" i="10"/>
  <c r="AB199" i="10" s="1"/>
  <c r="D198" i="10"/>
  <c r="AB198" i="10" s="1"/>
  <c r="V198" i="10"/>
  <c r="V199" i="10"/>
  <c r="V200" i="10"/>
  <c r="F199" i="10"/>
  <c r="F198" i="10"/>
  <c r="F200" i="10"/>
  <c r="AA202" i="10" l="1"/>
  <c r="AB202" i="10"/>
  <c r="AB77" i="10"/>
  <c r="N72" i="10" l="1"/>
  <c r="R72" i="10"/>
  <c r="U72" i="10"/>
  <c r="X72" i="10"/>
  <c r="AA72" i="10"/>
  <c r="AO72" i="10"/>
  <c r="J74" i="10"/>
  <c r="J73" i="10"/>
  <c r="J72" i="10"/>
  <c r="R92" i="10"/>
  <c r="U92" i="10"/>
  <c r="X92" i="10"/>
  <c r="AA92" i="10"/>
  <c r="AM92" i="10"/>
  <c r="AO92" i="10"/>
  <c r="AN58" i="10"/>
  <c r="AN53" i="10"/>
  <c r="AN61" i="10"/>
  <c r="AB42" i="10"/>
  <c r="AB31" i="10"/>
  <c r="AA73" i="10"/>
  <c r="AA74" i="10"/>
  <c r="AA70" i="10"/>
  <c r="AA75" i="10"/>
  <c r="AA71" i="10"/>
  <c r="AA85" i="10"/>
  <c r="AA65" i="10"/>
  <c r="AA63" i="10"/>
  <c r="AA58" i="10"/>
  <c r="AA53" i="10"/>
  <c r="AA49" i="10"/>
  <c r="AA47" i="10"/>
  <c r="AA46" i="10"/>
  <c r="AA62" i="10"/>
  <c r="AA61" i="10"/>
  <c r="AA44" i="10"/>
  <c r="AA43" i="10"/>
  <c r="AA41" i="10"/>
  <c r="AA40" i="10"/>
  <c r="AA39" i="10"/>
  <c r="AA38" i="10"/>
  <c r="AA36" i="10"/>
  <c r="AA35" i="10"/>
  <c r="AA30" i="10"/>
  <c r="AA29" i="10"/>
  <c r="AA27" i="10"/>
  <c r="AA26" i="10"/>
  <c r="AA25" i="10"/>
  <c r="AA24" i="10"/>
  <c r="AA23" i="10"/>
  <c r="AA22" i="10"/>
  <c r="AA21" i="10"/>
  <c r="AA20" i="10"/>
  <c r="AA19" i="10"/>
  <c r="Z8" i="10"/>
  <c r="Z12" i="10"/>
  <c r="Z18" i="10"/>
  <c r="Z42" i="10"/>
  <c r="Z31" i="10"/>
  <c r="Y24" i="10"/>
  <c r="Y25" i="10"/>
  <c r="Y26" i="10"/>
  <c r="Y29" i="10"/>
  <c r="Y35" i="10"/>
  <c r="Y37" i="10"/>
  <c r="Y38" i="10"/>
  <c r="Y41" i="10"/>
  <c r="Y48" i="10"/>
  <c r="Y49" i="10"/>
  <c r="Y51" i="10"/>
  <c r="Y58" i="10"/>
  <c r="Y63" i="10"/>
  <c r="Y65" i="10"/>
  <c r="Y69" i="10"/>
  <c r="Y71" i="10"/>
  <c r="C152" i="10"/>
  <c r="D152" i="10" s="1"/>
  <c r="AB152" i="10" s="1"/>
  <c r="E152" i="10"/>
  <c r="F152" i="10" s="1"/>
  <c r="G152" i="10"/>
  <c r="Q152" i="10"/>
  <c r="F279" i="10"/>
  <c r="H279" i="10"/>
  <c r="J279" i="10"/>
  <c r="L279" i="10"/>
  <c r="N279" i="10"/>
  <c r="M59" i="10"/>
  <c r="J69" i="10"/>
  <c r="AO62" i="10"/>
  <c r="X62" i="10"/>
  <c r="U62" i="10"/>
  <c r="R62" i="10"/>
  <c r="N62" i="10"/>
  <c r="X47" i="10"/>
  <c r="AN47" i="10"/>
  <c r="AO47" i="10"/>
  <c r="U47" i="10"/>
  <c r="N47" i="10"/>
  <c r="R47" i="10"/>
  <c r="AN74" i="10"/>
  <c r="AO74" i="10"/>
  <c r="AO73" i="10"/>
  <c r="U73" i="10"/>
  <c r="X73" i="10"/>
  <c r="R73" i="10"/>
  <c r="N74" i="10"/>
  <c r="N73" i="10"/>
  <c r="R74" i="10"/>
  <c r="U74" i="10"/>
  <c r="X74" i="10"/>
  <c r="R71" i="10"/>
  <c r="R75" i="10"/>
  <c r="R70" i="10"/>
  <c r="U71" i="10"/>
  <c r="U75" i="10"/>
  <c r="U70" i="10"/>
  <c r="X71" i="10"/>
  <c r="X75" i="10"/>
  <c r="X70" i="10"/>
  <c r="U85" i="10"/>
  <c r="W48" i="10"/>
  <c r="W50" i="10" s="1"/>
  <c r="V48" i="10"/>
  <c r="V50" i="10" s="1"/>
  <c r="AN46" i="10"/>
  <c r="J70" i="10"/>
  <c r="J75" i="10"/>
  <c r="J71" i="10"/>
  <c r="N71" i="10"/>
  <c r="AO71" i="10"/>
  <c r="AN75" i="10"/>
  <c r="N75" i="10"/>
  <c r="AO75" i="10"/>
  <c r="N70" i="10"/>
  <c r="AO70" i="10"/>
  <c r="I93" i="10"/>
  <c r="J85" i="10"/>
  <c r="O77" i="10"/>
  <c r="W28" i="10"/>
  <c r="W31" i="10" s="1"/>
  <c r="V28" i="10"/>
  <c r="M31" i="10"/>
  <c r="I240" i="10"/>
  <c r="V41" i="10"/>
  <c r="N284" i="10"/>
  <c r="N283" i="10"/>
  <c r="N282" i="10"/>
  <c r="N281" i="10"/>
  <c r="N280" i="10"/>
  <c r="N278" i="10"/>
  <c r="L278" i="10"/>
  <c r="L284" i="10"/>
  <c r="L283" i="10"/>
  <c r="L282" i="10"/>
  <c r="L281" i="10"/>
  <c r="L280" i="10"/>
  <c r="J278" i="10"/>
  <c r="J284" i="10"/>
  <c r="J283" i="10"/>
  <c r="J282" i="10"/>
  <c r="J281" i="10"/>
  <c r="J280" i="10"/>
  <c r="H278" i="10"/>
  <c r="H284" i="10"/>
  <c r="H283" i="10"/>
  <c r="H282" i="10"/>
  <c r="H281" i="10"/>
  <c r="H280" i="10"/>
  <c r="F278" i="10"/>
  <c r="F284" i="10"/>
  <c r="F283" i="10"/>
  <c r="F282" i="10"/>
  <c r="F281" i="10"/>
  <c r="F280" i="10"/>
  <c r="I260" i="10"/>
  <c r="M124" i="10"/>
  <c r="V52" i="10"/>
  <c r="V53" i="10"/>
  <c r="V54" i="10"/>
  <c r="V55" i="10"/>
  <c r="V58" i="10"/>
  <c r="Q156" i="10"/>
  <c r="T136" i="10"/>
  <c r="T144" i="10"/>
  <c r="S144" i="10"/>
  <c r="S136" i="10"/>
  <c r="U136" i="10"/>
  <c r="AO58" i="10"/>
  <c r="X58" i="10"/>
  <c r="U58" i="10"/>
  <c r="R58" i="10"/>
  <c r="N58" i="10"/>
  <c r="AO26" i="10"/>
  <c r="Y12" i="10"/>
  <c r="Y18" i="10"/>
  <c r="Y8" i="10"/>
  <c r="X63" i="10"/>
  <c r="X53" i="10"/>
  <c r="X49" i="10"/>
  <c r="X46" i="10"/>
  <c r="X61" i="10"/>
  <c r="X44" i="10"/>
  <c r="X43" i="10"/>
  <c r="X41" i="10"/>
  <c r="X40" i="10"/>
  <c r="X39" i="10"/>
  <c r="X38" i="10"/>
  <c r="X36" i="10"/>
  <c r="X35" i="10"/>
  <c r="X33" i="10"/>
  <c r="X30" i="10"/>
  <c r="X29" i="10"/>
  <c r="X27" i="10"/>
  <c r="X26" i="10"/>
  <c r="X25" i="10"/>
  <c r="X24" i="10"/>
  <c r="X23" i="10"/>
  <c r="X22" i="10"/>
  <c r="X21" i="10"/>
  <c r="X20" i="10"/>
  <c r="X19" i="10"/>
  <c r="X17" i="10"/>
  <c r="X16" i="10"/>
  <c r="X15" i="10"/>
  <c r="X14" i="10"/>
  <c r="X11" i="10"/>
  <c r="X10" i="10"/>
  <c r="X9" i="10"/>
  <c r="X7" i="10"/>
  <c r="X6" i="10"/>
  <c r="X5" i="10"/>
  <c r="X4" i="10"/>
  <c r="X3" i="10"/>
  <c r="W59" i="10"/>
  <c r="W42" i="10"/>
  <c r="W18" i="10"/>
  <c r="W12" i="10"/>
  <c r="W8" i="10"/>
  <c r="V37" i="10"/>
  <c r="V38" i="10"/>
  <c r="V30" i="10"/>
  <c r="V22" i="10"/>
  <c r="V39" i="10"/>
  <c r="V35" i="10"/>
  <c r="V24" i="10"/>
  <c r="V40" i="10"/>
  <c r="V32" i="10"/>
  <c r="AO63" i="10"/>
  <c r="V27" i="10"/>
  <c r="K260" i="10"/>
  <c r="G260" i="10"/>
  <c r="E260" i="10"/>
  <c r="E194" i="10"/>
  <c r="E193" i="10"/>
  <c r="E192" i="10"/>
  <c r="E191" i="10"/>
  <c r="E190" i="10"/>
  <c r="M195" i="10"/>
  <c r="J65" i="10"/>
  <c r="R63" i="10"/>
  <c r="N63" i="10"/>
  <c r="N65" i="10"/>
  <c r="U63" i="10"/>
  <c r="V36" i="10"/>
  <c r="V26" i="10"/>
  <c r="AN63" i="10"/>
  <c r="V23" i="10"/>
  <c r="AN43" i="10"/>
  <c r="S43" i="10"/>
  <c r="T41" i="10"/>
  <c r="U41" i="10" s="1"/>
  <c r="T11" i="10"/>
  <c r="U11" i="10" s="1"/>
  <c r="AO16" i="10"/>
  <c r="S16" i="10"/>
  <c r="Q143" i="10" s="1"/>
  <c r="E147" i="10"/>
  <c r="F147" i="10" s="1"/>
  <c r="E148" i="10"/>
  <c r="F148" i="10" s="1"/>
  <c r="E149" i="10"/>
  <c r="E150" i="10"/>
  <c r="E151" i="10"/>
  <c r="E153" i="10"/>
  <c r="E154" i="10"/>
  <c r="E156" i="10"/>
  <c r="E157" i="10"/>
  <c r="E158" i="10"/>
  <c r="E159" i="10"/>
  <c r="E160" i="10"/>
  <c r="E161" i="10"/>
  <c r="E162" i="10"/>
  <c r="E163" i="10"/>
  <c r="E174" i="10"/>
  <c r="E175" i="10"/>
  <c r="E176" i="10"/>
  <c r="E179" i="10"/>
  <c r="E180" i="10"/>
  <c r="F180" i="10" s="1"/>
  <c r="X227" i="10"/>
  <c r="E129" i="10"/>
  <c r="E130" i="10"/>
  <c r="F130" i="10" s="1"/>
  <c r="E131" i="10"/>
  <c r="F131" i="10" s="1"/>
  <c r="E132" i="10"/>
  <c r="F132" i="10" s="1"/>
  <c r="E133" i="10"/>
  <c r="F133" i="10" s="1"/>
  <c r="E134" i="10"/>
  <c r="F134" i="10" s="1"/>
  <c r="E135" i="10"/>
  <c r="F135" i="10" s="1"/>
  <c r="E137" i="10"/>
  <c r="F137" i="10" s="1"/>
  <c r="E138" i="10"/>
  <c r="F138" i="10" s="1"/>
  <c r="E139" i="10"/>
  <c r="F139" i="10" s="1"/>
  <c r="E140" i="10"/>
  <c r="F140" i="10" s="1"/>
  <c r="E141" i="10"/>
  <c r="F141" i="10" s="1"/>
  <c r="E142" i="10"/>
  <c r="F142" i="10" s="1"/>
  <c r="E143" i="10"/>
  <c r="F143" i="10" s="1"/>
  <c r="E165" i="10"/>
  <c r="E166" i="10"/>
  <c r="F166" i="10" s="1"/>
  <c r="E167" i="10"/>
  <c r="E168" i="10"/>
  <c r="E169" i="10"/>
  <c r="E171" i="10"/>
  <c r="F171" i="10" s="1"/>
  <c r="E183" i="10"/>
  <c r="E184" i="10"/>
  <c r="E185" i="10"/>
  <c r="E186" i="10"/>
  <c r="E187" i="10"/>
  <c r="C255" i="10"/>
  <c r="E51" i="10"/>
  <c r="J63" i="10"/>
  <c r="Q175" i="10"/>
  <c r="AM17" i="10"/>
  <c r="AN17" i="10" s="1"/>
  <c r="V140" i="10"/>
  <c r="V135" i="10"/>
  <c r="V134" i="10"/>
  <c r="V133" i="10"/>
  <c r="V132" i="10"/>
  <c r="V131" i="10"/>
  <c r="V130" i="10"/>
  <c r="V129" i="10"/>
  <c r="Q180" i="10"/>
  <c r="R180" i="10" s="1"/>
  <c r="Q179" i="10"/>
  <c r="R179" i="10" s="1"/>
  <c r="Q176" i="10"/>
  <c r="Q174" i="10"/>
  <c r="S44" i="10"/>
  <c r="S49" i="10"/>
  <c r="Q163" i="10"/>
  <c r="Q162" i="10"/>
  <c r="Q161" i="10"/>
  <c r="Q160" i="10"/>
  <c r="Q159" i="10"/>
  <c r="R159" i="10" s="1"/>
  <c r="Q158" i="10"/>
  <c r="Q157" i="10"/>
  <c r="Q135" i="10"/>
  <c r="Q134" i="10"/>
  <c r="R134" i="10" s="1"/>
  <c r="Q133" i="10"/>
  <c r="R133" i="10" s="1"/>
  <c r="Q132" i="10"/>
  <c r="R132" i="10" s="1"/>
  <c r="Q131" i="10"/>
  <c r="R131" i="10" s="1"/>
  <c r="Q130" i="10"/>
  <c r="Q129" i="10"/>
  <c r="AO53" i="10"/>
  <c r="AO49" i="10"/>
  <c r="AO61" i="10"/>
  <c r="AO44" i="10"/>
  <c r="AO43" i="10"/>
  <c r="AO40" i="10"/>
  <c r="AO39" i="10"/>
  <c r="AO38" i="10"/>
  <c r="AO36" i="10"/>
  <c r="AO35" i="10"/>
  <c r="AO33" i="10"/>
  <c r="AO30" i="10"/>
  <c r="AO29" i="10"/>
  <c r="AO27" i="10"/>
  <c r="AO25" i="10"/>
  <c r="AO24" i="10"/>
  <c r="AO23" i="10"/>
  <c r="AO21" i="10"/>
  <c r="AO20" i="10"/>
  <c r="AO19" i="10"/>
  <c r="AO17" i="10"/>
  <c r="AO15" i="10"/>
  <c r="AO14" i="10"/>
  <c r="K13" i="10"/>
  <c r="AO11" i="10"/>
  <c r="AO10" i="10"/>
  <c r="AO9" i="10"/>
  <c r="AO7" i="10"/>
  <c r="AO6" i="10"/>
  <c r="AO5" i="10"/>
  <c r="AO4" i="10"/>
  <c r="AN49" i="10"/>
  <c r="AN40" i="10"/>
  <c r="AN39" i="10"/>
  <c r="AN38" i="10"/>
  <c r="AN35" i="10"/>
  <c r="AN33" i="10"/>
  <c r="AN30" i="10"/>
  <c r="AN29" i="10"/>
  <c r="AN27" i="10"/>
  <c r="AN25" i="10"/>
  <c r="AN24" i="10"/>
  <c r="AN23" i="10"/>
  <c r="AN22" i="10"/>
  <c r="AN21" i="10"/>
  <c r="AN20" i="10"/>
  <c r="AN19" i="10"/>
  <c r="AN16" i="10"/>
  <c r="AN15" i="10"/>
  <c r="AN14" i="10"/>
  <c r="AN11" i="10"/>
  <c r="AN9" i="10"/>
  <c r="AN7" i="10"/>
  <c r="AN6" i="10"/>
  <c r="AN5" i="10"/>
  <c r="V18" i="10"/>
  <c r="V12" i="10"/>
  <c r="V8" i="10"/>
  <c r="U53" i="10"/>
  <c r="T59" i="10"/>
  <c r="U49" i="10"/>
  <c r="U46" i="10"/>
  <c r="U61" i="10"/>
  <c r="U44" i="10"/>
  <c r="U43" i="10"/>
  <c r="U40" i="10"/>
  <c r="U39" i="10"/>
  <c r="U38" i="10"/>
  <c r="U35" i="10"/>
  <c r="U33" i="10"/>
  <c r="T31" i="10"/>
  <c r="U30" i="10"/>
  <c r="U29" i="10"/>
  <c r="U27" i="10"/>
  <c r="U26" i="10"/>
  <c r="U25" i="10"/>
  <c r="U24" i="10"/>
  <c r="U23" i="10"/>
  <c r="U22" i="10"/>
  <c r="U21" i="10"/>
  <c r="U20" i="10"/>
  <c r="U19" i="10"/>
  <c r="U17" i="10"/>
  <c r="U16" i="10"/>
  <c r="U15" i="10"/>
  <c r="U14" i="10"/>
  <c r="T18" i="10"/>
  <c r="U7" i="10"/>
  <c r="U6" i="10"/>
  <c r="U5" i="10"/>
  <c r="U4" i="10"/>
  <c r="U3" i="10"/>
  <c r="U10" i="10"/>
  <c r="U9" i="10"/>
  <c r="T8" i="10"/>
  <c r="Q8" i="10"/>
  <c r="I8" i="10"/>
  <c r="K8" i="10"/>
  <c r="O8" i="10"/>
  <c r="V306" i="10"/>
  <c r="S306" i="10"/>
  <c r="AL299" i="10" s="1"/>
  <c r="E306" i="10"/>
  <c r="N306" i="10" s="1"/>
  <c r="E305" i="10"/>
  <c r="G252" i="10"/>
  <c r="B252" i="10"/>
  <c r="I247" i="10"/>
  <c r="O247" i="10" s="1"/>
  <c r="I246" i="10"/>
  <c r="N246" i="10" s="1"/>
  <c r="I245" i="10"/>
  <c r="I244" i="10"/>
  <c r="O244" i="10" s="1"/>
  <c r="L240" i="10"/>
  <c r="L239" i="10"/>
  <c r="N239" i="10" s="1"/>
  <c r="O180" i="10"/>
  <c r="P180" i="10" s="1"/>
  <c r="O179" i="10"/>
  <c r="P179" i="10" s="1"/>
  <c r="O176" i="10"/>
  <c r="P176" i="10" s="1"/>
  <c r="O175" i="10"/>
  <c r="O174" i="10"/>
  <c r="P174" i="10" s="1"/>
  <c r="C172" i="10"/>
  <c r="C171" i="10"/>
  <c r="D171" i="10" s="1"/>
  <c r="AB171" i="10" s="1"/>
  <c r="C170" i="10"/>
  <c r="C169" i="10"/>
  <c r="D169" i="10" s="1"/>
  <c r="AB169" i="10" s="1"/>
  <c r="C168" i="10"/>
  <c r="C167" i="10"/>
  <c r="D167" i="10" s="1"/>
  <c r="AB167" i="10" s="1"/>
  <c r="C166" i="10"/>
  <c r="D166" i="10" s="1"/>
  <c r="AB166" i="10" s="1"/>
  <c r="C165" i="10"/>
  <c r="C163" i="10"/>
  <c r="C162" i="10"/>
  <c r="C161" i="10"/>
  <c r="C160" i="10"/>
  <c r="C159" i="10"/>
  <c r="C158" i="10"/>
  <c r="C157" i="10"/>
  <c r="H145" i="10"/>
  <c r="G146" i="10"/>
  <c r="G147" i="10"/>
  <c r="H147" i="10" s="1"/>
  <c r="G148" i="10"/>
  <c r="H148" i="10" s="1"/>
  <c r="G149" i="10"/>
  <c r="G150" i="10"/>
  <c r="G151" i="10"/>
  <c r="G153" i="10"/>
  <c r="G154" i="10"/>
  <c r="C156" i="10"/>
  <c r="C154" i="10"/>
  <c r="C153" i="10"/>
  <c r="C151" i="10"/>
  <c r="I147" i="10"/>
  <c r="J147" i="10" s="1"/>
  <c r="C150" i="10"/>
  <c r="C149" i="10"/>
  <c r="C148" i="10"/>
  <c r="D148" i="10" s="1"/>
  <c r="AB148" i="10" s="1"/>
  <c r="C147" i="10"/>
  <c r="D147" i="10" s="1"/>
  <c r="AB147" i="10" s="1"/>
  <c r="C146" i="10"/>
  <c r="D145" i="10"/>
  <c r="M143" i="10"/>
  <c r="N143" i="10" s="1"/>
  <c r="M142" i="10"/>
  <c r="N142" i="10" s="1"/>
  <c r="M141" i="10"/>
  <c r="N141" i="10" s="1"/>
  <c r="M140" i="10"/>
  <c r="N140" i="10" s="1"/>
  <c r="M139" i="10"/>
  <c r="N139" i="10" s="1"/>
  <c r="M138" i="10"/>
  <c r="N138" i="10" s="1"/>
  <c r="M137" i="10"/>
  <c r="N137" i="10" s="1"/>
  <c r="M135" i="10"/>
  <c r="N135" i="10" s="1"/>
  <c r="I135" i="10"/>
  <c r="J135" i="10" s="1"/>
  <c r="G135" i="10"/>
  <c r="H135" i="10" s="1"/>
  <c r="M134" i="10"/>
  <c r="N134" i="10" s="1"/>
  <c r="I134" i="10"/>
  <c r="J134" i="10" s="1"/>
  <c r="G134" i="10"/>
  <c r="H134" i="10" s="1"/>
  <c r="M133" i="10"/>
  <c r="N133" i="10" s="1"/>
  <c r="I133" i="10"/>
  <c r="J133" i="10" s="1"/>
  <c r="G133" i="10"/>
  <c r="H133" i="10" s="1"/>
  <c r="M132" i="10"/>
  <c r="N132" i="10" s="1"/>
  <c r="I132" i="10"/>
  <c r="J132" i="10" s="1"/>
  <c r="G132" i="10"/>
  <c r="H132" i="10" s="1"/>
  <c r="M131" i="10"/>
  <c r="N131" i="10" s="1"/>
  <c r="I131" i="10"/>
  <c r="J131" i="10" s="1"/>
  <c r="G131" i="10"/>
  <c r="H131" i="10" s="1"/>
  <c r="M130" i="10"/>
  <c r="N130" i="10" s="1"/>
  <c r="I130" i="10"/>
  <c r="J130" i="10" s="1"/>
  <c r="G130" i="10"/>
  <c r="H130" i="10" s="1"/>
  <c r="M129" i="10"/>
  <c r="N129" i="10" s="1"/>
  <c r="I129" i="10"/>
  <c r="G129" i="10"/>
  <c r="S59" i="10"/>
  <c r="Q59" i="10"/>
  <c r="P59" i="10"/>
  <c r="J55" i="10"/>
  <c r="J54" i="10"/>
  <c r="R53" i="10"/>
  <c r="N53" i="10"/>
  <c r="J53" i="10"/>
  <c r="J52" i="10"/>
  <c r="R49" i="10"/>
  <c r="N49" i="10"/>
  <c r="J49" i="10"/>
  <c r="J48" i="10"/>
  <c r="R46" i="10"/>
  <c r="J46" i="10"/>
  <c r="O50" i="10"/>
  <c r="R61" i="10"/>
  <c r="N61" i="10"/>
  <c r="J61" i="10"/>
  <c r="R44" i="10"/>
  <c r="P44" i="10"/>
  <c r="P50" i="10" s="1"/>
  <c r="N44" i="10"/>
  <c r="J44" i="10"/>
  <c r="R43" i="10"/>
  <c r="N43" i="10"/>
  <c r="J43" i="10"/>
  <c r="Q42" i="10"/>
  <c r="E42" i="10"/>
  <c r="R41" i="10"/>
  <c r="J41" i="10"/>
  <c r="R40" i="10"/>
  <c r="O40" i="10"/>
  <c r="O42" i="10" s="1"/>
  <c r="N40" i="10"/>
  <c r="J40" i="10"/>
  <c r="R39" i="10"/>
  <c r="P39" i="10"/>
  <c r="J39" i="10"/>
  <c r="R38" i="10"/>
  <c r="P38" i="10"/>
  <c r="N38" i="10"/>
  <c r="J38" i="10"/>
  <c r="P37" i="10"/>
  <c r="P36" i="10"/>
  <c r="J36" i="10"/>
  <c r="R35" i="10"/>
  <c r="P35" i="10"/>
  <c r="N35" i="10"/>
  <c r="J35" i="10"/>
  <c r="R33" i="10"/>
  <c r="P33" i="10"/>
  <c r="N33" i="10"/>
  <c r="J33" i="10"/>
  <c r="J32" i="10"/>
  <c r="Q31" i="10"/>
  <c r="I31" i="10"/>
  <c r="E31" i="10"/>
  <c r="R30" i="10"/>
  <c r="N30" i="10"/>
  <c r="R29" i="10"/>
  <c r="P29" i="10"/>
  <c r="N29" i="10"/>
  <c r="J29" i="10"/>
  <c r="P28" i="10"/>
  <c r="J28" i="10"/>
  <c r="R27" i="10"/>
  <c r="N27" i="10"/>
  <c r="J27" i="10"/>
  <c r="R26" i="10"/>
  <c r="P26" i="10"/>
  <c r="P22" i="10"/>
  <c r="P23" i="10"/>
  <c r="O26" i="10"/>
  <c r="M148" i="10" s="1"/>
  <c r="N148" i="10" s="1"/>
  <c r="J26" i="10"/>
  <c r="R25" i="10"/>
  <c r="N25" i="10"/>
  <c r="J25" i="10"/>
  <c r="R24" i="10"/>
  <c r="N24" i="10"/>
  <c r="J24" i="10"/>
  <c r="R23" i="10"/>
  <c r="N23" i="10"/>
  <c r="J23" i="10"/>
  <c r="R22" i="10"/>
  <c r="N22" i="10"/>
  <c r="J22" i="10"/>
  <c r="R21" i="10"/>
  <c r="N21" i="10"/>
  <c r="J21" i="10"/>
  <c r="R20" i="10"/>
  <c r="N20" i="10"/>
  <c r="J20" i="10"/>
  <c r="R19" i="10"/>
  <c r="N19" i="10"/>
  <c r="J19" i="10"/>
  <c r="Q18" i="10"/>
  <c r="O18" i="10"/>
  <c r="D18" i="10"/>
  <c r="R17" i="10"/>
  <c r="N17" i="10"/>
  <c r="J17" i="10"/>
  <c r="R16" i="10"/>
  <c r="P16" i="10"/>
  <c r="N16" i="10"/>
  <c r="J16" i="10"/>
  <c r="R15" i="10"/>
  <c r="P15" i="10"/>
  <c r="P13" i="10"/>
  <c r="N15" i="10"/>
  <c r="I15" i="10"/>
  <c r="G137" i="10" s="1"/>
  <c r="H137" i="10" s="1"/>
  <c r="E15" i="10"/>
  <c r="C143" i="10" s="1"/>
  <c r="D143" i="10" s="1"/>
  <c r="R14" i="10"/>
  <c r="J14" i="10"/>
  <c r="J13" i="10"/>
  <c r="AM12" i="10"/>
  <c r="S12" i="10"/>
  <c r="Q12" i="10"/>
  <c r="O12" i="10"/>
  <c r="K12" i="10"/>
  <c r="I12" i="10"/>
  <c r="D12" i="10"/>
  <c r="R11" i="10"/>
  <c r="N11" i="10"/>
  <c r="E11" i="10"/>
  <c r="C129" i="10" s="1"/>
  <c r="R10" i="10"/>
  <c r="P10" i="10"/>
  <c r="J10" i="10"/>
  <c r="AT9" i="10"/>
  <c r="R9" i="10"/>
  <c r="P9" i="10"/>
  <c r="N9" i="10"/>
  <c r="J9" i="10"/>
  <c r="AM8" i="10"/>
  <c r="S8" i="10"/>
  <c r="P8" i="10"/>
  <c r="E8" i="10"/>
  <c r="D8" i="10"/>
  <c r="R7" i="10"/>
  <c r="N7" i="10"/>
  <c r="J7" i="10"/>
  <c r="R6" i="10"/>
  <c r="N6" i="10"/>
  <c r="J6" i="10"/>
  <c r="R5" i="10"/>
  <c r="N5" i="10"/>
  <c r="J5" i="10"/>
  <c r="R4" i="10"/>
  <c r="J4" i="10"/>
  <c r="R3" i="10"/>
  <c r="N3" i="10"/>
  <c r="J3" i="10"/>
  <c r="N26" i="10"/>
  <c r="M18" i="10"/>
  <c r="N14" i="10"/>
  <c r="N36" i="10"/>
  <c r="R36" i="10"/>
  <c r="AN4" i="10"/>
  <c r="N4" i="10"/>
  <c r="M8" i="10"/>
  <c r="AN10" i="10"/>
  <c r="U36" i="10"/>
  <c r="N10" i="10"/>
  <c r="M12" i="10"/>
  <c r="S42" i="10"/>
  <c r="Q153" i="10"/>
  <c r="Q145" i="10"/>
  <c r="O59" i="10"/>
  <c r="V138" i="10"/>
  <c r="Q149" i="10"/>
  <c r="M174" i="10"/>
  <c r="N174" i="10" s="1"/>
  <c r="S31" i="10"/>
  <c r="Q151" i="10"/>
  <c r="Q146" i="10"/>
  <c r="N46" i="10"/>
  <c r="M176" i="10"/>
  <c r="N176" i="10" s="1"/>
  <c r="M175" i="10"/>
  <c r="N175" i="10" s="1"/>
  <c r="M179" i="10"/>
  <c r="AO46" i="10"/>
  <c r="G166" i="10"/>
  <c r="H166" i="10" s="1"/>
  <c r="M180" i="10"/>
  <c r="N180" i="10" s="1"/>
  <c r="Q150" i="10"/>
  <c r="Q148" i="10"/>
  <c r="R148" i="10" s="1"/>
  <c r="Q154" i="10"/>
  <c r="Q147" i="10"/>
  <c r="R147" i="10" s="1"/>
  <c r="G168" i="10"/>
  <c r="V143" i="10"/>
  <c r="V142" i="10"/>
  <c r="V141" i="10"/>
  <c r="G165" i="10"/>
  <c r="G167" i="10"/>
  <c r="G172" i="10"/>
  <c r="AO41" i="10"/>
  <c r="N41" i="10"/>
  <c r="AN41" i="10"/>
  <c r="M42" i="10"/>
  <c r="AN26" i="10"/>
  <c r="AM31" i="10"/>
  <c r="AS30" i="10" s="1"/>
  <c r="V139" i="10"/>
  <c r="G170" i="10"/>
  <c r="G171" i="10"/>
  <c r="H171" i="10" s="1"/>
  <c r="G169" i="10"/>
  <c r="G180" i="10"/>
  <c r="H180" i="10" s="1"/>
  <c r="G176" i="10"/>
  <c r="V137" i="10"/>
  <c r="U144" i="10"/>
  <c r="G175" i="10"/>
  <c r="G174" i="10"/>
  <c r="AO65" i="10"/>
  <c r="G179" i="10"/>
  <c r="I59" i="10"/>
  <c r="X65" i="10"/>
  <c r="R65" i="10"/>
  <c r="U65" i="10"/>
  <c r="I152" i="10"/>
  <c r="J152" i="10" s="1"/>
  <c r="AA28" i="10"/>
  <c r="N28" i="10"/>
  <c r="K31" i="10"/>
  <c r="I146" i="10"/>
  <c r="I151" i="10"/>
  <c r="I154" i="10"/>
  <c r="I149" i="10"/>
  <c r="R28" i="10"/>
  <c r="I148" i="10"/>
  <c r="J148" i="10" s="1"/>
  <c r="I150" i="10"/>
  <c r="I153" i="10"/>
  <c r="U28" i="10"/>
  <c r="AN28" i="10"/>
  <c r="AO28" i="10"/>
  <c r="R85" i="10"/>
  <c r="N85" i="10"/>
  <c r="AO85" i="10"/>
  <c r="X85" i="10"/>
  <c r="O129" i="10" l="1"/>
  <c r="P129" i="10" s="1"/>
  <c r="D280" i="10"/>
  <c r="S280" i="10" s="1"/>
  <c r="D284" i="10"/>
  <c r="S284" i="10" s="1"/>
  <c r="D278" i="10"/>
  <c r="S278" i="10" s="1"/>
  <c r="D283" i="10"/>
  <c r="S283" i="10" s="1"/>
  <c r="D282" i="10"/>
  <c r="S282" i="10" s="1"/>
  <c r="D281" i="10"/>
  <c r="S281" i="10" s="1"/>
  <c r="D279" i="10"/>
  <c r="S279" i="10" s="1"/>
  <c r="C180" i="10"/>
  <c r="C176" i="10"/>
  <c r="C179" i="10"/>
  <c r="C175" i="10"/>
  <c r="C178" i="10"/>
  <c r="C174" i="10"/>
  <c r="C177" i="10"/>
  <c r="AB115" i="10"/>
  <c r="AC208" i="10"/>
  <c r="AC206" i="10"/>
  <c r="AD206" i="10" s="1"/>
  <c r="AC207" i="10"/>
  <c r="AD207" i="10" s="1"/>
  <c r="K207" i="10"/>
  <c r="L207" i="10" s="1"/>
  <c r="K208" i="10"/>
  <c r="K206" i="10"/>
  <c r="AC204" i="10"/>
  <c r="AC205" i="10"/>
  <c r="AC203" i="10"/>
  <c r="U178" i="10"/>
  <c r="AL48" i="10"/>
  <c r="AJ48" i="10"/>
  <c r="AN51" i="10"/>
  <c r="AJ51" i="10"/>
  <c r="AL51" i="10"/>
  <c r="I178" i="10"/>
  <c r="S178" i="10"/>
  <c r="AJ54" i="10"/>
  <c r="AL54" i="10"/>
  <c r="AB145" i="10"/>
  <c r="AN54" i="10"/>
  <c r="X230" i="10"/>
  <c r="X235" i="10"/>
  <c r="X229" i="10"/>
  <c r="W115" i="10"/>
  <c r="Q115" i="10"/>
  <c r="M115" i="10"/>
  <c r="Z115" i="10"/>
  <c r="D115" i="10"/>
  <c r="AD213" i="10"/>
  <c r="U177" i="10"/>
  <c r="I177" i="10"/>
  <c r="S177" i="10"/>
  <c r="AG48" i="10"/>
  <c r="AG54" i="10"/>
  <c r="AG55" i="10"/>
  <c r="AO52" i="10"/>
  <c r="AG52" i="10"/>
  <c r="AG51" i="10"/>
  <c r="AM93" i="10"/>
  <c r="O93" i="10"/>
  <c r="P93" i="10"/>
  <c r="N31" i="10"/>
  <c r="AD51" i="10"/>
  <c r="AD8" i="10"/>
  <c r="AG8" i="10"/>
  <c r="K50" i="10"/>
  <c r="AD48" i="10"/>
  <c r="AD31" i="10"/>
  <c r="AG31" i="10"/>
  <c r="AD12" i="10"/>
  <c r="AG12" i="10"/>
  <c r="AD54" i="10"/>
  <c r="AG13" i="10"/>
  <c r="AD13" i="10"/>
  <c r="AA13" i="10"/>
  <c r="K145" i="10"/>
  <c r="L145" i="10" s="1"/>
  <c r="AA55" i="10"/>
  <c r="AD55" i="10"/>
  <c r="AA52" i="10"/>
  <c r="AD52" i="10"/>
  <c r="AA8" i="10"/>
  <c r="AA12" i="10"/>
  <c r="X54" i="10"/>
  <c r="Y50" i="10"/>
  <c r="S50" i="10"/>
  <c r="F145" i="10"/>
  <c r="J145" i="10"/>
  <c r="G205" i="10"/>
  <c r="G203" i="10"/>
  <c r="R51" i="10"/>
  <c r="G143" i="10"/>
  <c r="H143" i="10" s="1"/>
  <c r="Y77" i="10"/>
  <c r="U52" i="10"/>
  <c r="I171" i="10"/>
  <c r="J171" i="10" s="1"/>
  <c r="K68" i="10"/>
  <c r="O168" i="10"/>
  <c r="Y68" i="10"/>
  <c r="O133" i="10"/>
  <c r="P133" i="10" s="1"/>
  <c r="N55" i="10"/>
  <c r="X28" i="10"/>
  <c r="X55" i="10"/>
  <c r="M169" i="10"/>
  <c r="N169" i="10" s="1"/>
  <c r="AO55" i="10"/>
  <c r="AN55" i="10"/>
  <c r="U55" i="10"/>
  <c r="R55" i="10"/>
  <c r="T42" i="10"/>
  <c r="C268" i="10"/>
  <c r="O132" i="10"/>
  <c r="P132" i="10" s="1"/>
  <c r="M151" i="10"/>
  <c r="R48" i="10"/>
  <c r="M153" i="10"/>
  <c r="N153" i="10" s="1"/>
  <c r="M154" i="10"/>
  <c r="M150" i="10"/>
  <c r="I165" i="10"/>
  <c r="C135" i="10"/>
  <c r="D135" i="10" s="1"/>
  <c r="Q140" i="10"/>
  <c r="E12" i="10"/>
  <c r="O137" i="10"/>
  <c r="P137" i="10" s="1"/>
  <c r="C130" i="10"/>
  <c r="D130" i="10" s="1"/>
  <c r="Q139" i="10"/>
  <c r="C132" i="10"/>
  <c r="D132" i="10" s="1"/>
  <c r="C134" i="10"/>
  <c r="D134" i="10" s="1"/>
  <c r="J11" i="10"/>
  <c r="I168" i="10"/>
  <c r="M168" i="10"/>
  <c r="N168" i="10" s="1"/>
  <c r="C133" i="10"/>
  <c r="D133" i="10" s="1"/>
  <c r="C131" i="10"/>
  <c r="D131" i="10" s="1"/>
  <c r="AA48" i="10"/>
  <c r="P12" i="10"/>
  <c r="O134" i="10"/>
  <c r="P134" i="10" s="1"/>
  <c r="N48" i="10"/>
  <c r="AO48" i="10"/>
  <c r="K172" i="10" s="1"/>
  <c r="I166" i="10"/>
  <c r="J166" i="10" s="1"/>
  <c r="O131" i="10"/>
  <c r="P131" i="10" s="1"/>
  <c r="M167" i="10"/>
  <c r="N167" i="10" s="1"/>
  <c r="X48" i="10"/>
  <c r="R54" i="10"/>
  <c r="AA54" i="10"/>
  <c r="O135" i="10"/>
  <c r="P135" i="10" s="1"/>
  <c r="I169" i="10"/>
  <c r="I172" i="10"/>
  <c r="AN48" i="10"/>
  <c r="N54" i="10"/>
  <c r="O130" i="10"/>
  <c r="P130" i="10" s="1"/>
  <c r="I167" i="10"/>
  <c r="U48" i="10"/>
  <c r="I170" i="10"/>
  <c r="S156" i="10"/>
  <c r="I138" i="10"/>
  <c r="J138" i="10" s="1"/>
  <c r="C137" i="10"/>
  <c r="D137" i="10" s="1"/>
  <c r="X13" i="10"/>
  <c r="O140" i="10"/>
  <c r="P140" i="10" s="1"/>
  <c r="S168" i="10"/>
  <c r="T168" i="10" s="1"/>
  <c r="AA69" i="10"/>
  <c r="AO13" i="10"/>
  <c r="K142" i="10" s="1"/>
  <c r="L142" i="10" s="1"/>
  <c r="J129" i="10"/>
  <c r="J136" i="10" s="1"/>
  <c r="M152" i="10"/>
  <c r="N152" i="10" s="1"/>
  <c r="M165" i="10"/>
  <c r="M172" i="10"/>
  <c r="N172" i="10" s="1"/>
  <c r="M166" i="10"/>
  <c r="N166" i="10" s="1"/>
  <c r="Q141" i="10"/>
  <c r="D129" i="10"/>
  <c r="V31" i="10"/>
  <c r="M147" i="10"/>
  <c r="N147" i="10" s="1"/>
  <c r="O31" i="10"/>
  <c r="AM18" i="10"/>
  <c r="M149" i="10"/>
  <c r="S18" i="10"/>
  <c r="M170" i="10"/>
  <c r="N170" i="10" s="1"/>
  <c r="U51" i="10"/>
  <c r="Q138" i="10"/>
  <c r="R138" i="10" s="1"/>
  <c r="Q142" i="10"/>
  <c r="R142" i="10" s="1"/>
  <c r="O149" i="10"/>
  <c r="X69" i="10"/>
  <c r="U69" i="10"/>
  <c r="R69" i="10"/>
  <c r="M145" i="10"/>
  <c r="N145" i="10" s="1"/>
  <c r="M146" i="10"/>
  <c r="M171" i="10"/>
  <c r="N171" i="10" s="1"/>
  <c r="Q137" i="10"/>
  <c r="R137" i="10" s="1"/>
  <c r="X51" i="10"/>
  <c r="Q165" i="10"/>
  <c r="AA51" i="10"/>
  <c r="U54" i="10"/>
  <c r="R52" i="10"/>
  <c r="E59" i="10"/>
  <c r="P18" i="10"/>
  <c r="J51" i="10"/>
  <c r="AN52" i="10"/>
  <c r="S166" i="10"/>
  <c r="T166" i="10" s="1"/>
  <c r="AO68" i="10"/>
  <c r="C142" i="10"/>
  <c r="D142" i="10" s="1"/>
  <c r="S180" i="10"/>
  <c r="T180" i="10" s="1"/>
  <c r="AO69" i="10"/>
  <c r="AO77" i="10" s="1"/>
  <c r="AO54" i="10"/>
  <c r="O138" i="10"/>
  <c r="P138" i="10" s="1"/>
  <c r="O239" i="10"/>
  <c r="X52" i="10"/>
  <c r="Q167" i="10"/>
  <c r="S161" i="10"/>
  <c r="N52" i="10"/>
  <c r="N69" i="10"/>
  <c r="F189" i="10"/>
  <c r="N247" i="10"/>
  <c r="I241" i="10"/>
  <c r="O241" i="10" s="1"/>
  <c r="N244" i="10"/>
  <c r="O151" i="10"/>
  <c r="O142" i="10"/>
  <c r="P142" i="10" s="1"/>
  <c r="I137" i="10"/>
  <c r="J137" i="10" s="1"/>
  <c r="N13" i="10"/>
  <c r="K18" i="10"/>
  <c r="AG18" i="10" s="1"/>
  <c r="U13" i="10"/>
  <c r="AN13" i="10"/>
  <c r="M156" i="10"/>
  <c r="N156" i="10" s="1"/>
  <c r="O143" i="10"/>
  <c r="P143" i="10" s="1"/>
  <c r="Q169" i="10"/>
  <c r="O139" i="10"/>
  <c r="P139" i="10" s="1"/>
  <c r="Q170" i="10"/>
  <c r="I143" i="10"/>
  <c r="J143" i="10" s="1"/>
  <c r="I139" i="10"/>
  <c r="J139" i="10" s="1"/>
  <c r="I140" i="10"/>
  <c r="J140" i="10" s="1"/>
  <c r="C141" i="10"/>
  <c r="D141" i="10" s="1"/>
  <c r="J15" i="10"/>
  <c r="R13" i="10"/>
  <c r="C139" i="10"/>
  <c r="D139" i="10" s="1"/>
  <c r="T12" i="10"/>
  <c r="U12" i="10" s="1"/>
  <c r="I176" i="10"/>
  <c r="O141" i="10"/>
  <c r="P141" i="10" s="1"/>
  <c r="I141" i="10"/>
  <c r="J141" i="10" s="1"/>
  <c r="I142" i="10"/>
  <c r="J142" i="10" s="1"/>
  <c r="E18" i="10"/>
  <c r="C138" i="10"/>
  <c r="D138" i="10" s="1"/>
  <c r="O146" i="10"/>
  <c r="O161" i="10"/>
  <c r="S174" i="10"/>
  <c r="U179" i="10"/>
  <c r="U175" i="10"/>
  <c r="U174" i="10"/>
  <c r="U180" i="10"/>
  <c r="V180" i="10" s="1"/>
  <c r="U176" i="10"/>
  <c r="U171" i="10"/>
  <c r="V171" i="10" s="1"/>
  <c r="U167" i="10"/>
  <c r="U170" i="10"/>
  <c r="U166" i="10"/>
  <c r="V166" i="10" s="1"/>
  <c r="U169" i="10"/>
  <c r="U165" i="10"/>
  <c r="U172" i="10"/>
  <c r="U168" i="10"/>
  <c r="U162" i="10"/>
  <c r="U158" i="10"/>
  <c r="U156" i="10"/>
  <c r="U161" i="10"/>
  <c r="U157" i="10"/>
  <c r="U160" i="10"/>
  <c r="U163" i="10"/>
  <c r="U159" i="10"/>
  <c r="U153" i="10"/>
  <c r="U149" i="10"/>
  <c r="U145" i="10"/>
  <c r="U147" i="10"/>
  <c r="V147" i="10" s="1"/>
  <c r="U152" i="10"/>
  <c r="U148" i="10"/>
  <c r="V148" i="10" s="1"/>
  <c r="U151" i="10"/>
  <c r="U154" i="10"/>
  <c r="U150" i="10"/>
  <c r="U146" i="10"/>
  <c r="N195" i="10"/>
  <c r="S162" i="10"/>
  <c r="S148" i="10"/>
  <c r="T148" i="10" s="1"/>
  <c r="AD171" i="10"/>
  <c r="AD166" i="10"/>
  <c r="AD157" i="10"/>
  <c r="G200" i="10"/>
  <c r="G197" i="10"/>
  <c r="G196" i="10"/>
  <c r="G201" i="10"/>
  <c r="G198" i="10"/>
  <c r="G199" i="10"/>
  <c r="N8" i="10"/>
  <c r="O246" i="10"/>
  <c r="N12" i="10"/>
  <c r="I179" i="10"/>
  <c r="H285" i="10"/>
  <c r="K153" i="10"/>
  <c r="L153" i="10" s="1"/>
  <c r="AN36" i="10"/>
  <c r="H129" i="10"/>
  <c r="H136" i="10" s="1"/>
  <c r="F129" i="10"/>
  <c r="F136" i="10" s="1"/>
  <c r="S158" i="10"/>
  <c r="Q168" i="10"/>
  <c r="Q172" i="10"/>
  <c r="O150" i="10"/>
  <c r="Q166" i="10"/>
  <c r="R166" i="10" s="1"/>
  <c r="O148" i="10"/>
  <c r="P148" i="10" s="1"/>
  <c r="O147" i="10"/>
  <c r="P147" i="10" s="1"/>
  <c r="O152" i="10"/>
  <c r="P152" i="10" s="1"/>
  <c r="O145" i="10"/>
  <c r="P145" i="10" s="1"/>
  <c r="G138" i="10"/>
  <c r="H138" i="10" s="1"/>
  <c r="S176" i="10"/>
  <c r="G141" i="10"/>
  <c r="H141" i="10" s="1"/>
  <c r="I18" i="10"/>
  <c r="G139" i="10"/>
  <c r="H139" i="10" s="1"/>
  <c r="AO51" i="10"/>
  <c r="C140" i="10"/>
  <c r="D140" i="10" s="1"/>
  <c r="O160" i="10"/>
  <c r="Y59" i="10"/>
  <c r="M263" i="10"/>
  <c r="S163" i="10"/>
  <c r="S149" i="10"/>
  <c r="T149" i="10" s="1"/>
  <c r="O154" i="10"/>
  <c r="Q171" i="10"/>
  <c r="R171" i="10" s="1"/>
  <c r="O159" i="10"/>
  <c r="V42" i="10"/>
  <c r="S157" i="10"/>
  <c r="N51" i="10"/>
  <c r="M161" i="10"/>
  <c r="F285" i="10"/>
  <c r="S160" i="10"/>
  <c r="S175" i="10"/>
  <c r="S159" i="10"/>
  <c r="G142" i="10"/>
  <c r="H142" i="10" s="1"/>
  <c r="N240" i="10"/>
  <c r="Q164" i="10"/>
  <c r="R162" i="10" s="1"/>
  <c r="Q181" i="10"/>
  <c r="V136" i="10"/>
  <c r="E136" i="10"/>
  <c r="L285" i="10"/>
  <c r="AO8" i="10"/>
  <c r="K130" i="10"/>
  <c r="L130" i="10" s="1"/>
  <c r="Q136" i="10"/>
  <c r="K59" i="10"/>
  <c r="K148" i="10"/>
  <c r="L148" i="10" s="1"/>
  <c r="U31" i="10"/>
  <c r="I174" i="10"/>
  <c r="G136" i="10"/>
  <c r="E144" i="10"/>
  <c r="E181" i="10"/>
  <c r="M144" i="10"/>
  <c r="I175" i="10"/>
  <c r="I180" i="10"/>
  <c r="J180" i="10" s="1"/>
  <c r="R12" i="10"/>
  <c r="R8" i="10"/>
  <c r="J285" i="10"/>
  <c r="X8" i="10"/>
  <c r="K129" i="10"/>
  <c r="E173" i="10"/>
  <c r="AM42" i="10"/>
  <c r="AA31" i="10"/>
  <c r="V144" i="10"/>
  <c r="R236" i="10"/>
  <c r="N136" i="10"/>
  <c r="N144" i="10"/>
  <c r="K133" i="10"/>
  <c r="L133" i="10" s="1"/>
  <c r="M136" i="10"/>
  <c r="K134" i="10"/>
  <c r="L134" i="10" s="1"/>
  <c r="AN8" i="10"/>
  <c r="AN12" i="10"/>
  <c r="AO12" i="10"/>
  <c r="K132" i="10"/>
  <c r="L132" i="10" s="1"/>
  <c r="X12" i="10"/>
  <c r="K131" i="10"/>
  <c r="L131" i="10" s="1"/>
  <c r="K135" i="10"/>
  <c r="L135" i="10" s="1"/>
  <c r="U8" i="10"/>
  <c r="I136" i="10"/>
  <c r="M262" i="10"/>
  <c r="O170" i="10"/>
  <c r="P170" i="10" s="1"/>
  <c r="O166" i="10"/>
  <c r="P166" i="10" s="1"/>
  <c r="O165" i="10"/>
  <c r="O172" i="10"/>
  <c r="P172" i="10" s="1"/>
  <c r="O167" i="10"/>
  <c r="P167" i="10" s="1"/>
  <c r="H152" i="10"/>
  <c r="G155" i="10"/>
  <c r="Y42" i="10"/>
  <c r="AN69" i="10"/>
  <c r="O169" i="10"/>
  <c r="P169" i="10" s="1"/>
  <c r="X31" i="10"/>
  <c r="AN31" i="10"/>
  <c r="R31" i="10"/>
  <c r="S147" i="10"/>
  <c r="T147" i="10" s="1"/>
  <c r="S153" i="10"/>
  <c r="S151" i="10"/>
  <c r="S150" i="10"/>
  <c r="S146" i="10"/>
  <c r="Y31" i="10"/>
  <c r="I155" i="10"/>
  <c r="J153" i="10" s="1"/>
  <c r="S154" i="10"/>
  <c r="S145" i="10"/>
  <c r="S152" i="10"/>
  <c r="O171" i="10"/>
  <c r="P171" i="10" s="1"/>
  <c r="O162" i="10"/>
  <c r="O156" i="10"/>
  <c r="P42" i="10"/>
  <c r="O157" i="10"/>
  <c r="O158" i="10"/>
  <c r="O163" i="10"/>
  <c r="P175" i="10"/>
  <c r="P181" i="10" s="1"/>
  <c r="O181" i="10"/>
  <c r="V59" i="10"/>
  <c r="S179" i="10"/>
  <c r="AN62" i="10"/>
  <c r="AO31" i="10"/>
  <c r="S172" i="10"/>
  <c r="S167" i="10"/>
  <c r="S170" i="10"/>
  <c r="S169" i="10"/>
  <c r="S165" i="10"/>
  <c r="T165" i="10" s="1"/>
  <c r="S171" i="10"/>
  <c r="T171" i="10" s="1"/>
  <c r="P31" i="10"/>
  <c r="O153" i="10"/>
  <c r="M162" i="10"/>
  <c r="M157" i="10"/>
  <c r="M160" i="10"/>
  <c r="M163" i="10"/>
  <c r="M158" i="10"/>
  <c r="M159" i="10"/>
  <c r="D180" i="10"/>
  <c r="AB180" i="10" s="1"/>
  <c r="Q155" i="10"/>
  <c r="R150" i="10" s="1"/>
  <c r="K150" i="10"/>
  <c r="C257" i="10"/>
  <c r="G140" i="10"/>
  <c r="H140" i="10" s="1"/>
  <c r="O240" i="10"/>
  <c r="P236" i="10"/>
  <c r="O236" i="10"/>
  <c r="K151" i="10"/>
  <c r="L151" i="10" s="1"/>
  <c r="K146" i="10"/>
  <c r="L146" i="10" s="1"/>
  <c r="K152" i="10"/>
  <c r="L152" i="10" s="1"/>
  <c r="M260" i="10"/>
  <c r="K154" i="10"/>
  <c r="K147" i="10"/>
  <c r="L147" i="10" s="1"/>
  <c r="Q236" i="10"/>
  <c r="K149" i="10"/>
  <c r="C173" i="10"/>
  <c r="D172" i="10" s="1"/>
  <c r="AB172" i="10" s="1"/>
  <c r="J146" i="10"/>
  <c r="E155" i="10"/>
  <c r="C164" i="10"/>
  <c r="E164" i="10"/>
  <c r="H146" i="10"/>
  <c r="J151" i="10"/>
  <c r="C155" i="10"/>
  <c r="E188" i="10"/>
  <c r="F186" i="10" s="1"/>
  <c r="G173" i="10"/>
  <c r="H165" i="10" s="1"/>
  <c r="G181" i="10"/>
  <c r="H151" i="10"/>
  <c r="F144" i="10"/>
  <c r="M181" i="10"/>
  <c r="N178" i="10" s="1"/>
  <c r="E195" i="10"/>
  <c r="F194" i="10" s="1"/>
  <c r="M267" i="10"/>
  <c r="I268" i="10"/>
  <c r="S236" i="10"/>
  <c r="M261" i="10"/>
  <c r="E268" i="10"/>
  <c r="G268" i="10"/>
  <c r="H264" i="10" s="1"/>
  <c r="M265" i="10"/>
  <c r="K268" i="10"/>
  <c r="L264" i="10" s="1"/>
  <c r="N285" i="10"/>
  <c r="O115" i="10" l="1"/>
  <c r="U280" i="10"/>
  <c r="S285" i="10"/>
  <c r="S286" i="10" s="1"/>
  <c r="T285" i="10"/>
  <c r="I269" i="10"/>
  <c r="J264" i="10"/>
  <c r="E269" i="10"/>
  <c r="F264" i="10"/>
  <c r="C269" i="10"/>
  <c r="D264" i="10"/>
  <c r="E230" i="10"/>
  <c r="Y230" i="10" s="1"/>
  <c r="E228" i="10"/>
  <c r="E229" i="10"/>
  <c r="Y229" i="10" s="1"/>
  <c r="E233" i="10"/>
  <c r="Y233" i="10" s="1"/>
  <c r="E234" i="10"/>
  <c r="E235" i="10"/>
  <c r="Y235" i="10" s="1"/>
  <c r="E227" i="10"/>
  <c r="Y227" i="10" s="1"/>
  <c r="E231" i="10"/>
  <c r="Y231" i="10" s="1"/>
  <c r="E232" i="10"/>
  <c r="Y232" i="10" s="1"/>
  <c r="K178" i="10"/>
  <c r="AC178" i="10"/>
  <c r="AC180" i="10"/>
  <c r="AD180" i="10" s="1"/>
  <c r="AC175" i="10"/>
  <c r="AD175" i="10" s="1"/>
  <c r="AC177" i="10"/>
  <c r="AC176" i="10"/>
  <c r="AC179" i="10"/>
  <c r="AC174" i="10"/>
  <c r="AJ68" i="10"/>
  <c r="AL68" i="10"/>
  <c r="AL50" i="10"/>
  <c r="AJ50" i="10"/>
  <c r="H177" i="10"/>
  <c r="H178" i="10"/>
  <c r="F177" i="10"/>
  <c r="F178" i="10"/>
  <c r="AJ59" i="10"/>
  <c r="AL59" i="10"/>
  <c r="E222" i="10"/>
  <c r="F170" i="10"/>
  <c r="Y115" i="10"/>
  <c r="P115" i="10"/>
  <c r="E115" i="10"/>
  <c r="S115" i="10"/>
  <c r="V115" i="10"/>
  <c r="T115" i="10"/>
  <c r="D159" i="10"/>
  <c r="AB159" i="10" s="1"/>
  <c r="F156" i="10"/>
  <c r="F169" i="10"/>
  <c r="H169" i="10"/>
  <c r="F167" i="10"/>
  <c r="H167" i="10"/>
  <c r="R157" i="10"/>
  <c r="F157" i="10"/>
  <c r="D157" i="10"/>
  <c r="AB157" i="10" s="1"/>
  <c r="AC215" i="10"/>
  <c r="F190" i="10"/>
  <c r="R176" i="10"/>
  <c r="R177" i="10"/>
  <c r="K177" i="10"/>
  <c r="F183" i="10"/>
  <c r="H175" i="10"/>
  <c r="F175" i="10"/>
  <c r="R175" i="10"/>
  <c r="F159" i="10"/>
  <c r="N50" i="10"/>
  <c r="AG50" i="10"/>
  <c r="AG68" i="10"/>
  <c r="AG59" i="10"/>
  <c r="K167" i="10"/>
  <c r="X118" i="10"/>
  <c r="AD59" i="10"/>
  <c r="N68" i="10"/>
  <c r="AD68" i="10"/>
  <c r="AD50" i="10"/>
  <c r="F150" i="10"/>
  <c r="D150" i="10"/>
  <c r="AB150" i="10" s="1"/>
  <c r="X18" i="10"/>
  <c r="AD18" i="10"/>
  <c r="AA18" i="10"/>
  <c r="I203" i="10"/>
  <c r="K93" i="10"/>
  <c r="K165" i="10"/>
  <c r="X236" i="10"/>
  <c r="X59" i="10"/>
  <c r="AO50" i="10"/>
  <c r="P262" i="10"/>
  <c r="O268" i="10" s="1"/>
  <c r="F267" i="10"/>
  <c r="P261" i="10"/>
  <c r="L129" i="10"/>
  <c r="L136" i="10" s="1"/>
  <c r="E255" i="10"/>
  <c r="E256" i="10"/>
  <c r="I205" i="10"/>
  <c r="G209" i="10"/>
  <c r="H219" i="10" s="1"/>
  <c r="R135" i="10"/>
  <c r="K166" i="10"/>
  <c r="L166" i="10" s="1"/>
  <c r="K84" i="10"/>
  <c r="AO18" i="10"/>
  <c r="AO59" i="10"/>
  <c r="F185" i="10"/>
  <c r="K140" i="10"/>
  <c r="L140" i="10" s="1"/>
  <c r="K137" i="10"/>
  <c r="L137" i="10" s="1"/>
  <c r="K143" i="10"/>
  <c r="L143" i="10" s="1"/>
  <c r="K141" i="10"/>
  <c r="L141" i="10" s="1"/>
  <c r="K138" i="10"/>
  <c r="L138" i="10" s="1"/>
  <c r="K139" i="10"/>
  <c r="L139" i="10" s="1"/>
  <c r="R59" i="10"/>
  <c r="K171" i="10"/>
  <c r="L171" i="10" s="1"/>
  <c r="K168" i="10"/>
  <c r="K170" i="10"/>
  <c r="K169" i="10"/>
  <c r="P260" i="10"/>
  <c r="H266" i="10"/>
  <c r="G269" i="10"/>
  <c r="AN50" i="10"/>
  <c r="AA50" i="10"/>
  <c r="X50" i="10"/>
  <c r="R50" i="10"/>
  <c r="U50" i="10"/>
  <c r="O136" i="10"/>
  <c r="AA59" i="10"/>
  <c r="U59" i="10"/>
  <c r="N59" i="10"/>
  <c r="F176" i="10"/>
  <c r="C136" i="10"/>
  <c r="P136" i="10"/>
  <c r="R174" i="10"/>
  <c r="Q144" i="10"/>
  <c r="I173" i="10"/>
  <c r="J172" i="10" s="1"/>
  <c r="U18" i="10"/>
  <c r="R18" i="10"/>
  <c r="D136" i="10"/>
  <c r="J154" i="10"/>
  <c r="N18" i="10"/>
  <c r="AN18" i="10"/>
  <c r="M155" i="10"/>
  <c r="N151" i="10" s="1"/>
  <c r="M173" i="10"/>
  <c r="N165" i="10" s="1"/>
  <c r="N173" i="10" s="1"/>
  <c r="J144" i="10"/>
  <c r="K180" i="10"/>
  <c r="L180" i="10" s="1"/>
  <c r="D144" i="10"/>
  <c r="P144" i="10"/>
  <c r="R68" i="10"/>
  <c r="I252" i="10"/>
  <c r="C282" i="10"/>
  <c r="N241" i="10"/>
  <c r="C283" i="10"/>
  <c r="C279" i="10"/>
  <c r="C284" i="10"/>
  <c r="C281" i="10"/>
  <c r="I144" i="10"/>
  <c r="O144" i="10"/>
  <c r="AN68" i="10"/>
  <c r="AA68" i="10"/>
  <c r="R160" i="10"/>
  <c r="R161" i="10"/>
  <c r="R158" i="10"/>
  <c r="R156" i="10"/>
  <c r="U155" i="10"/>
  <c r="R163" i="10"/>
  <c r="R152" i="10"/>
  <c r="R151" i="10"/>
  <c r="R145" i="10"/>
  <c r="R149" i="10"/>
  <c r="F168" i="10"/>
  <c r="AM59" i="10"/>
  <c r="H196" i="10"/>
  <c r="G202" i="10"/>
  <c r="I200" i="10"/>
  <c r="I197" i="10"/>
  <c r="I196" i="10"/>
  <c r="I201" i="10"/>
  <c r="I198" i="10"/>
  <c r="I199" i="10"/>
  <c r="R153" i="10"/>
  <c r="D170" i="10"/>
  <c r="AB170" i="10" s="1"/>
  <c r="R202" i="10"/>
  <c r="Q173" i="10"/>
  <c r="R168" i="10" s="1"/>
  <c r="T202" i="10"/>
  <c r="S164" i="10"/>
  <c r="T158" i="10" s="1"/>
  <c r="F192" i="10"/>
  <c r="F193" i="10"/>
  <c r="F187" i="10"/>
  <c r="F182" i="10"/>
  <c r="F191" i="10"/>
  <c r="U68" i="10"/>
  <c r="I285" i="10"/>
  <c r="I286" i="10" s="1"/>
  <c r="K174" i="10"/>
  <c r="F184" i="10"/>
  <c r="X68" i="10"/>
  <c r="C144" i="10"/>
  <c r="K176" i="10"/>
  <c r="H144" i="10"/>
  <c r="O155" i="10"/>
  <c r="P150" i="10" s="1"/>
  <c r="K175" i="10"/>
  <c r="L175" i="10" s="1"/>
  <c r="K179" i="10"/>
  <c r="F179" i="10"/>
  <c r="U164" i="10"/>
  <c r="V163" i="10" s="1"/>
  <c r="F174" i="10"/>
  <c r="I181" i="10"/>
  <c r="N236" i="10"/>
  <c r="J150" i="10"/>
  <c r="J149" i="10"/>
  <c r="N146" i="10"/>
  <c r="R129" i="10"/>
  <c r="R130" i="10"/>
  <c r="S155" i="10"/>
  <c r="M164" i="10"/>
  <c r="N162" i="10" s="1"/>
  <c r="O164" i="10"/>
  <c r="P163" i="10" s="1"/>
  <c r="D165" i="10"/>
  <c r="D168" i="10"/>
  <c r="AB168" i="10" s="1"/>
  <c r="D255" i="10"/>
  <c r="AS42" i="10"/>
  <c r="F172" i="10"/>
  <c r="F165" i="10"/>
  <c r="K136" i="10"/>
  <c r="G144" i="10"/>
  <c r="G285" i="10"/>
  <c r="G286" i="10" s="1"/>
  <c r="J266" i="10"/>
  <c r="J265" i="10"/>
  <c r="AM84" i="10"/>
  <c r="S173" i="10"/>
  <c r="T170" i="10" s="1"/>
  <c r="C181" i="10"/>
  <c r="D175" i="10" s="1"/>
  <c r="AB175" i="10" s="1"/>
  <c r="U173" i="10"/>
  <c r="V167" i="10" s="1"/>
  <c r="AC164" i="10"/>
  <c r="AD159" i="10" s="1"/>
  <c r="AC173" i="10"/>
  <c r="AD167" i="10" s="1"/>
  <c r="J262" i="10"/>
  <c r="O173" i="10"/>
  <c r="P168" i="10" s="1"/>
  <c r="U181" i="10"/>
  <c r="J261" i="10"/>
  <c r="S181" i="10"/>
  <c r="R154" i="10"/>
  <c r="R146" i="10"/>
  <c r="D256" i="10"/>
  <c r="E285" i="10"/>
  <c r="E286" i="10" s="1"/>
  <c r="H149" i="10"/>
  <c r="H153" i="10"/>
  <c r="H154" i="10"/>
  <c r="H150" i="10"/>
  <c r="D285" i="10"/>
  <c r="J263" i="10"/>
  <c r="J267" i="10"/>
  <c r="K155" i="10"/>
  <c r="L149" i="10" s="1"/>
  <c r="J260" i="10"/>
  <c r="H261" i="10"/>
  <c r="H179" i="10"/>
  <c r="H176" i="10"/>
  <c r="H174" i="10"/>
  <c r="D163" i="10"/>
  <c r="AB163" i="10" s="1"/>
  <c r="D162" i="10"/>
  <c r="AB162" i="10" s="1"/>
  <c r="D161" i="10"/>
  <c r="AB161" i="10" s="1"/>
  <c r="D156" i="10"/>
  <c r="D160" i="10"/>
  <c r="AB160" i="10" s="1"/>
  <c r="D158" i="10"/>
  <c r="AB158" i="10" s="1"/>
  <c r="N179" i="10"/>
  <c r="N181" i="10" s="1"/>
  <c r="H168" i="10"/>
  <c r="H172" i="10"/>
  <c r="H170" i="10"/>
  <c r="D153" i="10"/>
  <c r="AB153" i="10" s="1"/>
  <c r="D149" i="10"/>
  <c r="AB149" i="10" s="1"/>
  <c r="D151" i="10"/>
  <c r="AB151" i="10" s="1"/>
  <c r="D146" i="10"/>
  <c r="D154" i="10"/>
  <c r="AB154" i="10" s="1"/>
  <c r="F160" i="10"/>
  <c r="F163" i="10"/>
  <c r="F161" i="10"/>
  <c r="F162" i="10"/>
  <c r="F158" i="10"/>
  <c r="F151" i="10"/>
  <c r="F149" i="10"/>
  <c r="F153" i="10"/>
  <c r="F154" i="10"/>
  <c r="F146" i="10"/>
  <c r="P153" i="10"/>
  <c r="P146" i="10"/>
  <c r="P151" i="10"/>
  <c r="K269" i="10"/>
  <c r="H265" i="10"/>
  <c r="H263" i="10"/>
  <c r="H262" i="10"/>
  <c r="H260" i="10"/>
  <c r="H267" i="10"/>
  <c r="F261" i="10"/>
  <c r="M268" i="10"/>
  <c r="L266" i="10"/>
  <c r="L267" i="10"/>
  <c r="L261" i="10"/>
  <c r="F266" i="10"/>
  <c r="F260" i="10"/>
  <c r="F262" i="10"/>
  <c r="L265" i="10"/>
  <c r="L262" i="10"/>
  <c r="L263" i="10"/>
  <c r="F265" i="10"/>
  <c r="L260" i="10"/>
  <c r="F263" i="10"/>
  <c r="D263" i="10"/>
  <c r="D260" i="10"/>
  <c r="D267" i="10"/>
  <c r="D265" i="10"/>
  <c r="D266" i="10"/>
  <c r="D262" i="10"/>
  <c r="D261" i="10"/>
  <c r="C280" i="10" l="1"/>
  <c r="U278" i="10"/>
  <c r="C278" i="10" s="1"/>
  <c r="Y234" i="10"/>
  <c r="D177" i="10"/>
  <c r="AB177" i="10" s="1"/>
  <c r="D178" i="10"/>
  <c r="H208" i="10"/>
  <c r="H206" i="10"/>
  <c r="AL84" i="10"/>
  <c r="AJ84" i="10"/>
  <c r="AL93" i="10"/>
  <c r="AJ93" i="10"/>
  <c r="T174" i="10"/>
  <c r="T178" i="10"/>
  <c r="J177" i="10"/>
  <c r="J178" i="10"/>
  <c r="V177" i="10"/>
  <c r="V178" i="10"/>
  <c r="H218" i="10"/>
  <c r="H216" i="10"/>
  <c r="H220" i="10"/>
  <c r="H217" i="10"/>
  <c r="AA164" i="10"/>
  <c r="AB156" i="10"/>
  <c r="AB164" i="10" s="1"/>
  <c r="AB165" i="10"/>
  <c r="AB173" i="10" s="1"/>
  <c r="AA173" i="10"/>
  <c r="AB146" i="10"/>
  <c r="AB155" i="10" s="1"/>
  <c r="AA155" i="10"/>
  <c r="AD169" i="10"/>
  <c r="J169" i="10"/>
  <c r="R169" i="10"/>
  <c r="T169" i="10"/>
  <c r="V169" i="10"/>
  <c r="T167" i="10"/>
  <c r="J167" i="10"/>
  <c r="R167" i="10"/>
  <c r="N160" i="10"/>
  <c r="T157" i="10"/>
  <c r="N157" i="10"/>
  <c r="V157" i="10"/>
  <c r="P157" i="10"/>
  <c r="H212" i="10"/>
  <c r="H210" i="10"/>
  <c r="H211" i="10"/>
  <c r="H213" i="10"/>
  <c r="H214" i="10"/>
  <c r="R139" i="10"/>
  <c r="K204" i="10"/>
  <c r="H204" i="10"/>
  <c r="T177" i="10"/>
  <c r="J175" i="10"/>
  <c r="T175" i="10"/>
  <c r="V175" i="10"/>
  <c r="H203" i="10"/>
  <c r="AG84" i="10"/>
  <c r="N159" i="10"/>
  <c r="P159" i="10"/>
  <c r="T159" i="10"/>
  <c r="V159" i="10"/>
  <c r="AG93" i="10"/>
  <c r="AN59" i="10"/>
  <c r="AO93" i="10"/>
  <c r="AD162" i="10"/>
  <c r="N93" i="10"/>
  <c r="AD93" i="10"/>
  <c r="AD84" i="10"/>
  <c r="H205" i="10"/>
  <c r="K205" i="10"/>
  <c r="K203" i="10"/>
  <c r="H197" i="10"/>
  <c r="E257" i="10"/>
  <c r="AN84" i="10"/>
  <c r="I209" i="10"/>
  <c r="T152" i="10"/>
  <c r="V146" i="10"/>
  <c r="AO84" i="10"/>
  <c r="X84" i="10"/>
  <c r="R84" i="10"/>
  <c r="U84" i="10"/>
  <c r="AA84" i="10"/>
  <c r="N84" i="10"/>
  <c r="H201" i="10"/>
  <c r="K144" i="10"/>
  <c r="L144" i="10"/>
  <c r="R165" i="10"/>
  <c r="J168" i="10"/>
  <c r="K173" i="10"/>
  <c r="L172" i="10" s="1"/>
  <c r="M269" i="10"/>
  <c r="O267" i="10"/>
  <c r="O266" i="10"/>
  <c r="N149" i="10"/>
  <c r="N150" i="10"/>
  <c r="T163" i="10"/>
  <c r="N154" i="10"/>
  <c r="R181" i="10"/>
  <c r="R140" i="10"/>
  <c r="R143" i="10"/>
  <c r="R141" i="10"/>
  <c r="J165" i="10"/>
  <c r="R164" i="10"/>
  <c r="J170" i="10"/>
  <c r="V149" i="10"/>
  <c r="R172" i="10"/>
  <c r="J176" i="10"/>
  <c r="V153" i="10"/>
  <c r="V150" i="10"/>
  <c r="V152" i="10"/>
  <c r="V154" i="10"/>
  <c r="V145" i="10"/>
  <c r="J174" i="10"/>
  <c r="V151" i="10"/>
  <c r="R136" i="10"/>
  <c r="J155" i="10"/>
  <c r="AC181" i="10"/>
  <c r="AD177" i="10" s="1"/>
  <c r="H199" i="10"/>
  <c r="AA93" i="10"/>
  <c r="U93" i="10"/>
  <c r="X93" i="10"/>
  <c r="R93" i="10"/>
  <c r="P149" i="10"/>
  <c r="P154" i="10"/>
  <c r="P156" i="10"/>
  <c r="T160" i="10"/>
  <c r="T156" i="10"/>
  <c r="T162" i="10"/>
  <c r="T145" i="10"/>
  <c r="T161" i="10"/>
  <c r="R170" i="10"/>
  <c r="J196" i="10"/>
  <c r="I202" i="10"/>
  <c r="K201" i="10"/>
  <c r="K196" i="10"/>
  <c r="K198" i="10"/>
  <c r="K200" i="10"/>
  <c r="H200" i="10"/>
  <c r="K199" i="10"/>
  <c r="K197" i="10"/>
  <c r="H198" i="10"/>
  <c r="V158" i="10"/>
  <c r="V160" i="10"/>
  <c r="D202" i="10"/>
  <c r="T172" i="10"/>
  <c r="K181" i="10"/>
  <c r="F195" i="10"/>
  <c r="F188" i="10"/>
  <c r="F202" i="10"/>
  <c r="J179" i="10"/>
  <c r="F173" i="10"/>
  <c r="H268" i="10"/>
  <c r="D257" i="10"/>
  <c r="V156" i="10"/>
  <c r="N161" i="10"/>
  <c r="F181" i="10"/>
  <c r="P162" i="10"/>
  <c r="V162" i="10"/>
  <c r="V161" i="10"/>
  <c r="N158" i="10"/>
  <c r="N163" i="10"/>
  <c r="V174" i="10"/>
  <c r="P160" i="10"/>
  <c r="P165" i="10"/>
  <c r="P173" i="10" s="1"/>
  <c r="P158" i="10"/>
  <c r="D173" i="10"/>
  <c r="V176" i="10"/>
  <c r="P161" i="10"/>
  <c r="V179" i="10"/>
  <c r="R155" i="10"/>
  <c r="T150" i="10"/>
  <c r="T146" i="10"/>
  <c r="F164" i="10"/>
  <c r="T153" i="10"/>
  <c r="T154" i="10"/>
  <c r="T151" i="10"/>
  <c r="D176" i="10"/>
  <c r="AB176" i="10" s="1"/>
  <c r="D179" i="10"/>
  <c r="AB179" i="10" s="1"/>
  <c r="H155" i="10"/>
  <c r="T176" i="10"/>
  <c r="E236" i="10"/>
  <c r="F234" i="10" s="1"/>
  <c r="J268" i="10"/>
  <c r="F268" i="10"/>
  <c r="H173" i="10"/>
  <c r="T179" i="10"/>
  <c r="D164" i="10"/>
  <c r="AD160" i="10"/>
  <c r="AD163" i="10"/>
  <c r="AD161" i="10"/>
  <c r="AD158" i="10"/>
  <c r="AD172" i="10"/>
  <c r="D174" i="10"/>
  <c r="V170" i="10"/>
  <c r="V165" i="10"/>
  <c r="V168" i="10"/>
  <c r="H181" i="10"/>
  <c r="AD168" i="10"/>
  <c r="AD170" i="10"/>
  <c r="AD165" i="10"/>
  <c r="AD156" i="10"/>
  <c r="V172" i="10"/>
  <c r="L150" i="10"/>
  <c r="L154" i="10"/>
  <c r="F155" i="10"/>
  <c r="D155" i="10"/>
  <c r="L268" i="10"/>
  <c r="D268" i="10"/>
  <c r="P263" i="10"/>
  <c r="O261" i="10" s="1"/>
  <c r="AD178" i="10" l="1"/>
  <c r="C285" i="10"/>
  <c r="U285" i="10"/>
  <c r="U286" i="10" s="1"/>
  <c r="O260" i="10"/>
  <c r="F233" i="10"/>
  <c r="J208" i="10"/>
  <c r="J206" i="10"/>
  <c r="L174" i="10"/>
  <c r="L178" i="10"/>
  <c r="H221" i="10"/>
  <c r="AA181" i="10"/>
  <c r="AB174" i="10"/>
  <c r="AB181" i="10" s="1"/>
  <c r="F228" i="10"/>
  <c r="E238" i="10"/>
  <c r="E237" i="10"/>
  <c r="T173" i="10"/>
  <c r="L169" i="10"/>
  <c r="L167" i="10"/>
  <c r="H215" i="10"/>
  <c r="K215" i="10"/>
  <c r="J210" i="10"/>
  <c r="J211" i="10"/>
  <c r="J213" i="10"/>
  <c r="J212" i="10"/>
  <c r="J214" i="10"/>
  <c r="F232" i="10"/>
  <c r="J204" i="10"/>
  <c r="L177" i="10"/>
  <c r="J203" i="10"/>
  <c r="AE116" i="10"/>
  <c r="Y124" i="10"/>
  <c r="H209" i="10"/>
  <c r="J205" i="10"/>
  <c r="AN93" i="10"/>
  <c r="K209" i="10"/>
  <c r="AC209" i="10"/>
  <c r="J197" i="10"/>
  <c r="J201" i="10"/>
  <c r="N155" i="10"/>
  <c r="J181" i="10"/>
  <c r="L168" i="10"/>
  <c r="L165" i="10"/>
  <c r="L170" i="10"/>
  <c r="O269" i="10"/>
  <c r="R144" i="10"/>
  <c r="J173" i="10"/>
  <c r="AD176" i="10"/>
  <c r="R173" i="10"/>
  <c r="P155" i="10"/>
  <c r="AD179" i="10"/>
  <c r="V155" i="10"/>
  <c r="AD174" i="10"/>
  <c r="Y236" i="10"/>
  <c r="T164" i="10"/>
  <c r="K202" i="10"/>
  <c r="L199" i="10" s="1"/>
  <c r="J200" i="10"/>
  <c r="J198" i="10"/>
  <c r="L176" i="10"/>
  <c r="L179" i="10"/>
  <c r="AD196" i="10"/>
  <c r="AC202" i="10"/>
  <c r="V164" i="10"/>
  <c r="J199" i="10"/>
  <c r="L196" i="10"/>
  <c r="H202" i="10"/>
  <c r="N164" i="10"/>
  <c r="V181" i="10"/>
  <c r="T155" i="10"/>
  <c r="F230" i="10"/>
  <c r="F229" i="10"/>
  <c r="P164" i="10"/>
  <c r="F235" i="10"/>
  <c r="F227" i="10"/>
  <c r="F231" i="10"/>
  <c r="V173" i="10"/>
  <c r="L155" i="10"/>
  <c r="AD173" i="10"/>
  <c r="T181" i="10"/>
  <c r="D181" i="10"/>
  <c r="AD164" i="10"/>
  <c r="O262" i="10"/>
  <c r="AD208" i="10" l="1"/>
  <c r="L213" i="10"/>
  <c r="L208" i="10"/>
  <c r="L206" i="10"/>
  <c r="L204" i="10"/>
  <c r="AD210" i="10"/>
  <c r="AD211" i="10"/>
  <c r="AD212" i="10"/>
  <c r="AD214" i="10"/>
  <c r="L212" i="10"/>
  <c r="L210" i="10"/>
  <c r="L211" i="10"/>
  <c r="L214" i="10"/>
  <c r="J215" i="10"/>
  <c r="AD204" i="10"/>
  <c r="AD201" i="10"/>
  <c r="L203" i="10"/>
  <c r="AD203" i="10"/>
  <c r="AB124" i="10"/>
  <c r="AD205" i="10"/>
  <c r="L205" i="10"/>
  <c r="J209" i="10"/>
  <c r="AD197" i="10"/>
  <c r="AD198" i="10"/>
  <c r="AD199" i="10"/>
  <c r="L197" i="10"/>
  <c r="L201" i="10"/>
  <c r="L173" i="10"/>
  <c r="AD181" i="10"/>
  <c r="L181" i="10"/>
  <c r="AD200" i="10"/>
  <c r="L200" i="10"/>
  <c r="L198" i="10"/>
  <c r="J202" i="10"/>
  <c r="V202" i="10"/>
  <c r="F236" i="10"/>
  <c r="AD215" i="10" l="1"/>
  <c r="L215" i="10"/>
  <c r="AD209" i="10"/>
  <c r="L209" i="10"/>
  <c r="AD202" i="10"/>
  <c r="L202" i="10"/>
  <c r="X155" i="10" l="1"/>
  <c r="G191" i="10"/>
  <c r="G193" i="10"/>
  <c r="G189" i="10"/>
  <c r="G192" i="10"/>
  <c r="G190" i="10"/>
  <c r="G194" i="10"/>
  <c r="G187" i="10"/>
  <c r="H189" i="10" l="1"/>
  <c r="G188" i="10"/>
  <c r="G195" i="10"/>
  <c r="H182" i="10" l="1"/>
  <c r="H190" i="10"/>
  <c r="H183" i="10"/>
  <c r="H184" i="10"/>
  <c r="H185" i="10"/>
  <c r="H186" i="10"/>
  <c r="H187" i="10"/>
  <c r="H191" i="10"/>
  <c r="H193" i="10"/>
  <c r="H192" i="10"/>
  <c r="H194" i="10"/>
  <c r="H188" i="10" l="1"/>
  <c r="H195" i="10"/>
  <c r="N77" i="10" l="1"/>
  <c r="AN77" i="10"/>
  <c r="S191" i="10"/>
  <c r="T191" i="10" s="1"/>
  <c r="S185" i="10"/>
  <c r="T185" i="10" s="1"/>
  <c r="S193" i="10"/>
  <c r="T193" i="10" s="1"/>
  <c r="S183" i="10"/>
  <c r="T183" i="10" s="1"/>
  <c r="Q183" i="10"/>
  <c r="R183" i="10" s="1"/>
  <c r="X77" i="10"/>
  <c r="U193" i="10"/>
  <c r="I183" i="10"/>
  <c r="K193" i="10"/>
  <c r="AA77" i="10"/>
  <c r="U77" i="10"/>
  <c r="S190" i="10"/>
  <c r="K186" i="10"/>
  <c r="Q193" i="10"/>
  <c r="R193" i="10" s="1"/>
  <c r="K191" i="10"/>
  <c r="O186" i="10"/>
  <c r="P186" i="10" s="1"/>
  <c r="Q182" i="10"/>
  <c r="U185" i="10"/>
  <c r="AD185" i="10"/>
  <c r="K187" i="10"/>
  <c r="O182" i="10"/>
  <c r="I190" i="10"/>
  <c r="I192" i="10"/>
  <c r="U190" i="10"/>
  <c r="O194" i="10"/>
  <c r="P194" i="10" s="1"/>
  <c r="K190" i="10"/>
  <c r="I186" i="10"/>
  <c r="U183" i="10"/>
  <c r="S187" i="10"/>
  <c r="T187" i="10" s="1"/>
  <c r="S189" i="10"/>
  <c r="T189" i="10" s="1"/>
  <c r="O187" i="10"/>
  <c r="P187" i="10" s="1"/>
  <c r="Q194" i="10"/>
  <c r="R194" i="10" s="1"/>
  <c r="S192" i="10"/>
  <c r="U182" i="10"/>
  <c r="R77" i="10"/>
  <c r="S182" i="10"/>
  <c r="Q191" i="10"/>
  <c r="R191" i="10" s="1"/>
  <c r="I184" i="10"/>
  <c r="I185" i="10"/>
  <c r="T118" i="10"/>
  <c r="T124" i="10" s="1"/>
  <c r="O183" i="10"/>
  <c r="P183" i="10" s="1"/>
  <c r="Q186" i="10"/>
  <c r="Q185" i="10"/>
  <c r="R185" i="10" s="1"/>
  <c r="I189" i="10"/>
  <c r="U186" i="10"/>
  <c r="M184" i="10"/>
  <c r="N184" i="10" s="1"/>
  <c r="U187" i="10"/>
  <c r="U194" i="10"/>
  <c r="I187" i="10"/>
  <c r="O184" i="10"/>
  <c r="P184" i="10" s="1"/>
  <c r="M185" i="10"/>
  <c r="N185" i="10" s="1"/>
  <c r="O189" i="10"/>
  <c r="P189" i="10" s="1"/>
  <c r="K192" i="10"/>
  <c r="X189" i="10"/>
  <c r="O191" i="10"/>
  <c r="P191" i="10" s="1"/>
  <c r="O193" i="10"/>
  <c r="P193" i="10" s="1"/>
  <c r="M183" i="10"/>
  <c r="N183" i="10" s="1"/>
  <c r="X187" i="10"/>
  <c r="S184" i="10"/>
  <c r="I193" i="10"/>
  <c r="K194" i="10"/>
  <c r="Q184" i="10"/>
  <c r="K189" i="10"/>
  <c r="L189" i="10" s="1"/>
  <c r="N118" i="10"/>
  <c r="N124" i="10" s="1"/>
  <c r="U189" i="10"/>
  <c r="V189" i="10" s="1"/>
  <c r="O190" i="10"/>
  <c r="P190" i="10" s="1"/>
  <c r="I191" i="10"/>
  <c r="U191" i="10"/>
  <c r="U184" i="10"/>
  <c r="S186" i="10"/>
  <c r="T186" i="10" s="1"/>
  <c r="K184" i="10"/>
  <c r="O185" i="10"/>
  <c r="P185" i="10" s="1"/>
  <c r="U192" i="10"/>
  <c r="M186" i="10"/>
  <c r="N186" i="10" s="1"/>
  <c r="M187" i="10"/>
  <c r="Q187" i="10"/>
  <c r="Q189" i="10"/>
  <c r="K185" i="10"/>
  <c r="Q118" i="10"/>
  <c r="Q124" i="10" s="1"/>
  <c r="K182" i="10"/>
  <c r="M182" i="10"/>
  <c r="I194" i="10"/>
  <c r="Q190" i="10"/>
  <c r="K183" i="10"/>
  <c r="Q192" i="10"/>
  <c r="AD189" i="10"/>
  <c r="I182" i="10"/>
  <c r="O192" i="10"/>
  <c r="P192" i="10" s="1"/>
  <c r="W118" i="10"/>
  <c r="W124" i="10" s="1"/>
  <c r="S194" i="10"/>
  <c r="T194" i="10" s="1"/>
  <c r="P182" i="10" l="1"/>
  <c r="P188" i="10" s="1"/>
  <c r="N182" i="10"/>
  <c r="M285" i="10"/>
  <c r="M286" i="10" s="1"/>
  <c r="AC188" i="10"/>
  <c r="AD183" i="10" s="1"/>
  <c r="M188" i="10"/>
  <c r="M222" i="10" s="1"/>
  <c r="AC195" i="10"/>
  <c r="AD193" i="10" s="1"/>
  <c r="U195" i="10"/>
  <c r="V191" i="10" s="1"/>
  <c r="K188" i="10"/>
  <c r="Q188" i="10"/>
  <c r="R186" i="10" s="1"/>
  <c r="R189" i="10"/>
  <c r="Q195" i="10"/>
  <c r="R190" i="10" s="1"/>
  <c r="W195" i="10"/>
  <c r="K195" i="10"/>
  <c r="W188" i="10"/>
  <c r="K285" i="10"/>
  <c r="K286" i="10" s="1"/>
  <c r="P195" i="10"/>
  <c r="J189" i="10"/>
  <c r="I195" i="10"/>
  <c r="I188" i="10"/>
  <c r="S188" i="10"/>
  <c r="U188" i="10"/>
  <c r="V183" i="10" s="1"/>
  <c r="O195" i="10"/>
  <c r="O188" i="10"/>
  <c r="R182" i="10"/>
  <c r="S195" i="10"/>
  <c r="T190" i="10" s="1"/>
  <c r="J190" i="10" l="1"/>
  <c r="J183" i="10"/>
  <c r="L184" i="10"/>
  <c r="R184" i="10"/>
  <c r="L194" i="10"/>
  <c r="AD190" i="10"/>
  <c r="L190" i="10"/>
  <c r="X190" i="10"/>
  <c r="V190" i="10"/>
  <c r="L183" i="10"/>
  <c r="V194" i="10"/>
  <c r="X194" i="10"/>
  <c r="AD194" i="10"/>
  <c r="AD184" i="10"/>
  <c r="AC222" i="10"/>
  <c r="AD191" i="10"/>
  <c r="O222" i="10"/>
  <c r="V185" i="10"/>
  <c r="U222" i="10"/>
  <c r="J185" i="10"/>
  <c r="L182" i="10"/>
  <c r="AD186" i="10"/>
  <c r="S222" i="10"/>
  <c r="X182" i="10"/>
  <c r="W222" i="10"/>
  <c r="R187" i="10"/>
  <c r="Q222" i="10"/>
  <c r="T182" i="10"/>
  <c r="J182" i="10"/>
  <c r="V182" i="10"/>
  <c r="V193" i="10"/>
  <c r="V192" i="10"/>
  <c r="AD187" i="10"/>
  <c r="T184" i="10"/>
  <c r="AD182" i="10"/>
  <c r="X191" i="10"/>
  <c r="AD192" i="10"/>
  <c r="N187" i="10"/>
  <c r="N188" i="10" s="1"/>
  <c r="V184" i="10"/>
  <c r="V186" i="10"/>
  <c r="J193" i="10"/>
  <c r="J191" i="10"/>
  <c r="J194" i="10"/>
  <c r="L191" i="10"/>
  <c r="R192" i="10"/>
  <c r="X124" i="10"/>
  <c r="X193" i="10"/>
  <c r="X192" i="10"/>
  <c r="X184" i="10"/>
  <c r="X185" i="10"/>
  <c r="L193" i="10"/>
  <c r="J192" i="10"/>
  <c r="V187" i="10"/>
  <c r="X183" i="10"/>
  <c r="J184" i="10"/>
  <c r="J186" i="10"/>
  <c r="J187" i="10"/>
  <c r="L186" i="10"/>
  <c r="L187" i="10"/>
  <c r="L185" i="10"/>
  <c r="X186" i="10"/>
  <c r="T192" i="10"/>
  <c r="L192" i="10"/>
  <c r="U224" i="10" l="1"/>
  <c r="T195" i="10"/>
  <c r="R195" i="10"/>
  <c r="AD195" i="10"/>
  <c r="T188" i="10"/>
  <c r="AD188" i="10"/>
  <c r="R188" i="10"/>
  <c r="V195" i="10"/>
  <c r="J195" i="10"/>
  <c r="J188" i="10"/>
  <c r="L188" i="10"/>
  <c r="X195" i="10"/>
  <c r="L195" i="10"/>
  <c r="X188" i="10"/>
  <c r="V188" i="10"/>
  <c r="C192" i="10" l="1"/>
  <c r="C185" i="10"/>
  <c r="C193" i="10"/>
  <c r="C194" i="10"/>
  <c r="C184" i="10"/>
  <c r="C183" i="10"/>
  <c r="J115" i="10"/>
  <c r="C190" i="10"/>
  <c r="C187" i="10"/>
  <c r="C191" i="10"/>
  <c r="C182" i="10"/>
  <c r="C189" i="10"/>
  <c r="C186" i="10"/>
  <c r="C195" i="10" l="1"/>
  <c r="D189" i="10"/>
  <c r="C188" i="10"/>
  <c r="C233" i="10" s="1"/>
  <c r="C234" i="10" l="1"/>
  <c r="C228" i="10"/>
  <c r="C227" i="10"/>
  <c r="AB189" i="10"/>
  <c r="C222" i="10"/>
  <c r="D190" i="10"/>
  <c r="AB190" i="10" s="1"/>
  <c r="C232" i="10"/>
  <c r="D183" i="10"/>
  <c r="AB183" i="10" s="1"/>
  <c r="C229" i="10"/>
  <c r="C230" i="10"/>
  <c r="D191" i="10"/>
  <c r="AB191" i="10" s="1"/>
  <c r="C235" i="10"/>
  <c r="D182" i="10"/>
  <c r="D194" i="10"/>
  <c r="AB194" i="10" s="1"/>
  <c r="D192" i="10"/>
  <c r="AB192" i="10" s="1"/>
  <c r="D193" i="10"/>
  <c r="AB193" i="10" s="1"/>
  <c r="C231" i="10"/>
  <c r="D186" i="10"/>
  <c r="AB186" i="10" s="1"/>
  <c r="D187" i="10"/>
  <c r="AB187" i="10" s="1"/>
  <c r="D185" i="10"/>
  <c r="AB185" i="10" s="1"/>
  <c r="D184" i="10"/>
  <c r="AB184" i="10" s="1"/>
  <c r="AB182" i="10" l="1"/>
  <c r="AB188" i="10" s="1"/>
  <c r="AA188" i="10"/>
  <c r="AB195" i="10"/>
  <c r="AA195" i="10"/>
  <c r="D195" i="10"/>
  <c r="D188" i="10"/>
  <c r="C236" i="10"/>
  <c r="D233" i="10" l="1"/>
  <c r="D234" i="10"/>
  <c r="AA222" i="10"/>
  <c r="AA224" i="10" s="1"/>
  <c r="D232" i="10"/>
  <c r="D228" i="10"/>
  <c r="D231" i="10"/>
  <c r="C238" i="10"/>
  <c r="C237" i="10"/>
  <c r="D235" i="10"/>
  <c r="D229" i="10"/>
  <c r="D230" i="10"/>
  <c r="D227" i="10"/>
  <c r="D236" i="10" l="1"/>
  <c r="K32" i="10" l="1"/>
  <c r="AL32" i="10" s="1"/>
  <c r="R32" i="10" l="1"/>
  <c r="AG32" i="10"/>
  <c r="AJ32" i="10"/>
  <c r="U32" i="10"/>
  <c r="N32" i="10"/>
  <c r="AD32" i="10"/>
  <c r="AO32" i="10"/>
  <c r="AA32" i="10"/>
  <c r="X32" i="10"/>
  <c r="AN32" i="10"/>
  <c r="I159" i="10"/>
  <c r="G156" i="10"/>
  <c r="I156" i="10"/>
  <c r="I158" i="10"/>
  <c r="J158" i="10" s="1"/>
  <c r="I162" i="10"/>
  <c r="J162" i="10" s="1"/>
  <c r="I157" i="10"/>
  <c r="I161" i="10"/>
  <c r="J161" i="10" s="1"/>
  <c r="AO37" i="10"/>
  <c r="K162" i="10" s="1"/>
  <c r="L162" i="10" s="1"/>
  <c r="K42" i="10"/>
  <c r="U42" i="10" s="1"/>
  <c r="I160" i="10"/>
  <c r="J160" i="10" s="1"/>
  <c r="AL37" i="10"/>
  <c r="AN37" i="10"/>
  <c r="X37" i="10"/>
  <c r="N37" i="10"/>
  <c r="AJ37" i="10"/>
  <c r="U37" i="10"/>
  <c r="I163" i="10"/>
  <c r="J163" i="10" s="1"/>
  <c r="AD37" i="10"/>
  <c r="AG37" i="10"/>
  <c r="R37" i="10"/>
  <c r="AA37" i="10"/>
  <c r="G163" i="10"/>
  <c r="H163" i="10" s="1"/>
  <c r="G158" i="10"/>
  <c r="H158" i="10" s="1"/>
  <c r="G161" i="10"/>
  <c r="H161" i="10" s="1"/>
  <c r="G160" i="10"/>
  <c r="H160" i="10" s="1"/>
  <c r="AN42" i="10" l="1"/>
  <c r="AJ42" i="10"/>
  <c r="AD42" i="10"/>
  <c r="X42" i="10"/>
  <c r="K163" i="10"/>
  <c r="L163" i="10" s="1"/>
  <c r="R42" i="10"/>
  <c r="K158" i="10"/>
  <c r="L158" i="10" s="1"/>
  <c r="AL42" i="10"/>
  <c r="AA42" i="10"/>
  <c r="K157" i="10"/>
  <c r="L157" i="10" s="1"/>
  <c r="K156" i="10"/>
  <c r="G157" i="10"/>
  <c r="J156" i="10"/>
  <c r="K160" i="10"/>
  <c r="L160" i="10" s="1"/>
  <c r="G162" i="10"/>
  <c r="H162" i="10" s="1"/>
  <c r="N42" i="10"/>
  <c r="J37" i="10"/>
  <c r="J157" i="10"/>
  <c r="AO42" i="10"/>
  <c r="K161" i="10"/>
  <c r="L161" i="10" s="1"/>
  <c r="G159" i="10"/>
  <c r="G164" i="10" s="1"/>
  <c r="K159" i="10"/>
  <c r="I42" i="10"/>
  <c r="I115" i="10" s="1"/>
  <c r="AG42" i="10"/>
  <c r="H156" i="10"/>
  <c r="I164" i="10"/>
  <c r="G222" i="10" l="1"/>
  <c r="G234" i="10"/>
  <c r="G230" i="10"/>
  <c r="G235" i="10"/>
  <c r="G232" i="10"/>
  <c r="G231" i="10"/>
  <c r="H231" i="10" s="1"/>
  <c r="G227" i="10"/>
  <c r="G229" i="10"/>
  <c r="H159" i="10"/>
  <c r="G228" i="10"/>
  <c r="H228" i="10" s="1"/>
  <c r="H157" i="10"/>
  <c r="H164" i="10" s="1"/>
  <c r="L156" i="10"/>
  <c r="K164" i="10"/>
  <c r="K222" i="10" s="1"/>
  <c r="I222" i="10"/>
  <c r="J159" i="10"/>
  <c r="J164" i="10" s="1"/>
  <c r="G233" i="10"/>
  <c r="G236" i="10" l="1"/>
  <c r="G238" i="10" s="1"/>
  <c r="H235" i="10"/>
  <c r="H229" i="10"/>
  <c r="H227" i="10"/>
  <c r="H234" i="10"/>
  <c r="H232" i="10"/>
  <c r="H230" i="10"/>
  <c r="L159" i="10"/>
  <c r="L164" i="10" s="1"/>
  <c r="H233" i="10"/>
  <c r="H236" i="10" l="1"/>
  <c r="I218" i="10"/>
  <c r="J218" i="10" s="1"/>
  <c r="I219" i="10"/>
  <c r="J219" i="10" s="1"/>
  <c r="I217" i="10"/>
  <c r="J217" i="10" s="1"/>
  <c r="I220" i="10"/>
  <c r="J220" i="10" s="1"/>
  <c r="AO109" i="10"/>
  <c r="K114" i="10"/>
  <c r="U114" i="10" s="1"/>
  <c r="AM109" i="10"/>
  <c r="AN109" i="10" s="1"/>
  <c r="I216" i="10"/>
  <c r="AL111" i="10"/>
  <c r="AA111" i="10"/>
  <c r="AJ111" i="10"/>
  <c r="AD111" i="10"/>
  <c r="AO111" i="10"/>
  <c r="N111" i="10"/>
  <c r="AM111" i="10"/>
  <c r="AN111" i="10" s="1"/>
  <c r="R111" i="10"/>
  <c r="AG111" i="10"/>
  <c r="U111" i="10"/>
  <c r="X111" i="10"/>
  <c r="AM112" i="10"/>
  <c r="AO112" i="10"/>
  <c r="AA112" i="10"/>
  <c r="AG112" i="10"/>
  <c r="X112" i="10"/>
  <c r="AD112" i="10"/>
  <c r="R112" i="10"/>
  <c r="AL112" i="10"/>
  <c r="N112" i="10"/>
  <c r="U112" i="10"/>
  <c r="AJ112" i="10"/>
  <c r="X109" i="10"/>
  <c r="AJ109" i="10"/>
  <c r="U109" i="10"/>
  <c r="N109" i="10"/>
  <c r="AL109" i="10"/>
  <c r="AA109" i="10"/>
  <c r="AG109" i="10"/>
  <c r="R109" i="10"/>
  <c r="AD109" i="10"/>
  <c r="AA110" i="10"/>
  <c r="AD110" i="10"/>
  <c r="AJ110" i="10"/>
  <c r="R110" i="10"/>
  <c r="AG110" i="10"/>
  <c r="X110" i="10"/>
  <c r="AL110" i="10"/>
  <c r="AM110" i="10"/>
  <c r="AN110" i="10" s="1"/>
  <c r="AO110" i="10"/>
  <c r="K220" i="10" s="1"/>
  <c r="L220" i="10" s="1"/>
  <c r="U110" i="10"/>
  <c r="N110" i="10"/>
  <c r="AC216" i="10" l="1"/>
  <c r="AD216" i="10" s="1"/>
  <c r="K217" i="10"/>
  <c r="L217" i="10" s="1"/>
  <c r="AC219" i="10"/>
  <c r="AD219" i="10" s="1"/>
  <c r="AD114" i="10"/>
  <c r="X114" i="10"/>
  <c r="AA114" i="10"/>
  <c r="N114" i="10"/>
  <c r="I235" i="10"/>
  <c r="I231" i="10"/>
  <c r="J231" i="10" s="1"/>
  <c r="AC218" i="10"/>
  <c r="AD218" i="10" s="1"/>
  <c r="R114" i="10"/>
  <c r="K115" i="10"/>
  <c r="I233" i="10"/>
  <c r="AN112" i="10"/>
  <c r="AL114" i="10"/>
  <c r="K216" i="10"/>
  <c r="K219" i="10"/>
  <c r="L219" i="10" s="1"/>
  <c r="J216" i="10"/>
  <c r="J221" i="10" s="1"/>
  <c r="AC220" i="10"/>
  <c r="AD220" i="10" s="1"/>
  <c r="AJ114" i="10"/>
  <c r="AM114" i="10"/>
  <c r="AO114" i="10"/>
  <c r="AO115" i="10" s="1"/>
  <c r="I227" i="10"/>
  <c r="I230" i="10"/>
  <c r="K218" i="10"/>
  <c r="L218" i="10" s="1"/>
  <c r="I234" i="10"/>
  <c r="I229" i="10"/>
  <c r="AC217" i="10"/>
  <c r="AD217" i="10" s="1"/>
  <c r="AG114" i="10"/>
  <c r="I221" i="10"/>
  <c r="I228" i="10" s="1"/>
  <c r="J228" i="10" s="1"/>
  <c r="I232" i="10"/>
  <c r="X115" i="10" l="1"/>
  <c r="AL115" i="10"/>
  <c r="AG115" i="10"/>
  <c r="AJ115" i="10"/>
  <c r="U115" i="10"/>
  <c r="AA115" i="10"/>
  <c r="AD115" i="10"/>
  <c r="N115" i="10"/>
  <c r="R115" i="10"/>
  <c r="AM115" i="10"/>
  <c r="AN114" i="10"/>
  <c r="L216" i="10"/>
  <c r="L221" i="10" s="1"/>
  <c r="K227" i="10"/>
  <c r="K221" i="10"/>
  <c r="K234" i="10" s="1"/>
  <c r="L234" i="10" s="1"/>
  <c r="K232" i="10"/>
  <c r="L232" i="10" s="1"/>
  <c r="I236" i="10"/>
  <c r="J234" i="10" s="1"/>
  <c r="AD221" i="10"/>
  <c r="AC221" i="10"/>
  <c r="J235" i="10" l="1"/>
  <c r="J230" i="10"/>
  <c r="J227" i="10"/>
  <c r="J232" i="10"/>
  <c r="K231" i="10"/>
  <c r="L231" i="10" s="1"/>
  <c r="K235" i="10"/>
  <c r="L235" i="10" s="1"/>
  <c r="I237" i="10"/>
  <c r="I238" i="10"/>
  <c r="K233" i="10"/>
  <c r="L233" i="10" s="1"/>
  <c r="K229" i="10"/>
  <c r="L229" i="10" s="1"/>
  <c r="AA118" i="10"/>
  <c r="AN115" i="10"/>
  <c r="K230" i="10"/>
  <c r="J229" i="10"/>
  <c r="K228" i="10"/>
  <c r="L228" i="10" s="1"/>
  <c r="J233" i="10"/>
  <c r="J236" i="10" l="1"/>
  <c r="C286" i="10"/>
  <c r="AA124" i="10"/>
  <c r="K236" i="10"/>
  <c r="K238" i="10" l="1"/>
  <c r="K237" i="10"/>
  <c r="L227" i="10"/>
  <c r="L236" i="10" s="1"/>
  <c r="L230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NBL</author>
  </authors>
  <commentList>
    <comment ref="P4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report 2012 16481</t>
        </r>
      </text>
    </comment>
    <comment ref="X30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à annuler</t>
        </r>
      </text>
    </comment>
  </commentList>
</comments>
</file>

<file path=xl/sharedStrings.xml><?xml version="1.0" encoding="utf-8"?>
<sst xmlns="http://schemas.openxmlformats.org/spreadsheetml/2006/main" count="812" uniqueCount="369">
  <si>
    <t>Libellé</t>
  </si>
  <si>
    <t>Code</t>
  </si>
  <si>
    <t>Prog 2011</t>
  </si>
  <si>
    <t>Prog 2012</t>
  </si>
  <si>
    <t>Dépenses prév</t>
  </si>
  <si>
    <t>Ratio Logts</t>
  </si>
  <si>
    <t>Total Rem Previ</t>
  </si>
  <si>
    <t>RO</t>
  </si>
  <si>
    <t>Montant</t>
  </si>
  <si>
    <t>2008/2009</t>
  </si>
  <si>
    <t>Camphrier</t>
  </si>
  <si>
    <t>PRLC 0063</t>
  </si>
  <si>
    <t>FHO</t>
  </si>
  <si>
    <t>Ile bourbon</t>
  </si>
  <si>
    <t>PRLC 0091</t>
  </si>
  <si>
    <t>NBL</t>
  </si>
  <si>
    <t>Réservoir Stella</t>
  </si>
  <si>
    <t>PRLC 0092</t>
  </si>
  <si>
    <t>Capucines</t>
  </si>
  <si>
    <t>PRLC 0088</t>
  </si>
  <si>
    <t>SFE</t>
  </si>
  <si>
    <t>CoeurVillage-RPA</t>
  </si>
  <si>
    <t>PRLC 0089</t>
  </si>
  <si>
    <t>SGM</t>
  </si>
  <si>
    <t>Désiré - Ravine du Pont</t>
  </si>
  <si>
    <t>PRLC 0099</t>
  </si>
  <si>
    <t xml:space="preserve">Jules Vienne-Petite Ile   </t>
  </si>
  <si>
    <t>PRLC 0098</t>
  </si>
  <si>
    <t>Tamarin Becquet (Butte Citronnelle)</t>
  </si>
  <si>
    <t>PRLC 0085</t>
  </si>
  <si>
    <t>PRLC 0105</t>
  </si>
  <si>
    <t>FMA</t>
  </si>
  <si>
    <t xml:space="preserve">Lavoir      </t>
  </si>
  <si>
    <t>PRLC 0100</t>
  </si>
  <si>
    <t>PRLC 0123</t>
  </si>
  <si>
    <t xml:space="preserve">P'titCanal              </t>
  </si>
  <si>
    <t>PRLC 0094</t>
  </si>
  <si>
    <t>PRLC 0124</t>
  </si>
  <si>
    <t xml:space="preserve">Manapany  </t>
  </si>
  <si>
    <t>PRLC 0111</t>
  </si>
  <si>
    <t>PRLC 0116</t>
  </si>
  <si>
    <t xml:space="preserve">Désiré 2             </t>
  </si>
  <si>
    <t>PRLC 0133</t>
  </si>
  <si>
    <t>PRLC 0090</t>
  </si>
  <si>
    <t>PRLC 0114</t>
  </si>
  <si>
    <t>PRLC0104</t>
  </si>
  <si>
    <t>Résidence Bouton d'Or</t>
  </si>
  <si>
    <t>PRLC 0117</t>
  </si>
  <si>
    <t xml:space="preserve">Le CAP (BH228) Saint Leu   </t>
  </si>
  <si>
    <t>PRLC 0135</t>
  </si>
  <si>
    <t xml:space="preserve">Laurency      </t>
  </si>
  <si>
    <t>PRLC 0101</t>
  </si>
  <si>
    <t xml:space="preserve">Josepha Fontaine   </t>
  </si>
  <si>
    <t>PRLC 0122</t>
  </si>
  <si>
    <t xml:space="preserve">Sceau de Salomon   </t>
  </si>
  <si>
    <t>PRLC 0128</t>
  </si>
  <si>
    <t xml:space="preserve">Résidence ALAMANDAS  </t>
  </si>
  <si>
    <t>PRLC 0107</t>
  </si>
  <si>
    <t>PRLC 0093</t>
  </si>
  <si>
    <t>PIVET VELIN</t>
  </si>
  <si>
    <t>RPA ALAMANDA</t>
  </si>
  <si>
    <t>PRLC 0110</t>
  </si>
  <si>
    <t>Barrage</t>
  </si>
  <si>
    <t>PRLC 0138</t>
  </si>
  <si>
    <t xml:space="preserve">LES TAMARINIERS </t>
  </si>
  <si>
    <t>PRLC 0113</t>
  </si>
  <si>
    <t>PRLC 0121</t>
  </si>
  <si>
    <t xml:space="preserve">AMARYLLIS   </t>
  </si>
  <si>
    <t>PRLC 0109</t>
  </si>
  <si>
    <t>Nb Op</t>
  </si>
  <si>
    <t>REM PREVISIONNELLE AME ET MANDAT</t>
  </si>
  <si>
    <t>TOTAL REM PREVISIONNELLE POLE AMENAGEMENT ET IMMOBILIER</t>
  </si>
  <si>
    <t>COAM 0014</t>
  </si>
  <si>
    <t>RHI BUTTE CITRONNELLE</t>
  </si>
  <si>
    <t>PRPS 0017</t>
  </si>
  <si>
    <t>REGION</t>
  </si>
  <si>
    <t>LYCEE SCHOELCHER</t>
  </si>
  <si>
    <t>UNIVERSITE</t>
  </si>
  <si>
    <t>REHAB BAT M</t>
  </si>
  <si>
    <t>Le Tampon</t>
  </si>
  <si>
    <t>PRLC 0147</t>
  </si>
  <si>
    <t>PRLC 0144</t>
  </si>
  <si>
    <t>PRLC 0140</t>
  </si>
  <si>
    <t>Rem Perçue en 2012</t>
  </si>
  <si>
    <t>PRLC 0149</t>
  </si>
  <si>
    <t>Rue de l'Eglise</t>
  </si>
  <si>
    <t>PRLC 0148</t>
  </si>
  <si>
    <t>PEC</t>
  </si>
  <si>
    <t>MDTX</t>
  </si>
  <si>
    <t>SOBEPRE</t>
  </si>
  <si>
    <t>PRLC 0139</t>
  </si>
  <si>
    <t>PRO</t>
  </si>
  <si>
    <t>Parc à Moutons</t>
  </si>
  <si>
    <t>Prog</t>
  </si>
  <si>
    <t>Dépôt PC</t>
  </si>
  <si>
    <t>OS</t>
  </si>
  <si>
    <t>Bilan Final</t>
  </si>
  <si>
    <t>N logts</t>
  </si>
  <si>
    <t>Takamaka</t>
  </si>
  <si>
    <t>PRPS 0020</t>
  </si>
  <si>
    <t>Poker d'As 1           logements</t>
  </si>
  <si>
    <t>Résidence Aubépines  (Les Boulistes)</t>
  </si>
  <si>
    <t>Poker d'As 1           bureaux</t>
  </si>
  <si>
    <t>BBL</t>
  </si>
  <si>
    <t>YFR</t>
  </si>
  <si>
    <t>€</t>
  </si>
  <si>
    <t>N</t>
  </si>
  <si>
    <t>PRTU 0059</t>
  </si>
  <si>
    <t>FANFAN</t>
  </si>
  <si>
    <t>Restera à Percevoir au Total</t>
  </si>
  <si>
    <r>
      <rPr>
        <sz val="10"/>
        <color rgb="FFFF0000"/>
        <rFont val="Arial"/>
        <family val="2"/>
      </rPr>
      <t>VEFA</t>
    </r>
    <r>
      <rPr>
        <sz val="10"/>
        <color indexed="12"/>
        <rFont val="Arial"/>
        <family val="2"/>
      </rPr>
      <t xml:space="preserve"> Les Pechers</t>
    </r>
  </si>
  <si>
    <r>
      <rPr>
        <sz val="10"/>
        <color rgb="FFFF0000"/>
        <rFont val="Arial"/>
        <family val="2"/>
      </rPr>
      <t>VEFA</t>
    </r>
    <r>
      <rPr>
        <sz val="10"/>
        <color indexed="12"/>
        <rFont val="Arial"/>
        <family val="2"/>
      </rPr>
      <t xml:space="preserve"> Oiseaux du Paradis</t>
    </r>
  </si>
  <si>
    <r>
      <rPr>
        <sz val="10"/>
        <color rgb="FFFF0000"/>
        <rFont val="Arial"/>
        <family val="2"/>
      </rPr>
      <t>VEFA</t>
    </r>
    <r>
      <rPr>
        <sz val="10"/>
        <color indexed="12"/>
        <rFont val="Arial"/>
        <family val="2"/>
      </rPr>
      <t xml:space="preserve"> les Rosiers </t>
    </r>
  </si>
  <si>
    <t>PRLC 0155</t>
  </si>
  <si>
    <t>PC</t>
  </si>
  <si>
    <t>Terrain VATEL</t>
  </si>
  <si>
    <t>PRLC 0145</t>
  </si>
  <si>
    <t>APS</t>
  </si>
  <si>
    <t>PRLC 0153</t>
  </si>
  <si>
    <t>PRPS</t>
  </si>
  <si>
    <t>Palissandre</t>
  </si>
  <si>
    <t>PRLC 0129</t>
  </si>
  <si>
    <t>Rem Perçue en 2013</t>
  </si>
  <si>
    <t>PRLC 0161</t>
  </si>
  <si>
    <t>INITIAL</t>
  </si>
  <si>
    <t>Nbre Logements</t>
  </si>
  <si>
    <t>Nbre de dossiers</t>
  </si>
  <si>
    <t>Investissement</t>
  </si>
  <si>
    <t>Remunération totale</t>
  </si>
  <si>
    <t>Remunération Restante</t>
  </si>
  <si>
    <t>Prog 2010</t>
  </si>
  <si>
    <t>fin</t>
  </si>
  <si>
    <t>GPA</t>
  </si>
  <si>
    <t>Rémunération Perçue en 2012</t>
  </si>
  <si>
    <t>Rémunération Perçue en 2013</t>
  </si>
  <si>
    <t>Rémunération Perçue en 2014</t>
  </si>
  <si>
    <t>Travaux</t>
  </si>
  <si>
    <t xml:space="preserve">Prog 2013 </t>
  </si>
  <si>
    <t>APD</t>
  </si>
  <si>
    <t>AO</t>
  </si>
  <si>
    <t xml:space="preserve">Prog 2014 </t>
  </si>
  <si>
    <t>Prog 2015</t>
  </si>
  <si>
    <t>Remunération</t>
  </si>
  <si>
    <t>Cumul perçu au 31/12/2013</t>
  </si>
  <si>
    <t>% avancement total</t>
  </si>
  <si>
    <t>% avancement 2013</t>
  </si>
  <si>
    <t>Amgt / Mandats</t>
  </si>
  <si>
    <t>Etang Salé</t>
  </si>
  <si>
    <t>Pepinière d'entreprises Tranche 2</t>
  </si>
  <si>
    <t>St Leu</t>
  </si>
  <si>
    <t>etude RHI Fond Maurice</t>
  </si>
  <si>
    <t>Avirons</t>
  </si>
  <si>
    <t>Faisa</t>
  </si>
  <si>
    <t>Saint Pierre</t>
  </si>
  <si>
    <t>Etudes 3 Mares</t>
  </si>
  <si>
    <t>BH 397 12e km</t>
  </si>
  <si>
    <t>3e phase</t>
  </si>
  <si>
    <t>Extension Pointe Chateaux</t>
  </si>
  <si>
    <t>Saint-Leu</t>
  </si>
  <si>
    <t>PRIE 0003</t>
  </si>
  <si>
    <t>2e phase</t>
  </si>
  <si>
    <t>Etude Chemin Rangama</t>
  </si>
  <si>
    <t>ESQ</t>
  </si>
  <si>
    <t>Nbre dossiers</t>
  </si>
  <si>
    <t>CD61 et 515 - Rue Bertaut</t>
  </si>
  <si>
    <t>PRLC 0166</t>
  </si>
  <si>
    <t>Prog 2013</t>
  </si>
  <si>
    <t>Prog 2014</t>
  </si>
  <si>
    <t>Plaine St Paul</t>
  </si>
  <si>
    <t>AT 257 RPA St Philippe</t>
  </si>
  <si>
    <t>Lacaussade 3</t>
  </si>
  <si>
    <t>PRLC 0174</t>
  </si>
  <si>
    <t xml:space="preserve">% avancement 2014 </t>
  </si>
  <si>
    <t>Cumul perçu au 31/12/2014</t>
  </si>
  <si>
    <t>Rem perçue en 2014</t>
  </si>
  <si>
    <t>Prog 2016</t>
  </si>
  <si>
    <t>Rémunération Perçue en 2015</t>
  </si>
  <si>
    <t>RPA CLINIFUTUR</t>
  </si>
  <si>
    <t>PRLC 0173</t>
  </si>
  <si>
    <t>AGA</t>
  </si>
  <si>
    <t>Tampon</t>
  </si>
  <si>
    <t>PRLC 0176</t>
  </si>
  <si>
    <t>PRLC 0167</t>
  </si>
  <si>
    <t>PRLC 0157</t>
  </si>
  <si>
    <t>PRLC 0180</t>
  </si>
  <si>
    <t>PRLC 0181</t>
  </si>
  <si>
    <t>Les Bras de la Plaine</t>
  </si>
  <si>
    <t>Les Kakis</t>
  </si>
  <si>
    <t>Les Platanes</t>
  </si>
  <si>
    <t>PRLC 0179</t>
  </si>
  <si>
    <t>PRLC 0160</t>
  </si>
  <si>
    <t>PRLC 0156</t>
  </si>
  <si>
    <t>Prog 2017</t>
  </si>
  <si>
    <t xml:space="preserve">Nbre de dossiers </t>
  </si>
  <si>
    <t>Fin études/AO</t>
  </si>
  <si>
    <t xml:space="preserve">Cumul au </t>
  </si>
  <si>
    <t>FBR</t>
  </si>
  <si>
    <t>Paille en Queue</t>
  </si>
  <si>
    <t>Etudes</t>
  </si>
  <si>
    <t>Rem perçue en 2015</t>
  </si>
  <si>
    <t>Cumul perçu au 31/12/2015</t>
  </si>
  <si>
    <t>% avancement 2015</t>
  </si>
  <si>
    <t>Bilan final</t>
  </si>
  <si>
    <t>RDC</t>
  </si>
  <si>
    <t>DAT</t>
  </si>
  <si>
    <t>HDA</t>
  </si>
  <si>
    <t>Fondations</t>
  </si>
  <si>
    <t xml:space="preserve">REM PREVISIONNELLE  IMMOB </t>
  </si>
  <si>
    <t>Rémunération Prévue en 2016</t>
  </si>
  <si>
    <t>Rémunération Perçue en 2016</t>
  </si>
  <si>
    <t>Moyenne</t>
  </si>
  <si>
    <t>Pré-Etudes</t>
  </si>
  <si>
    <t>APU</t>
  </si>
  <si>
    <t>FVA</t>
  </si>
  <si>
    <t>ADE</t>
  </si>
  <si>
    <t>Dakota EK 250 Tampon CV</t>
  </si>
  <si>
    <t>Californie EK 286 Tampon CV</t>
  </si>
  <si>
    <t>PRLC 0184</t>
  </si>
  <si>
    <t>PRLC 0185</t>
  </si>
  <si>
    <t>PRLC 0187</t>
  </si>
  <si>
    <t>PRLC 0186</t>
  </si>
  <si>
    <t>Arizona - Bois Court</t>
  </si>
  <si>
    <t>PRLC 0188</t>
  </si>
  <si>
    <t>HDE</t>
  </si>
  <si>
    <t>Verveine des Indes</t>
  </si>
  <si>
    <t>FAHAM</t>
  </si>
  <si>
    <t>Z'Ambaville</t>
  </si>
  <si>
    <t>FAHAM commerce</t>
  </si>
  <si>
    <t>AMATA</t>
  </si>
  <si>
    <t>OET</t>
  </si>
  <si>
    <t>Fleurs Jaunes</t>
  </si>
  <si>
    <t>Fourragères</t>
  </si>
  <si>
    <t>Cumul perçu au 31/12/2016</t>
  </si>
  <si>
    <t>Rem perçue en 2016</t>
  </si>
  <si>
    <t xml:space="preserve">% avancement 2016 </t>
  </si>
  <si>
    <t>Programmation</t>
  </si>
  <si>
    <t>Plancher bas du R+1</t>
  </si>
  <si>
    <t>Plâtres</t>
  </si>
  <si>
    <t>2015</t>
  </si>
  <si>
    <t>PRLC 0163</t>
  </si>
  <si>
    <t>PRLT 0013</t>
  </si>
  <si>
    <t>INDIGO Tranche 1</t>
  </si>
  <si>
    <t>INDIGO Tranche 2</t>
  </si>
  <si>
    <t>REM PREVISIONNELLE REHAB</t>
  </si>
  <si>
    <t>PRLC 0191</t>
  </si>
  <si>
    <t>PRLC 0193</t>
  </si>
  <si>
    <t>PRLC 0194</t>
  </si>
  <si>
    <t>PRLC 0195</t>
  </si>
  <si>
    <t>PRLC 0192</t>
  </si>
  <si>
    <t>OPALE</t>
  </si>
  <si>
    <t>Prog 2018</t>
  </si>
  <si>
    <t>Rémunération Perçue en 2017</t>
  </si>
  <si>
    <t>PRLC 0197</t>
  </si>
  <si>
    <t>Turpin Les Cocos</t>
  </si>
  <si>
    <t>Foyer Charité</t>
  </si>
  <si>
    <t>PRLC 0198</t>
  </si>
  <si>
    <t>PRLC 0199</t>
  </si>
  <si>
    <t>PRLC 0200</t>
  </si>
  <si>
    <t>PRPS 0023</t>
  </si>
  <si>
    <t>FLAMBOYANT</t>
  </si>
  <si>
    <t>Les Mimosas</t>
  </si>
  <si>
    <t>Lié ETHEVE (Poker d'As II)</t>
  </si>
  <si>
    <t>Prog 2019</t>
  </si>
  <si>
    <t>Terre des Chênes</t>
  </si>
  <si>
    <t>OPERATIONS EN VIE y/c GPA</t>
  </si>
  <si>
    <t>PAPYRUS</t>
  </si>
  <si>
    <t>CANNELLE</t>
  </si>
  <si>
    <t xml:space="preserve">REPARTITION OPERATION VIVANTES </t>
  </si>
  <si>
    <t>CAO</t>
  </si>
  <si>
    <t>Rem perçue en 2017</t>
  </si>
  <si>
    <t>Cumul perçu au 31/12/2017</t>
  </si>
  <si>
    <t xml:space="preserve">% avancement 2017 </t>
  </si>
  <si>
    <t>Rem perçue en 2018</t>
  </si>
  <si>
    <t>Rémunération Perçue en 2018</t>
  </si>
  <si>
    <t>ILOT 6.2</t>
  </si>
  <si>
    <t>OPR</t>
  </si>
  <si>
    <t>Réception</t>
  </si>
  <si>
    <t>Avancement final</t>
  </si>
  <si>
    <t>CI Propre</t>
  </si>
  <si>
    <t>CI VEFA</t>
  </si>
  <si>
    <t>Contrat réservation</t>
  </si>
  <si>
    <t xml:space="preserve">VEFA </t>
  </si>
  <si>
    <t>Terrassement</t>
  </si>
  <si>
    <t>Cumul perçu au 31/12/18</t>
  </si>
  <si>
    <t>Rem Perçue en 2019</t>
  </si>
  <si>
    <t xml:space="preserve">% avancement 2018 </t>
  </si>
  <si>
    <t>PRLC 0209</t>
  </si>
  <si>
    <t>PRLC 0210</t>
  </si>
  <si>
    <t>PRLC 0205</t>
  </si>
  <si>
    <t>BOULANGER</t>
  </si>
  <si>
    <t>PRLC 0212</t>
  </si>
  <si>
    <t>TQU</t>
  </si>
  <si>
    <t>PRLC 0207</t>
  </si>
  <si>
    <t>PRLC 0206</t>
  </si>
  <si>
    <r>
      <rPr>
        <b/>
        <sz val="10"/>
        <color rgb="FFFF0000"/>
        <rFont val="Arial"/>
        <family val="2"/>
      </rPr>
      <t>VEFA</t>
    </r>
    <r>
      <rPr>
        <b/>
        <sz val="10"/>
        <color rgb="FF00B0F0"/>
        <rFont val="Arial"/>
        <family val="2"/>
      </rPr>
      <t xml:space="preserve"> Paule &amp; Gaston</t>
    </r>
  </si>
  <si>
    <t>GINGKO &amp; BILOBA</t>
  </si>
  <si>
    <t>Prog 2020</t>
  </si>
  <si>
    <t>PRLC 0213</t>
  </si>
  <si>
    <t>IKARIA</t>
  </si>
  <si>
    <t>PRLC 0214</t>
  </si>
  <si>
    <t>EMO</t>
  </si>
  <si>
    <t>programmation</t>
  </si>
  <si>
    <t>MOE ==&gt; APD</t>
  </si>
  <si>
    <t>REHAB</t>
  </si>
  <si>
    <t>GORBATCHEV Commerce</t>
  </si>
  <si>
    <t>GORBATCHEV Logement</t>
  </si>
  <si>
    <t>PRLC 0222</t>
  </si>
  <si>
    <t>PRLC 0220</t>
  </si>
  <si>
    <t>PRLC 0219</t>
  </si>
  <si>
    <r>
      <rPr>
        <b/>
        <sz val="10"/>
        <color rgb="FFFF0000"/>
        <rFont val="Arial"/>
        <family val="2"/>
      </rPr>
      <t>VEFA</t>
    </r>
    <r>
      <rPr>
        <b/>
        <sz val="10"/>
        <rFont val="Arial"/>
        <family val="2"/>
      </rPr>
      <t xml:space="preserve"> BERTAUT</t>
    </r>
  </si>
  <si>
    <t>PRLC 0217</t>
  </si>
  <si>
    <t>PRLC 0223</t>
  </si>
  <si>
    <t>PRLC 0221</t>
  </si>
  <si>
    <t>Rem perçue en 2020</t>
  </si>
  <si>
    <t>% avancement 2020 au</t>
  </si>
  <si>
    <t>Reste à percevoir en 2020</t>
  </si>
  <si>
    <t>% avancement prévu à fin 2020</t>
  </si>
  <si>
    <t>fin 2020</t>
  </si>
  <si>
    <t>Cumul perçu au 31/12/19</t>
  </si>
  <si>
    <t>% avancement 2019</t>
  </si>
  <si>
    <t>cloture</t>
  </si>
  <si>
    <t>MHO</t>
  </si>
  <si>
    <t>JER</t>
  </si>
  <si>
    <t xml:space="preserve">Phase </t>
  </si>
  <si>
    <t>OBJ 2020</t>
  </si>
  <si>
    <t>Rémunération Perçue en 2019</t>
  </si>
  <si>
    <t>Remunération prévue en 2020</t>
  </si>
  <si>
    <t>Rémunération Perçue en 2020</t>
  </si>
  <si>
    <t>Prog 2021</t>
  </si>
  <si>
    <t>REMUNERATION AMGT 2020</t>
  </si>
  <si>
    <t>DECOMPOSITION REMUNERATION PCI 2020</t>
  </si>
  <si>
    <t>AT 257 RPA St Philippe commerce</t>
  </si>
  <si>
    <t>VEFA</t>
  </si>
  <si>
    <t>bilan final</t>
  </si>
  <si>
    <t>PRLC 0224</t>
  </si>
  <si>
    <t>MTG</t>
  </si>
  <si>
    <t>OP ANNULEE</t>
  </si>
  <si>
    <t>Réservation</t>
  </si>
  <si>
    <t>BAOBAB</t>
  </si>
  <si>
    <t>PRLC 0225</t>
  </si>
  <si>
    <t>LXC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</si>
  <si>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</t>
    </r>
    <r>
      <rPr>
        <b/>
        <sz val="10"/>
        <color theme="5"/>
        <rFont val="Arial"/>
        <family val="2"/>
      </rPr>
      <t>LOULOU PITOU (LA SAFRANIERE)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</si>
  <si>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Petunias commerce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</si>
  <si>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Petunias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</si>
  <si>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5" tint="-0.249977111117893"/>
        <rFont val="Arial"/>
        <family val="2"/>
      </rPr>
      <t xml:space="preserve"> </t>
    </r>
    <r>
      <rPr>
        <b/>
        <sz val="10"/>
        <color theme="9" tint="-0.249977111117893"/>
        <rFont val="Arial"/>
        <family val="2"/>
      </rPr>
      <t>Maurice Lebon</t>
    </r>
  </si>
  <si>
    <t>NH à rembourser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</si>
  <si>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RPA HOPITAL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</si>
  <si>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CROUS St Pierre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</si>
  <si>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CROUS Tampon</t>
    </r>
  </si>
  <si>
    <t>CAO facturation déjà atteinte</t>
  </si>
  <si>
    <t>OS facturation déjà atteinte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</si>
  <si>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BERGAMOTE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</si>
  <si>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GTOI Roland Garros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</si>
  <si>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ACACIAS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</si>
  <si>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EPICEA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</si>
  <si>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MIAMI</t>
    </r>
  </si>
  <si>
    <t>PRO facturation déjà atteinte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</si>
  <si>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ALVERDY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</si>
  <si>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23e km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</si>
  <si>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ICADE TRANCHE 2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</si>
  <si>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ICADE TRANCHE 1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</si>
  <si>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ICADE TRANCHE 1 Commerce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</si>
  <si>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JARDINS DE MONTAIGNE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</si>
  <si>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JARDINS PARTAGES T1</t>
    </r>
  </si>
  <si>
    <t>% rémunération</t>
  </si>
  <si>
    <t>x</t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</si>
  <si>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HORUS</t>
    </r>
  </si>
  <si>
    <r>
      <rPr>
        <b/>
        <sz val="10"/>
        <color rgb="FFFF0000"/>
        <rFont val="Arial"/>
        <family val="2"/>
      </rPr>
      <t>VEFA</t>
    </r>
    <r>
      <rPr>
        <b/>
        <sz val="10"/>
        <color theme="7" tint="-0.499984740745262"/>
        <rFont val="Arial"/>
        <family val="2"/>
      </rPr>
      <t xml:space="preserve"> JARDINS PARTAGES T2</t>
    </r>
  </si>
  <si>
    <t>Contrôle calcul 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</si>
</sst>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_-* #,##0.00\ _F_-;\-* #,##0.00\ _F_-;_-* &quot;-&quot;??\ _F_-;_-@_-"/>
    <numFmt numFmtId="168" formatCode="#,##0.00\ _€"/>
    <numFmt numFmtId="169" formatCode="&quot;Travaux&quot;\ 0.00%"/>
    <numFmt numFmtId="170" formatCode="_-* #,##0\ _F_-;\-* #,##0\ _F_-;_-* &quot;-&quot;??\ _F_-;_-@_-"/>
    <numFmt numFmtId="171" formatCode="#,##0\ _€"/>
    <numFmt numFmtId="172" formatCode="_-* #,##0\ _€_-;\-* #,##0\ _€_-;_-* &quot;-&quot;??\ _€_-;_-@_-"/>
    <numFmt numFmtId="173" formatCode="#,##0_ ;\-#,##0\ "/>
    <numFmt numFmtId="174" formatCode="_-* #,##0.000\ _€_-;\-* #,##0.000\ _€_-;_-* &quot;-&quot;??\ _€_-;_-@_-"/>
    <numFmt numFmtId="193" formatCode="0.0%"/>
  </numFmts>
  <fonts count="99">
    <font>
      <sz val="10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1"/>
      <name val="Arial"/>
      <family val="2"/>
    </font>
    <font>
      <b/>
      <sz val="12"/>
      <name val="Arial"/>
      <family val="2"/>
    </font>
    <font>
      <sz val="10"/>
      <color indexed="14"/>
      <name val="Arial"/>
      <family val="2"/>
    </font>
    <font>
      <sz val="10"/>
      <name val="Arial"/>
      <family val="2"/>
    </font>
    <font>
      <sz val="10"/>
      <color indexed="19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53"/>
      <name val="Arial"/>
      <family val="2"/>
    </font>
    <font>
      <sz val="10"/>
      <color indexed="10"/>
      <name val="Arial"/>
      <family val="2"/>
    </font>
    <font>
      <sz val="10"/>
      <color indexed="16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color indexed="14"/>
      <name val="Arial"/>
      <family val="2"/>
    </font>
    <font>
      <b/>
      <sz val="10"/>
      <color indexed="1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FF0000"/>
      <name val="Arial"/>
      <family val="2"/>
    </font>
    <font>
      <sz val="10"/>
      <color rgb="FF006600"/>
      <name val="Arial"/>
      <family val="2"/>
    </font>
    <font>
      <b/>
      <sz val="12"/>
      <color indexed="12"/>
      <name val="Arial"/>
      <family val="2"/>
    </font>
    <font>
      <b/>
      <sz val="12"/>
      <color indexed="9"/>
      <name val="Arial"/>
      <family val="2"/>
    </font>
    <font>
      <sz val="10"/>
      <color theme="5" tint="-0.249977111117893"/>
      <name val="Arial"/>
      <family val="2"/>
    </font>
    <font>
      <sz val="10"/>
      <name val="Verdana"/>
      <family val="2"/>
    </font>
    <font>
      <sz val="12"/>
      <color indexed="12"/>
      <name val="Arial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12"/>
      <color indexed="53"/>
      <name val="Arial"/>
      <family val="2"/>
    </font>
    <font>
      <sz val="12"/>
      <color indexed="40"/>
      <name val="Arial"/>
      <family val="2"/>
    </font>
    <font>
      <sz val="12"/>
      <color indexed="16"/>
      <name val="Arial"/>
      <family val="2"/>
    </font>
    <font>
      <sz val="12"/>
      <color indexed="10"/>
      <name val="Arial"/>
      <family val="2"/>
    </font>
    <font>
      <sz val="12"/>
      <color indexed="57"/>
      <name val="Arial"/>
      <family val="2"/>
    </font>
    <font>
      <sz val="12"/>
      <color rgb="FFFF00FF"/>
      <name val="Arial"/>
      <family val="2"/>
    </font>
    <font>
      <b/>
      <sz val="10"/>
      <name val="Verdana"/>
      <family val="2"/>
    </font>
    <font>
      <sz val="10"/>
      <color indexed="61"/>
      <name val="Arial"/>
      <family val="2"/>
    </font>
    <font>
      <b/>
      <sz val="10"/>
      <color theme="5" tint="-0.249977111117893"/>
      <name val="Arial"/>
      <family val="2"/>
    </font>
    <font>
      <sz val="10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sz val="10"/>
      <color theme="9" tint="-0.249977111117893"/>
      <name val="Verdana"/>
      <family val="2"/>
    </font>
    <font>
      <sz val="10"/>
      <color indexed="24"/>
      <name val="Arial"/>
      <family val="2"/>
    </font>
    <font>
      <sz val="10"/>
      <color indexed="15"/>
      <name val="Arial"/>
      <family val="2"/>
    </font>
    <font>
      <b/>
      <sz val="12"/>
      <color rgb="FF00B050"/>
      <name val="Arial"/>
      <family val="2"/>
    </font>
    <font>
      <sz val="12"/>
      <color rgb="FF00B050"/>
      <name val="Arial"/>
      <family val="2"/>
    </font>
    <font>
      <sz val="12"/>
      <color rgb="FFFFC000"/>
      <name val="Arial"/>
      <family val="2"/>
    </font>
    <font>
      <sz val="10"/>
      <color rgb="FFFFC000"/>
      <name val="Arial"/>
      <family val="2"/>
    </font>
    <font>
      <sz val="10"/>
      <color rgb="FF00B0F0"/>
      <name val="Arial"/>
      <family val="2"/>
    </font>
    <font>
      <sz val="10"/>
      <color rgb="FF00B0F0"/>
      <name val="Verdana"/>
      <family val="2"/>
    </font>
    <font>
      <b/>
      <sz val="12"/>
      <color theme="0"/>
      <name val="Arial"/>
      <family val="2"/>
    </font>
    <font>
      <b/>
      <sz val="10"/>
      <color rgb="FF00B0F0"/>
      <name val="Arial"/>
      <family val="2"/>
    </font>
    <font>
      <sz val="12"/>
      <color rgb="FFFF0000"/>
      <name val="Arial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color theme="7" tint="-0.499984740745262"/>
      <name val="Arial"/>
      <family val="2"/>
    </font>
    <font>
      <b/>
      <sz val="10"/>
      <color theme="7" tint="-0.499984740745262"/>
      <name val="Arial"/>
      <family val="2"/>
    </font>
    <font>
      <b/>
      <sz val="12"/>
      <color theme="7" tint="-0.499984740745262"/>
      <name val="Arial"/>
      <family val="2"/>
    </font>
    <font>
      <sz val="10"/>
      <color theme="7" tint="-0.499984740745262"/>
      <name val="Verdana"/>
      <family val="2"/>
    </font>
    <font>
      <b/>
      <i/>
      <sz val="1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8"/>
      <name val="Verdana"/>
      <family val="2"/>
    </font>
    <font>
      <sz val="10"/>
      <color rgb="FF7030A0"/>
      <name val="Arial"/>
      <family val="2"/>
    </font>
    <font>
      <sz val="12"/>
      <color indexed="15"/>
      <name val="Arial"/>
      <family val="2"/>
    </font>
    <font>
      <sz val="12"/>
      <color rgb="FF7030A0"/>
      <name val="Arial"/>
      <family val="2"/>
    </font>
    <font>
      <b/>
      <sz val="11"/>
      <name val="ScalaSansPro-Light"/>
      <family val="3"/>
    </font>
    <font>
      <b/>
      <sz val="18"/>
      <color theme="0"/>
      <name val="Calibri"/>
      <family val="2"/>
      <scheme val="minor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b/>
      <sz val="12"/>
      <color theme="2" tint="-0.89999084444715716"/>
      <name val="Arial"/>
      <family val="2"/>
    </font>
    <font>
      <b/>
      <sz val="10"/>
      <color rgb="FF006600"/>
      <name val="Arial"/>
      <family val="2"/>
    </font>
    <font>
      <sz val="10"/>
      <color rgb="FFFF0000"/>
      <name val="Verdana"/>
      <family val="2"/>
    </font>
    <font>
      <sz val="10"/>
      <color theme="0"/>
      <name val="Verdana"/>
      <family val="2"/>
    </font>
    <font>
      <b/>
      <sz val="10"/>
      <color theme="5"/>
      <name val="Arial"/>
      <family val="2"/>
    </font>
    <font>
      <b/>
      <sz val="10"/>
      <color rgb="FF00B0F0"/>
      <name val="Verdana"/>
      <family val="2"/>
    </font>
    <font>
      <b/>
      <sz val="10"/>
      <color theme="0"/>
      <name val="Verdana"/>
      <family val="2"/>
    </font>
    <font>
      <b/>
      <sz val="10"/>
      <color theme="7" tint="-0.499984740745262"/>
      <name val="Verdana"/>
      <family val="2"/>
    </font>
    <font>
      <b/>
      <sz val="10"/>
      <color theme="2" tint="-0.89999084444715716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BC9B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/>
      <diagonal/>
    </border>
    <border>
      <left style="double">
        <color rgb="FFFF000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auto="1"/>
      </right>
      <top/>
      <bottom style="thin">
        <color auto="1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7" fontId="9" fillId="0" borderId="0" applyFont="0" applyFill="0" applyBorder="0" applyAlignment="0" applyProtection="0"/>
    <xf numFmtId="0" fontId="10" fillId="22" borderId="0" applyNumberFormat="0" applyBorder="0" applyAlignment="0" applyProtection="0"/>
    <xf numFmtId="0" fontId="9" fillId="0" borderId="0"/>
    <xf numFmtId="0" fontId="9" fillId="0" borderId="0"/>
    <xf numFmtId="9" fontId="6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165" fontId="46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1495">
    <xf numFmtId="0" fontId="0" fillId="0" borderId="0" xfId="0"/>
    <xf numFmtId="0" fontId="20" fillId="0" borderId="0" xfId="33" applyFont="1"/>
    <xf numFmtId="167" fontId="20" fillId="24" borderId="11" xfId="31" applyFont="1" applyFill="1" applyBorder="1" applyAlignment="1">
      <alignment horizontal="center"/>
    </xf>
    <xf numFmtId="0" fontId="20" fillId="24" borderId="11" xfId="31" applyNumberFormat="1" applyFont="1" applyFill="1" applyBorder="1" applyAlignment="1">
      <alignment horizontal="center"/>
    </xf>
    <xf numFmtId="167" fontId="20" fillId="24" borderId="11" xfId="31" applyFont="1" applyFill="1" applyBorder="1" applyAlignment="1">
      <alignment horizontal="left"/>
    </xf>
    <xf numFmtId="0" fontId="9" fillId="0" borderId="0" xfId="33"/>
    <xf numFmtId="0" fontId="20" fillId="24" borderId="11" xfId="33" applyFont="1" applyFill="1" applyBorder="1" applyAlignment="1">
      <alignment horizontal="center"/>
    </xf>
    <xf numFmtId="0" fontId="26" fillId="25" borderId="11" xfId="31" applyNumberFormat="1" applyFont="1" applyFill="1" applyBorder="1" applyAlignment="1">
      <alignment horizontal="center"/>
    </xf>
    <xf numFmtId="0" fontId="27" fillId="0" borderId="0" xfId="33" applyFont="1"/>
    <xf numFmtId="0" fontId="29" fillId="0" borderId="0" xfId="33" applyFont="1"/>
    <xf numFmtId="0" fontId="30" fillId="0" borderId="0" xfId="33" applyFont="1"/>
    <xf numFmtId="0" fontId="30" fillId="0" borderId="0" xfId="33" applyFont="1" applyFill="1"/>
    <xf numFmtId="0" fontId="31" fillId="0" borderId="0" xfId="33" applyFont="1"/>
    <xf numFmtId="0" fontId="31" fillId="0" borderId="0" xfId="33" applyFont="1" applyFill="1"/>
    <xf numFmtId="167" fontId="20" fillId="0" borderId="16" xfId="31" applyFont="1" applyBorder="1"/>
    <xf numFmtId="0" fontId="20" fillId="0" borderId="16" xfId="31" applyNumberFormat="1" applyFont="1" applyBorder="1" applyAlignment="1">
      <alignment horizontal="center"/>
    </xf>
    <xf numFmtId="0" fontId="9" fillId="0" borderId="0" xfId="31" applyNumberFormat="1" applyAlignment="1">
      <alignment horizontal="center"/>
    </xf>
    <xf numFmtId="167" fontId="9" fillId="0" borderId="0" xfId="31"/>
    <xf numFmtId="0" fontId="34" fillId="0" borderId="0" xfId="31" applyNumberFormat="1" applyFont="1" applyAlignment="1">
      <alignment horizontal="center"/>
    </xf>
    <xf numFmtId="0" fontId="35" fillId="0" borderId="0" xfId="31" applyNumberFormat="1" applyFont="1" applyAlignment="1">
      <alignment horizontal="center"/>
    </xf>
    <xf numFmtId="0" fontId="32" fillId="0" borderId="0" xfId="31" applyNumberFormat="1" applyFont="1" applyAlignment="1">
      <alignment horizontal="center"/>
    </xf>
    <xf numFmtId="167" fontId="9" fillId="27" borderId="18" xfId="31" applyFont="1" applyFill="1" applyBorder="1"/>
    <xf numFmtId="167" fontId="9" fillId="27" borderId="18" xfId="31" applyFill="1" applyBorder="1"/>
    <xf numFmtId="167" fontId="33" fillId="27" borderId="20" xfId="31" applyFont="1" applyFill="1" applyBorder="1"/>
    <xf numFmtId="167" fontId="33" fillId="27" borderId="0" xfId="31" applyFont="1" applyFill="1" applyBorder="1"/>
    <xf numFmtId="167" fontId="36" fillId="27" borderId="20" xfId="31" applyFont="1" applyFill="1" applyBorder="1"/>
    <xf numFmtId="167" fontId="9" fillId="27" borderId="23" xfId="31" applyFill="1" applyBorder="1"/>
    <xf numFmtId="167" fontId="9" fillId="27" borderId="22" xfId="31" applyFill="1" applyBorder="1"/>
    <xf numFmtId="0" fontId="9" fillId="0" borderId="0" xfId="33" applyFont="1"/>
    <xf numFmtId="167" fontId="20" fillId="0" borderId="11" xfId="31" applyFont="1" applyBorder="1"/>
    <xf numFmtId="167" fontId="9" fillId="0" borderId="0" xfId="31" applyFont="1"/>
    <xf numFmtId="167" fontId="27" fillId="0" borderId="0" xfId="33" applyNumberFormat="1" applyFont="1"/>
    <xf numFmtId="0" fontId="25" fillId="0" borderId="27" xfId="33" applyFont="1" applyFill="1" applyBorder="1" applyAlignment="1">
      <alignment horizontal="center" vertical="center" textRotation="90" wrapText="1"/>
    </xf>
    <xf numFmtId="167" fontId="9" fillId="0" borderId="0" xfId="31" applyAlignment="1">
      <alignment horizontal="center"/>
    </xf>
    <xf numFmtId="167" fontId="26" fillId="25" borderId="11" xfId="31" applyFont="1" applyFill="1" applyBorder="1"/>
    <xf numFmtId="0" fontId="26" fillId="25" borderId="12" xfId="31" applyNumberFormat="1" applyFont="1" applyFill="1" applyBorder="1" applyAlignment="1">
      <alignment horizontal="center"/>
    </xf>
    <xf numFmtId="167" fontId="20" fillId="0" borderId="15" xfId="31" applyFont="1" applyBorder="1"/>
    <xf numFmtId="0" fontId="22" fillId="0" borderId="0" xfId="33" applyFont="1"/>
    <xf numFmtId="0" fontId="24" fillId="0" borderId="16" xfId="31" applyNumberFormat="1" applyFont="1" applyBorder="1" applyAlignment="1">
      <alignment horizontal="center"/>
    </xf>
    <xf numFmtId="167" fontId="24" fillId="0" borderId="16" xfId="31" applyNumberFormat="1" applyFont="1" applyFill="1" applyBorder="1" applyAlignment="1">
      <alignment horizontal="center"/>
    </xf>
    <xf numFmtId="167" fontId="26" fillId="25" borderId="11" xfId="31" applyFont="1" applyFill="1" applyBorder="1" applyAlignment="1">
      <alignment horizontal="center"/>
    </xf>
    <xf numFmtId="167" fontId="20" fillId="0" borderId="14" xfId="31" applyFont="1" applyBorder="1"/>
    <xf numFmtId="167" fontId="20" fillId="0" borderId="0" xfId="31" applyFont="1" applyAlignment="1">
      <alignment horizontal="center"/>
    </xf>
    <xf numFmtId="0" fontId="41" fillId="0" borderId="0" xfId="33" applyFont="1"/>
    <xf numFmtId="0" fontId="9" fillId="0" borderId="0" xfId="33" applyFont="1" applyFill="1"/>
    <xf numFmtId="0" fontId="9" fillId="0" borderId="0" xfId="33" applyFont="1" applyAlignment="1">
      <alignment vertical="center"/>
    </xf>
    <xf numFmtId="167" fontId="26" fillId="34" borderId="11" xfId="31" applyFont="1" applyFill="1" applyBorder="1"/>
    <xf numFmtId="167" fontId="26" fillId="34" borderId="12" xfId="31" applyFont="1" applyFill="1" applyBorder="1"/>
    <xf numFmtId="0" fontId="42" fillId="0" borderId="0" xfId="33" applyFont="1" applyFill="1"/>
    <xf numFmtId="0" fontId="42" fillId="0" borderId="0" xfId="33" applyFont="1"/>
    <xf numFmtId="0" fontId="25" fillId="0" borderId="0" xfId="33" applyFont="1"/>
    <xf numFmtId="0" fontId="43" fillId="0" borderId="27" xfId="33" applyFont="1" applyFill="1" applyBorder="1" applyAlignment="1">
      <alignment horizontal="center" vertical="center" textRotation="90"/>
    </xf>
    <xf numFmtId="0" fontId="25" fillId="0" borderId="28" xfId="33" applyFont="1" applyFill="1" applyBorder="1" applyAlignment="1">
      <alignment vertical="center" textRotation="90"/>
    </xf>
    <xf numFmtId="0" fontId="44" fillId="0" borderId="0" xfId="33" applyFont="1" applyFill="1" applyAlignment="1">
      <alignment horizontal="center"/>
    </xf>
    <xf numFmtId="0" fontId="45" fillId="0" borderId="11" xfId="33" applyFont="1" applyFill="1" applyBorder="1"/>
    <xf numFmtId="167" fontId="45" fillId="0" borderId="11" xfId="31" applyFont="1" applyFill="1" applyBorder="1"/>
    <xf numFmtId="0" fontId="45" fillId="0" borderId="11" xfId="31" applyNumberFormat="1" applyFont="1" applyFill="1" applyBorder="1" applyAlignment="1">
      <alignment horizontal="center"/>
    </xf>
    <xf numFmtId="0" fontId="45" fillId="0" borderId="13" xfId="31" applyNumberFormat="1" applyFont="1" applyBorder="1" applyAlignment="1">
      <alignment horizontal="center"/>
    </xf>
    <xf numFmtId="167" fontId="45" fillId="0" borderId="11" xfId="31" applyFont="1" applyFill="1" applyBorder="1" applyAlignment="1">
      <alignment horizontal="center"/>
    </xf>
    <xf numFmtId="167" fontId="45" fillId="0" borderId="11" xfId="31" applyFont="1" applyBorder="1"/>
    <xf numFmtId="167" fontId="45" fillId="36" borderId="11" xfId="31" applyFont="1" applyFill="1" applyBorder="1"/>
    <xf numFmtId="4" fontId="45" fillId="26" borderId="11" xfId="33" applyNumberFormat="1" applyFont="1" applyFill="1" applyBorder="1"/>
    <xf numFmtId="165" fontId="45" fillId="0" borderId="14" xfId="33" applyNumberFormat="1" applyFont="1" applyFill="1" applyBorder="1"/>
    <xf numFmtId="0" fontId="45" fillId="36" borderId="11" xfId="33" applyFont="1" applyFill="1" applyBorder="1"/>
    <xf numFmtId="0" fontId="45" fillId="0" borderId="11" xfId="33" applyFont="1" applyBorder="1"/>
    <xf numFmtId="0" fontId="45" fillId="0" borderId="11" xfId="31" applyNumberFormat="1" applyFont="1" applyBorder="1" applyAlignment="1">
      <alignment horizontal="center"/>
    </xf>
    <xf numFmtId="167" fontId="45" fillId="0" borderId="11" xfId="31" applyFont="1" applyBorder="1" applyAlignment="1">
      <alignment horizontal="center"/>
    </xf>
    <xf numFmtId="0" fontId="45" fillId="36" borderId="11" xfId="31" applyNumberFormat="1" applyFont="1" applyFill="1" applyBorder="1" applyAlignment="1">
      <alignment horizontal="center"/>
    </xf>
    <xf numFmtId="165" fontId="45" fillId="0" borderId="14" xfId="33" applyNumberFormat="1" applyFont="1" applyBorder="1"/>
    <xf numFmtId="167" fontId="30" fillId="27" borderId="20" xfId="31" applyFont="1" applyFill="1" applyBorder="1"/>
    <xf numFmtId="167" fontId="37" fillId="0" borderId="39" xfId="31" applyFont="1" applyBorder="1" applyAlignment="1">
      <alignment horizontal="center"/>
    </xf>
    <xf numFmtId="165" fontId="9" fillId="0" borderId="0" xfId="33" applyNumberFormat="1"/>
    <xf numFmtId="1" fontId="47" fillId="0" borderId="17" xfId="46" applyNumberFormat="1" applyFont="1" applyBorder="1" applyAlignment="1">
      <alignment horizontal="center"/>
    </xf>
    <xf numFmtId="0" fontId="48" fillId="0" borderId="20" xfId="46" applyNumberFormat="1" applyFont="1" applyBorder="1" applyAlignment="1">
      <alignment horizontal="center"/>
    </xf>
    <xf numFmtId="0" fontId="49" fillId="0" borderId="20" xfId="46" applyNumberFormat="1" applyFont="1" applyBorder="1" applyAlignment="1">
      <alignment horizontal="center"/>
    </xf>
    <xf numFmtId="0" fontId="50" fillId="0" borderId="20" xfId="46" applyNumberFormat="1" applyFont="1" applyBorder="1" applyAlignment="1">
      <alignment horizontal="center"/>
    </xf>
    <xf numFmtId="0" fontId="51" fillId="0" borderId="20" xfId="46" applyNumberFormat="1" applyFont="1" applyBorder="1" applyAlignment="1">
      <alignment horizontal="center"/>
    </xf>
    <xf numFmtId="0" fontId="52" fillId="0" borderId="20" xfId="46" applyNumberFormat="1" applyFont="1" applyBorder="1" applyAlignment="1">
      <alignment horizontal="center"/>
    </xf>
    <xf numFmtId="0" fontId="53" fillId="0" borderId="20" xfId="46" applyNumberFormat="1" applyFont="1" applyBorder="1" applyAlignment="1">
      <alignment horizontal="center"/>
    </xf>
    <xf numFmtId="0" fontId="54" fillId="0" borderId="20" xfId="46" applyNumberFormat="1" applyFont="1" applyBorder="1" applyAlignment="1">
      <alignment horizontal="center"/>
    </xf>
    <xf numFmtId="169" fontId="25" fillId="0" borderId="25" xfId="33" applyNumberFormat="1" applyFont="1" applyFill="1" applyBorder="1" applyAlignment="1">
      <alignment horizontal="center" vertical="center"/>
    </xf>
    <xf numFmtId="164" fontId="48" fillId="36" borderId="25" xfId="33" applyNumberFormat="1" applyFont="1" applyFill="1" applyBorder="1"/>
    <xf numFmtId="0" fontId="55" fillId="0" borderId="23" xfId="46" applyNumberFormat="1" applyFont="1" applyBorder="1" applyAlignment="1">
      <alignment horizontal="center"/>
    </xf>
    <xf numFmtId="0" fontId="48" fillId="0" borderId="0" xfId="33" applyFont="1"/>
    <xf numFmtId="167" fontId="48" fillId="0" borderId="0" xfId="31" applyFont="1"/>
    <xf numFmtId="3" fontId="48" fillId="0" borderId="0" xfId="33" applyNumberFormat="1" applyFont="1"/>
    <xf numFmtId="3" fontId="48" fillId="0" borderId="0" xfId="33" applyNumberFormat="1" applyFont="1" applyAlignment="1">
      <alignment horizontal="center"/>
    </xf>
    <xf numFmtId="169" fontId="25" fillId="0" borderId="33" xfId="33" applyNumberFormat="1" applyFont="1" applyFill="1" applyBorder="1" applyAlignment="1">
      <alignment horizontal="center" vertical="center"/>
    </xf>
    <xf numFmtId="164" fontId="48" fillId="36" borderId="33" xfId="33" applyNumberFormat="1" applyFont="1" applyFill="1" applyBorder="1"/>
    <xf numFmtId="1" fontId="9" fillId="24" borderId="10" xfId="33" applyNumberFormat="1" applyFont="1" applyFill="1" applyBorder="1" applyAlignment="1">
      <alignment horizontal="left"/>
    </xf>
    <xf numFmtId="1" fontId="26" fillId="25" borderId="10" xfId="33" applyNumberFormat="1" applyFont="1" applyFill="1" applyBorder="1"/>
    <xf numFmtId="1" fontId="26" fillId="25" borderId="11" xfId="33" applyNumberFormat="1" applyFont="1" applyFill="1" applyBorder="1"/>
    <xf numFmtId="0" fontId="9" fillId="0" borderId="35" xfId="33" applyFont="1" applyBorder="1"/>
    <xf numFmtId="167" fontId="58" fillId="36" borderId="11" xfId="31" applyFont="1" applyFill="1" applyBorder="1"/>
    <xf numFmtId="4" fontId="9" fillId="0" borderId="0" xfId="33" applyNumberFormat="1" applyFont="1"/>
    <xf numFmtId="0" fontId="44" fillId="30" borderId="27" xfId="33" applyFont="1" applyFill="1" applyBorder="1" applyAlignment="1">
      <alignment vertical="center" textRotation="90"/>
    </xf>
    <xf numFmtId="1" fontId="26" fillId="34" borderId="10" xfId="33" applyNumberFormat="1" applyFont="1" applyFill="1" applyBorder="1"/>
    <xf numFmtId="0" fontId="26" fillId="34" borderId="11" xfId="31" applyNumberFormat="1" applyFont="1" applyFill="1" applyBorder="1" applyAlignment="1">
      <alignment horizontal="center"/>
    </xf>
    <xf numFmtId="167" fontId="26" fillId="34" borderId="11" xfId="31" applyFont="1" applyFill="1" applyBorder="1" applyAlignment="1">
      <alignment horizontal="center"/>
    </xf>
    <xf numFmtId="1" fontId="26" fillId="34" borderId="10" xfId="33" applyNumberFormat="1" applyFont="1" applyFill="1" applyBorder="1" applyAlignment="1">
      <alignment vertical="center"/>
    </xf>
    <xf numFmtId="167" fontId="26" fillId="34" borderId="11" xfId="31" applyFont="1" applyFill="1" applyBorder="1" applyAlignment="1">
      <alignment vertical="center"/>
    </xf>
    <xf numFmtId="0" fontId="26" fillId="34" borderId="11" xfId="31" applyNumberFormat="1" applyFont="1" applyFill="1" applyBorder="1" applyAlignment="1">
      <alignment horizontal="center" vertical="center"/>
    </xf>
    <xf numFmtId="167" fontId="26" fillId="34" borderId="11" xfId="31" applyFont="1" applyFill="1" applyBorder="1" applyAlignment="1">
      <alignment horizontal="center" vertical="center"/>
    </xf>
    <xf numFmtId="0" fontId="44" fillId="36" borderId="27" xfId="33" applyFont="1" applyFill="1" applyBorder="1" applyAlignment="1">
      <alignment vertical="center" textRotation="90"/>
    </xf>
    <xf numFmtId="167" fontId="59" fillId="36" borderId="11" xfId="31" applyFont="1" applyFill="1" applyBorder="1"/>
    <xf numFmtId="167" fontId="60" fillId="0" borderId="16" xfId="31" applyNumberFormat="1" applyFont="1" applyFill="1" applyBorder="1" applyAlignment="1">
      <alignment horizontal="center"/>
    </xf>
    <xf numFmtId="0" fontId="60" fillId="0" borderId="16" xfId="31" applyNumberFormat="1" applyFont="1" applyBorder="1" applyAlignment="1">
      <alignment horizontal="center"/>
    </xf>
    <xf numFmtId="0" fontId="59" fillId="0" borderId="0" xfId="33" applyFont="1"/>
    <xf numFmtId="4" fontId="25" fillId="0" borderId="0" xfId="33" applyNumberFormat="1" applyFont="1"/>
    <xf numFmtId="165" fontId="20" fillId="0" borderId="0" xfId="33" applyNumberFormat="1" applyFont="1"/>
    <xf numFmtId="3" fontId="30" fillId="0" borderId="0" xfId="33" applyNumberFormat="1" applyFont="1"/>
    <xf numFmtId="0" fontId="25" fillId="0" borderId="0" xfId="33" applyFont="1" applyFill="1" applyBorder="1" applyAlignment="1">
      <alignment horizontal="center"/>
    </xf>
    <xf numFmtId="0" fontId="52" fillId="0" borderId="23" xfId="46" applyNumberFormat="1" applyFont="1" applyBorder="1" applyAlignment="1">
      <alignment horizontal="center"/>
    </xf>
    <xf numFmtId="9" fontId="25" fillId="0" borderId="31" xfId="33" applyNumberFormat="1" applyFont="1" applyBorder="1" applyAlignment="1">
      <alignment horizontal="center"/>
    </xf>
    <xf numFmtId="167" fontId="26" fillId="25" borderId="12" xfId="31" applyFont="1" applyFill="1" applyBorder="1" applyAlignment="1">
      <alignment horizontal="center"/>
    </xf>
    <xf numFmtId="167" fontId="24" fillId="0" borderId="21" xfId="31" applyFont="1" applyFill="1" applyBorder="1" applyAlignment="1">
      <alignment horizontal="center"/>
    </xf>
    <xf numFmtId="167" fontId="37" fillId="0" borderId="38" xfId="31" applyFont="1" applyBorder="1" applyAlignment="1">
      <alignment horizontal="center"/>
    </xf>
    <xf numFmtId="0" fontId="52" fillId="40" borderId="29" xfId="46" applyNumberFormat="1" applyFont="1" applyFill="1" applyBorder="1" applyAlignment="1">
      <alignment horizontal="center"/>
    </xf>
    <xf numFmtId="0" fontId="34" fillId="41" borderId="17" xfId="46" applyNumberFormat="1" applyFont="1" applyFill="1" applyBorder="1" applyAlignment="1">
      <alignment horizontal="center"/>
    </xf>
    <xf numFmtId="1" fontId="29" fillId="0" borderId="20" xfId="46" applyNumberFormat="1" applyFont="1" applyBorder="1" applyAlignment="1">
      <alignment horizontal="center"/>
    </xf>
    <xf numFmtId="170" fontId="9" fillId="0" borderId="20" xfId="33" applyNumberFormat="1" applyFont="1" applyBorder="1" applyAlignment="1"/>
    <xf numFmtId="9" fontId="9" fillId="0" borderId="21" xfId="46" applyNumberFormat="1" applyFont="1" applyBorder="1" applyAlignment="1">
      <alignment horizontal="center"/>
    </xf>
    <xf numFmtId="167" fontId="9" fillId="0" borderId="20" xfId="33" applyNumberFormat="1" applyFont="1" applyBorder="1" applyAlignment="1"/>
    <xf numFmtId="9" fontId="9" fillId="0" borderId="21" xfId="33" applyNumberFormat="1" applyFont="1" applyBorder="1" applyAlignment="1">
      <alignment horizontal="center"/>
    </xf>
    <xf numFmtId="0" fontId="32" fillId="0" borderId="20" xfId="46" applyNumberFormat="1" applyFont="1" applyBorder="1" applyAlignment="1">
      <alignment horizontal="center"/>
    </xf>
    <xf numFmtId="0" fontId="30" fillId="0" borderId="20" xfId="46" applyNumberFormat="1" applyFont="1" applyBorder="1" applyAlignment="1">
      <alignment horizontal="center"/>
    </xf>
    <xf numFmtId="0" fontId="34" fillId="0" borderId="23" xfId="46" applyNumberFormat="1" applyFont="1" applyBorder="1" applyAlignment="1">
      <alignment horizontal="center"/>
    </xf>
    <xf numFmtId="164" fontId="20" fillId="0" borderId="29" xfId="46" applyNumberFormat="1" applyFont="1" applyBorder="1" applyAlignment="1">
      <alignment horizontal="center"/>
    </xf>
    <xf numFmtId="9" fontId="20" fillId="0" borderId="31" xfId="46" applyNumberFormat="1" applyFont="1" applyBorder="1" applyAlignment="1">
      <alignment horizontal="center"/>
    </xf>
    <xf numFmtId="4" fontId="20" fillId="0" borderId="29" xfId="33" applyNumberFormat="1" applyFont="1" applyBorder="1" applyAlignment="1"/>
    <xf numFmtId="9" fontId="20" fillId="0" borderId="31" xfId="33" applyNumberFormat="1" applyFont="1" applyBorder="1" applyAlignment="1">
      <alignment horizontal="center"/>
    </xf>
    <xf numFmtId="167" fontId="20" fillId="0" borderId="29" xfId="33" applyNumberFormat="1" applyFont="1" applyBorder="1" applyAlignment="1"/>
    <xf numFmtId="164" fontId="9" fillId="0" borderId="0" xfId="33" applyNumberFormat="1" applyFont="1"/>
    <xf numFmtId="164" fontId="25" fillId="0" borderId="0" xfId="33" applyNumberFormat="1" applyFont="1"/>
    <xf numFmtId="164" fontId="48" fillId="36" borderId="41" xfId="33" applyNumberFormat="1" applyFont="1" applyFill="1" applyBorder="1"/>
    <xf numFmtId="167" fontId="9" fillId="27" borderId="18" xfId="31" applyFill="1" applyBorder="1" applyAlignment="1">
      <alignment horizontal="center"/>
    </xf>
    <xf numFmtId="167" fontId="33" fillId="27" borderId="0" xfId="31" applyFont="1" applyFill="1" applyBorder="1" applyAlignment="1">
      <alignment horizontal="center"/>
    </xf>
    <xf numFmtId="167" fontId="9" fillId="27" borderId="22" xfId="31" applyFill="1" applyBorder="1" applyAlignment="1">
      <alignment horizontal="center"/>
    </xf>
    <xf numFmtId="164" fontId="25" fillId="0" borderId="0" xfId="33" applyNumberFormat="1" applyFont="1" applyAlignment="1">
      <alignment horizontal="center"/>
    </xf>
    <xf numFmtId="0" fontId="9" fillId="0" borderId="0" xfId="33" applyAlignment="1">
      <alignment horizontal="center"/>
    </xf>
    <xf numFmtId="0" fontId="0" fillId="0" borderId="0" xfId="0" applyAlignment="1">
      <alignment horizontal="center"/>
    </xf>
    <xf numFmtId="0" fontId="48" fillId="0" borderId="11" xfId="34" applyFont="1" applyBorder="1"/>
    <xf numFmtId="0" fontId="48" fillId="0" borderId="11" xfId="33" applyFont="1" applyBorder="1"/>
    <xf numFmtId="165" fontId="48" fillId="0" borderId="11" xfId="46" applyFont="1" applyFill="1" applyBorder="1" applyAlignment="1">
      <alignment horizontal="center"/>
    </xf>
    <xf numFmtId="3" fontId="48" fillId="0" borderId="11" xfId="34" applyNumberFormat="1" applyFont="1" applyBorder="1" applyAlignment="1">
      <alignment horizontal="center"/>
    </xf>
    <xf numFmtId="3" fontId="48" fillId="43" borderId="11" xfId="33" applyNumberFormat="1" applyFont="1" applyFill="1" applyBorder="1"/>
    <xf numFmtId="168" fontId="48" fillId="0" borderId="11" xfId="34" applyNumberFormat="1" applyFont="1" applyFill="1" applyBorder="1" applyAlignment="1">
      <alignment horizontal="center"/>
    </xf>
    <xf numFmtId="168" fontId="48" fillId="0" borderId="11" xfId="33" applyNumberFormat="1" applyFont="1" applyBorder="1"/>
    <xf numFmtId="9" fontId="48" fillId="0" borderId="42" xfId="35" applyFont="1" applyBorder="1"/>
    <xf numFmtId="0" fontId="48" fillId="0" borderId="11" xfId="34" applyFont="1" applyFill="1" applyBorder="1"/>
    <xf numFmtId="0" fontId="48" fillId="0" borderId="11" xfId="33" applyFont="1" applyBorder="1" applyAlignment="1">
      <alignment horizontal="center"/>
    </xf>
    <xf numFmtId="0" fontId="48" fillId="0" borderId="10" xfId="33" applyFont="1" applyBorder="1"/>
    <xf numFmtId="0" fontId="48" fillId="0" borderId="34" xfId="33" applyFont="1" applyBorder="1"/>
    <xf numFmtId="0" fontId="64" fillId="0" borderId="11" xfId="46" applyNumberFormat="1" applyFont="1" applyBorder="1" applyAlignment="1">
      <alignment horizontal="center"/>
    </xf>
    <xf numFmtId="3" fontId="65" fillId="0" borderId="11" xfId="33" applyNumberFormat="1" applyFont="1" applyBorder="1"/>
    <xf numFmtId="0" fontId="48" fillId="0" borderId="0" xfId="33" applyFont="1" applyFill="1"/>
    <xf numFmtId="0" fontId="66" fillId="0" borderId="20" xfId="46" applyNumberFormat="1" applyFont="1" applyBorder="1" applyAlignment="1">
      <alignment horizontal="center"/>
    </xf>
    <xf numFmtId="164" fontId="20" fillId="0" borderId="0" xfId="33" applyNumberFormat="1" applyFont="1"/>
    <xf numFmtId="9" fontId="25" fillId="0" borderId="0" xfId="33" applyNumberFormat="1" applyFont="1"/>
    <xf numFmtId="0" fontId="59" fillId="0" borderId="35" xfId="33" applyFont="1" applyBorder="1"/>
    <xf numFmtId="167" fontId="59" fillId="0" borderId="0" xfId="31" applyFont="1" applyFill="1" applyBorder="1" applyAlignment="1">
      <alignment horizontal="center"/>
    </xf>
    <xf numFmtId="0" fontId="44" fillId="36" borderId="0" xfId="33" applyFont="1" applyFill="1" applyBorder="1" applyAlignment="1">
      <alignment horizontal="center" vertical="center"/>
    </xf>
    <xf numFmtId="0" fontId="68" fillId="0" borderId="0" xfId="33" applyFont="1"/>
    <xf numFmtId="0" fontId="57" fillId="0" borderId="27" xfId="33" applyFont="1" applyBorder="1"/>
    <xf numFmtId="167" fontId="24" fillId="0" borderId="13" xfId="31" applyFont="1" applyBorder="1"/>
    <xf numFmtId="0" fontId="71" fillId="0" borderId="16" xfId="31" applyNumberFormat="1" applyFont="1" applyBorder="1" applyAlignment="1">
      <alignment horizontal="center"/>
    </xf>
    <xf numFmtId="167" fontId="71" fillId="0" borderId="16" xfId="31" applyNumberFormat="1" applyFont="1" applyFill="1" applyBorder="1" applyAlignment="1">
      <alignment horizontal="center"/>
    </xf>
    <xf numFmtId="9" fontId="45" fillId="36" borderId="11" xfId="35" applyFont="1" applyFill="1" applyBorder="1"/>
    <xf numFmtId="9" fontId="9" fillId="0" borderId="0" xfId="35" applyFont="1"/>
    <xf numFmtId="9" fontId="25" fillId="0" borderId="0" xfId="35" applyFont="1"/>
    <xf numFmtId="9" fontId="48" fillId="0" borderId="0" xfId="35" applyFont="1"/>
    <xf numFmtId="9" fontId="31" fillId="0" borderId="0" xfId="35" applyFont="1"/>
    <xf numFmtId="9" fontId="27" fillId="0" borderId="0" xfId="35" applyFont="1"/>
    <xf numFmtId="0" fontId="72" fillId="0" borderId="20" xfId="46" applyNumberFormat="1" applyFont="1" applyBorder="1" applyAlignment="1">
      <alignment horizontal="center"/>
    </xf>
    <xf numFmtId="0" fontId="25" fillId="38" borderId="0" xfId="33" applyFont="1" applyFill="1" applyAlignment="1">
      <alignment horizontal="center"/>
    </xf>
    <xf numFmtId="0" fontId="62" fillId="36" borderId="20" xfId="46" applyNumberFormat="1" applyFont="1" applyFill="1" applyBorder="1" applyAlignment="1">
      <alignment horizontal="center"/>
    </xf>
    <xf numFmtId="0" fontId="34" fillId="36" borderId="20" xfId="46" applyNumberFormat="1" applyFont="1" applyFill="1" applyBorder="1" applyAlignment="1">
      <alignment horizontal="center"/>
    </xf>
    <xf numFmtId="173" fontId="25" fillId="0" borderId="0" xfId="35" applyNumberFormat="1" applyFont="1" applyAlignment="1">
      <alignment horizontal="center" vertical="center"/>
    </xf>
    <xf numFmtId="0" fontId="25" fillId="0" borderId="0" xfId="33" applyFont="1" applyAlignment="1">
      <alignment horizontal="center"/>
    </xf>
    <xf numFmtId="0" fontId="29" fillId="34" borderId="11" xfId="33" applyFont="1" applyFill="1" applyBorder="1"/>
    <xf numFmtId="0" fontId="49" fillId="36" borderId="20" xfId="46" applyNumberFormat="1" applyFont="1" applyFill="1" applyBorder="1" applyAlignment="1">
      <alignment horizontal="center"/>
    </xf>
    <xf numFmtId="0" fontId="52" fillId="36" borderId="20" xfId="46" applyNumberFormat="1" applyFont="1" applyFill="1" applyBorder="1" applyAlignment="1">
      <alignment horizontal="center"/>
    </xf>
    <xf numFmtId="0" fontId="25" fillId="45" borderId="0" xfId="33" applyFont="1" applyFill="1" applyAlignment="1">
      <alignment horizontal="center"/>
    </xf>
    <xf numFmtId="172" fontId="48" fillId="45" borderId="0" xfId="33" applyNumberFormat="1" applyFont="1" applyFill="1" applyAlignment="1">
      <alignment horizontal="center" vertical="center"/>
    </xf>
    <xf numFmtId="0" fontId="25" fillId="46" borderId="0" xfId="33" applyFont="1" applyFill="1" applyAlignment="1">
      <alignment horizontal="center"/>
    </xf>
    <xf numFmtId="172" fontId="48" fillId="46" borderId="0" xfId="33" applyNumberFormat="1" applyFont="1" applyFill="1" applyAlignment="1">
      <alignment horizontal="center" vertical="center"/>
    </xf>
    <xf numFmtId="0" fontId="25" fillId="47" borderId="0" xfId="33" applyFont="1" applyFill="1" applyAlignment="1">
      <alignment horizontal="center"/>
    </xf>
    <xf numFmtId="172" fontId="48" fillId="47" borderId="0" xfId="33" applyNumberFormat="1" applyFont="1" applyFill="1" applyAlignment="1">
      <alignment horizontal="center" vertical="center"/>
    </xf>
    <xf numFmtId="0" fontId="25" fillId="39" borderId="0" xfId="33" applyFont="1" applyFill="1" applyAlignment="1">
      <alignment horizontal="center"/>
    </xf>
    <xf numFmtId="172" fontId="48" fillId="39" borderId="0" xfId="33" applyNumberFormat="1" applyFont="1" applyFill="1" applyAlignment="1">
      <alignment horizontal="center" vertical="center"/>
    </xf>
    <xf numFmtId="164" fontId="48" fillId="38" borderId="0" xfId="33" applyNumberFormat="1" applyFont="1" applyFill="1"/>
    <xf numFmtId="164" fontId="25" fillId="38" borderId="0" xfId="33" applyNumberFormat="1" applyFont="1" applyFill="1" applyAlignment="1">
      <alignment horizontal="center"/>
    </xf>
    <xf numFmtId="170" fontId="48" fillId="0" borderId="0" xfId="33" applyNumberFormat="1" applyFont="1"/>
    <xf numFmtId="0" fontId="25" fillId="0" borderId="0" xfId="33" applyFont="1" applyAlignment="1">
      <alignment vertical="center"/>
    </xf>
    <xf numFmtId="0" fontId="0" fillId="0" borderId="0" xfId="0" applyAlignment="1">
      <alignment vertical="center"/>
    </xf>
    <xf numFmtId="0" fontId="25" fillId="0" borderId="0" xfId="33" applyFont="1" applyAlignment="1">
      <alignment horizontal="center"/>
    </xf>
    <xf numFmtId="0" fontId="75" fillId="0" borderId="11" xfId="33" applyFont="1" applyBorder="1"/>
    <xf numFmtId="167" fontId="75" fillId="36" borderId="11" xfId="31" applyFont="1" applyFill="1" applyBorder="1"/>
    <xf numFmtId="0" fontId="75" fillId="0" borderId="11" xfId="31" applyNumberFormat="1" applyFont="1" applyFill="1" applyBorder="1" applyAlignment="1">
      <alignment horizontal="center"/>
    </xf>
    <xf numFmtId="0" fontId="76" fillId="0" borderId="13" xfId="31" applyNumberFormat="1" applyFont="1" applyBorder="1" applyAlignment="1">
      <alignment horizontal="center"/>
    </xf>
    <xf numFmtId="167" fontId="75" fillId="0" borderId="11" xfId="31" applyFont="1" applyFill="1" applyBorder="1" applyAlignment="1">
      <alignment horizontal="center"/>
    </xf>
    <xf numFmtId="167" fontId="75" fillId="0" borderId="11" xfId="31" applyFont="1" applyFill="1" applyBorder="1"/>
    <xf numFmtId="9" fontId="75" fillId="0" borderId="10" xfId="35" applyFont="1" applyBorder="1" applyAlignment="1">
      <alignment horizontal="center"/>
    </xf>
    <xf numFmtId="165" fontId="75" fillId="0" borderId="14" xfId="33" applyNumberFormat="1" applyFont="1" applyFill="1" applyBorder="1"/>
    <xf numFmtId="0" fontId="75" fillId="0" borderId="13" xfId="31" applyNumberFormat="1" applyFont="1" applyBorder="1" applyAlignment="1">
      <alignment horizontal="center"/>
    </xf>
    <xf numFmtId="0" fontId="77" fillId="0" borderId="0" xfId="33" applyFont="1"/>
    <xf numFmtId="0" fontId="75" fillId="0" borderId="27" xfId="33" applyFont="1" applyBorder="1"/>
    <xf numFmtId="167" fontId="76" fillId="0" borderId="13" xfId="31" applyFont="1" applyBorder="1"/>
    <xf numFmtId="0" fontId="76" fillId="0" borderId="16" xfId="31" applyNumberFormat="1" applyFont="1" applyBorder="1" applyAlignment="1">
      <alignment horizontal="center"/>
    </xf>
    <xf numFmtId="167" fontId="75" fillId="0" borderId="0" xfId="31" applyFont="1" applyAlignment="1">
      <alignment horizontal="center"/>
    </xf>
    <xf numFmtId="167" fontId="76" fillId="0" borderId="21" xfId="31" applyFont="1" applyFill="1" applyBorder="1" applyAlignment="1">
      <alignment horizontal="center"/>
    </xf>
    <xf numFmtId="167" fontId="76" fillId="0" borderId="16" xfId="31" applyNumberFormat="1" applyFont="1" applyFill="1" applyBorder="1" applyAlignment="1">
      <alignment horizontal="center"/>
    </xf>
    <xf numFmtId="0" fontId="76" fillId="0" borderId="0" xfId="33" applyFont="1"/>
    <xf numFmtId="9" fontId="25" fillId="0" borderId="0" xfId="33" applyNumberFormat="1" applyFont="1" applyBorder="1" applyAlignment="1">
      <alignment horizontal="center"/>
    </xf>
    <xf numFmtId="1" fontId="28" fillId="34" borderId="11" xfId="33" applyNumberFormat="1" applyFont="1" applyFill="1" applyBorder="1"/>
    <xf numFmtId="167" fontId="28" fillId="34" borderId="11" xfId="31" applyFont="1" applyFill="1" applyBorder="1"/>
    <xf numFmtId="0" fontId="28" fillId="34" borderId="13" xfId="31" applyNumberFormat="1" applyFont="1" applyFill="1" applyBorder="1" applyAlignment="1">
      <alignment horizontal="center"/>
    </xf>
    <xf numFmtId="167" fontId="28" fillId="34" borderId="11" xfId="31" applyFont="1" applyFill="1" applyBorder="1" applyAlignment="1">
      <alignment horizontal="center"/>
    </xf>
    <xf numFmtId="167" fontId="28" fillId="34" borderId="13" xfId="31" applyFont="1" applyFill="1" applyBorder="1" applyAlignment="1">
      <alignment horizontal="center"/>
    </xf>
    <xf numFmtId="167" fontId="28" fillId="34" borderId="13" xfId="31" applyFont="1" applyFill="1" applyBorder="1"/>
    <xf numFmtId="1" fontId="28" fillId="34" borderId="10" xfId="33" applyNumberFormat="1" applyFont="1" applyFill="1" applyBorder="1"/>
    <xf numFmtId="0" fontId="28" fillId="34" borderId="11" xfId="31" applyNumberFormat="1" applyFont="1" applyFill="1" applyBorder="1" applyAlignment="1">
      <alignment horizontal="center"/>
    </xf>
    <xf numFmtId="0" fontId="28" fillId="34" borderId="12" xfId="31" applyNumberFormat="1" applyFont="1" applyFill="1" applyBorder="1" applyAlignment="1">
      <alignment horizontal="center"/>
    </xf>
    <xf numFmtId="167" fontId="28" fillId="34" borderId="12" xfId="31" applyFont="1" applyFill="1" applyBorder="1" applyAlignment="1">
      <alignment horizontal="center"/>
    </xf>
    <xf numFmtId="167" fontId="28" fillId="34" borderId="12" xfId="31" applyFont="1" applyFill="1" applyBorder="1"/>
    <xf numFmtId="167" fontId="29" fillId="34" borderId="11" xfId="31" applyFont="1" applyFill="1" applyBorder="1"/>
    <xf numFmtId="0" fontId="29" fillId="34" borderId="13" xfId="31" applyNumberFormat="1" applyFont="1" applyFill="1" applyBorder="1" applyAlignment="1">
      <alignment horizontal="center"/>
    </xf>
    <xf numFmtId="167" fontId="29" fillId="34" borderId="11" xfId="31" applyFont="1" applyFill="1" applyBorder="1" applyAlignment="1">
      <alignment horizontal="center"/>
    </xf>
    <xf numFmtId="167" fontId="29" fillId="34" borderId="13" xfId="31" applyFont="1" applyFill="1" applyBorder="1" applyAlignment="1">
      <alignment horizontal="center"/>
    </xf>
    <xf numFmtId="167" fontId="29" fillId="34" borderId="13" xfId="31" applyFont="1" applyFill="1" applyBorder="1"/>
    <xf numFmtId="165" fontId="29" fillId="34" borderId="14" xfId="33" applyNumberFormat="1" applyFont="1" applyFill="1" applyBorder="1"/>
    <xf numFmtId="1" fontId="29" fillId="34" borderId="10" xfId="33" applyNumberFormat="1" applyFont="1" applyFill="1" applyBorder="1"/>
    <xf numFmtId="0" fontId="29" fillId="34" borderId="11" xfId="31" applyNumberFormat="1" applyFont="1" applyFill="1" applyBorder="1" applyAlignment="1">
      <alignment horizontal="center"/>
    </xf>
    <xf numFmtId="167" fontId="29" fillId="34" borderId="11" xfId="31" applyFont="1" applyFill="1" applyBorder="1" applyAlignment="1">
      <alignment horizontal="right"/>
    </xf>
    <xf numFmtId="174" fontId="29" fillId="34" borderId="14" xfId="33" applyNumberFormat="1" applyFont="1" applyFill="1" applyBorder="1"/>
    <xf numFmtId="0" fontId="29" fillId="34" borderId="15" xfId="33" applyFont="1" applyFill="1" applyBorder="1"/>
    <xf numFmtId="167" fontId="29" fillId="34" borderId="12" xfId="31" applyFont="1" applyFill="1" applyBorder="1"/>
    <xf numFmtId="0" fontId="29" fillId="34" borderId="12" xfId="31" applyNumberFormat="1" applyFont="1" applyFill="1" applyBorder="1" applyAlignment="1">
      <alignment horizontal="center"/>
    </xf>
    <xf numFmtId="167" fontId="29" fillId="34" borderId="12" xfId="31" applyFont="1" applyFill="1" applyBorder="1" applyAlignment="1">
      <alignment horizontal="center"/>
    </xf>
    <xf numFmtId="0" fontId="29" fillId="34" borderId="10" xfId="33" applyFont="1" applyFill="1" applyBorder="1"/>
    <xf numFmtId="9" fontId="25" fillId="0" borderId="0" xfId="33" applyNumberFormat="1" applyFont="1" applyAlignment="1">
      <alignment horizontal="center"/>
    </xf>
    <xf numFmtId="0" fontId="48" fillId="0" borderId="0" xfId="33" applyFont="1" applyAlignment="1">
      <alignment horizontal="center"/>
    </xf>
    <xf numFmtId="0" fontId="79" fillId="0" borderId="0" xfId="33" applyFont="1" applyAlignment="1">
      <alignment horizontal="center"/>
    </xf>
    <xf numFmtId="9" fontId="79" fillId="0" borderId="0" xfId="33" applyNumberFormat="1" applyFont="1" applyAlignment="1">
      <alignment horizontal="center"/>
    </xf>
    <xf numFmtId="0" fontId="20" fillId="0" borderId="0" xfId="33" applyFont="1" applyAlignment="1">
      <alignment horizontal="center"/>
    </xf>
    <xf numFmtId="0" fontId="25" fillId="0" borderId="20" xfId="33" applyFont="1" applyBorder="1" applyAlignment="1">
      <alignment horizontal="center"/>
    </xf>
    <xf numFmtId="0" fontId="25" fillId="0" borderId="0" xfId="33" applyFont="1" applyBorder="1" applyAlignment="1">
      <alignment horizontal="center"/>
    </xf>
    <xf numFmtId="9" fontId="25" fillId="0" borderId="21" xfId="35" applyFont="1" applyBorder="1" applyAlignment="1">
      <alignment horizontal="center"/>
    </xf>
    <xf numFmtId="0" fontId="25" fillId="0" borderId="23" xfId="33" applyFont="1" applyBorder="1" applyAlignment="1">
      <alignment horizontal="center"/>
    </xf>
    <xf numFmtId="9" fontId="25" fillId="0" borderId="22" xfId="33" applyNumberFormat="1" applyFont="1" applyBorder="1" applyAlignment="1">
      <alignment horizontal="center"/>
    </xf>
    <xf numFmtId="0" fontId="25" fillId="0" borderId="22" xfId="33" applyFont="1" applyBorder="1" applyAlignment="1">
      <alignment horizontal="center"/>
    </xf>
    <xf numFmtId="9" fontId="25" fillId="0" borderId="24" xfId="35" applyFont="1" applyBorder="1" applyAlignment="1">
      <alignment horizontal="center"/>
    </xf>
    <xf numFmtId="1" fontId="29" fillId="0" borderId="41" xfId="46" applyNumberFormat="1" applyFont="1" applyBorder="1" applyAlignment="1">
      <alignment horizontal="center"/>
    </xf>
    <xf numFmtId="0" fontId="30" fillId="0" borderId="33" xfId="46" applyNumberFormat="1" applyFont="1" applyBorder="1" applyAlignment="1">
      <alignment horizontal="center"/>
    </xf>
    <xf numFmtId="0" fontId="25" fillId="0" borderId="38" xfId="33" applyFont="1" applyBorder="1" applyAlignment="1">
      <alignment horizontal="center"/>
    </xf>
    <xf numFmtId="9" fontId="25" fillId="0" borderId="34" xfId="33" applyNumberFormat="1" applyFont="1" applyBorder="1" applyAlignment="1">
      <alignment horizontal="center"/>
    </xf>
    <xf numFmtId="9" fontId="25" fillId="0" borderId="39" xfId="35" applyFont="1" applyBorder="1" applyAlignment="1">
      <alignment horizontal="center"/>
    </xf>
    <xf numFmtId="0" fontId="25" fillId="0" borderId="34" xfId="33" applyFont="1" applyBorder="1" applyAlignment="1">
      <alignment horizontal="center"/>
    </xf>
    <xf numFmtId="0" fontId="62" fillId="36" borderId="26" xfId="46" applyNumberFormat="1" applyFont="1" applyFill="1" applyBorder="1" applyAlignment="1">
      <alignment horizontal="center"/>
    </xf>
    <xf numFmtId="0" fontId="63" fillId="0" borderId="26" xfId="46" applyNumberFormat="1" applyFont="1" applyBorder="1" applyAlignment="1">
      <alignment horizontal="center"/>
    </xf>
    <xf numFmtId="0" fontId="25" fillId="0" borderId="29" xfId="33" applyFont="1" applyBorder="1" applyAlignment="1">
      <alignment horizontal="center"/>
    </xf>
    <xf numFmtId="9" fontId="25" fillId="0" borderId="30" xfId="33" applyNumberFormat="1" applyFont="1" applyBorder="1" applyAlignment="1">
      <alignment horizontal="center"/>
    </xf>
    <xf numFmtId="0" fontId="25" fillId="0" borderId="30" xfId="33" applyFont="1" applyBorder="1" applyAlignment="1">
      <alignment horizontal="center"/>
    </xf>
    <xf numFmtId="9" fontId="25" fillId="0" borderId="31" xfId="35" applyFont="1" applyBorder="1" applyAlignment="1">
      <alignment horizontal="center"/>
    </xf>
    <xf numFmtId="0" fontId="30" fillId="34" borderId="11" xfId="33" applyFont="1" applyFill="1" applyBorder="1"/>
    <xf numFmtId="167" fontId="30" fillId="34" borderId="11" xfId="31" applyFont="1" applyFill="1" applyBorder="1"/>
    <xf numFmtId="0" fontId="30" fillId="34" borderId="11" xfId="31" applyNumberFormat="1" applyFont="1" applyFill="1" applyBorder="1" applyAlignment="1">
      <alignment horizontal="center"/>
    </xf>
    <xf numFmtId="167" fontId="30" fillId="34" borderId="11" xfId="31" applyFont="1" applyFill="1" applyBorder="1" applyAlignment="1">
      <alignment horizontal="center"/>
    </xf>
    <xf numFmtId="165" fontId="30" fillId="34" borderId="14" xfId="33" applyNumberFormat="1" applyFont="1" applyFill="1" applyBorder="1"/>
    <xf numFmtId="1" fontId="30" fillId="34" borderId="11" xfId="33" applyNumberFormat="1" applyFont="1" applyFill="1" applyBorder="1"/>
    <xf numFmtId="167" fontId="30" fillId="34" borderId="11" xfId="31" applyFont="1" applyFill="1" applyBorder="1" applyAlignment="1">
      <alignment horizontal="right"/>
    </xf>
    <xf numFmtId="1" fontId="26" fillId="34" borderId="11" xfId="33" applyNumberFormat="1" applyFont="1" applyFill="1" applyBorder="1"/>
    <xf numFmtId="167" fontId="37" fillId="34" borderId="10" xfId="31" applyFont="1" applyFill="1" applyBorder="1"/>
    <xf numFmtId="0" fontId="37" fillId="34" borderId="16" xfId="31" applyNumberFormat="1" applyFont="1" applyFill="1" applyBorder="1" applyAlignment="1">
      <alignment horizontal="center"/>
    </xf>
    <xf numFmtId="167" fontId="37" fillId="34" borderId="38" xfId="31" applyFont="1" applyFill="1" applyBorder="1" applyAlignment="1">
      <alignment horizontal="center"/>
    </xf>
    <xf numFmtId="167" fontId="37" fillId="34" borderId="39" xfId="31" applyFont="1" applyFill="1" applyBorder="1" applyAlignment="1">
      <alignment horizontal="center"/>
    </xf>
    <xf numFmtId="168" fontId="37" fillId="34" borderId="16" xfId="31" applyNumberFormat="1" applyFont="1" applyFill="1" applyBorder="1"/>
    <xf numFmtId="167" fontId="38" fillId="34" borderId="10" xfId="31" applyFont="1" applyFill="1" applyBorder="1"/>
    <xf numFmtId="0" fontId="38" fillId="34" borderId="16" xfId="31" applyNumberFormat="1" applyFont="1" applyFill="1" applyBorder="1" applyAlignment="1">
      <alignment horizontal="center"/>
    </xf>
    <xf numFmtId="168" fontId="38" fillId="34" borderId="16" xfId="31" applyNumberFormat="1" applyFont="1" applyFill="1" applyBorder="1"/>
    <xf numFmtId="167" fontId="21" fillId="34" borderId="10" xfId="31" applyFont="1" applyFill="1" applyBorder="1"/>
    <xf numFmtId="0" fontId="21" fillId="34" borderId="16" xfId="31" applyNumberFormat="1" applyFont="1" applyFill="1" applyBorder="1" applyAlignment="1">
      <alignment horizontal="center"/>
    </xf>
    <xf numFmtId="167" fontId="21" fillId="34" borderId="16" xfId="31" applyNumberFormat="1" applyFont="1" applyFill="1" applyBorder="1" applyAlignment="1">
      <alignment horizontal="center"/>
    </xf>
    <xf numFmtId="167" fontId="30" fillId="34" borderId="10" xfId="31" applyFont="1" applyFill="1" applyBorder="1"/>
    <xf numFmtId="0" fontId="9" fillId="0" borderId="0" xfId="33" applyFont="1" applyAlignment="1">
      <alignment horizontal="center"/>
    </xf>
    <xf numFmtId="14" fontId="20" fillId="24" borderId="11" xfId="35" applyNumberFormat="1" applyFont="1" applyFill="1" applyBorder="1" applyAlignment="1">
      <alignment horizontal="center"/>
    </xf>
    <xf numFmtId="167" fontId="29" fillId="34" borderId="36" xfId="31" applyFont="1" applyFill="1" applyBorder="1"/>
    <xf numFmtId="3" fontId="29" fillId="34" borderId="13" xfId="35" applyNumberFormat="1" applyFont="1" applyFill="1" applyBorder="1" applyAlignment="1">
      <alignment horizontal="center"/>
    </xf>
    <xf numFmtId="3" fontId="29" fillId="34" borderId="11" xfId="35" applyNumberFormat="1" applyFont="1" applyFill="1" applyBorder="1" applyAlignment="1">
      <alignment horizontal="center"/>
    </xf>
    <xf numFmtId="3" fontId="29" fillId="34" borderId="12" xfId="35" applyNumberFormat="1" applyFont="1" applyFill="1" applyBorder="1" applyAlignment="1">
      <alignment horizontal="center"/>
    </xf>
    <xf numFmtId="3" fontId="30" fillId="34" borderId="11" xfId="35" applyNumberFormat="1" applyFont="1" applyFill="1" applyBorder="1" applyAlignment="1">
      <alignment horizontal="center"/>
    </xf>
    <xf numFmtId="3" fontId="20" fillId="0" borderId="11" xfId="35" applyNumberFormat="1" applyFont="1" applyBorder="1" applyAlignment="1">
      <alignment horizontal="center"/>
    </xf>
    <xf numFmtId="170" fontId="41" fillId="27" borderId="17" xfId="31" applyNumberFormat="1" applyFont="1" applyFill="1" applyBorder="1"/>
    <xf numFmtId="164" fontId="48" fillId="49" borderId="17" xfId="33" applyNumberFormat="1" applyFont="1" applyFill="1" applyBorder="1" applyAlignment="1"/>
    <xf numFmtId="9" fontId="48" fillId="49" borderId="19" xfId="33" applyNumberFormat="1" applyFont="1" applyFill="1" applyBorder="1" applyAlignment="1">
      <alignment horizontal="center"/>
    </xf>
    <xf numFmtId="164" fontId="48" fillId="49" borderId="20" xfId="33" applyNumberFormat="1" applyFont="1" applyFill="1" applyBorder="1" applyAlignment="1"/>
    <xf numFmtId="9" fontId="48" fillId="49" borderId="21" xfId="33" applyNumberFormat="1" applyFont="1" applyFill="1" applyBorder="1" applyAlignment="1">
      <alignment horizontal="center"/>
    </xf>
    <xf numFmtId="164" fontId="25" fillId="49" borderId="29" xfId="33" applyNumberFormat="1" applyFont="1" applyFill="1" applyBorder="1" applyAlignment="1"/>
    <xf numFmtId="9" fontId="25" fillId="49" borderId="31" xfId="33" applyNumberFormat="1" applyFont="1" applyFill="1" applyBorder="1" applyAlignment="1">
      <alignment horizontal="center"/>
    </xf>
    <xf numFmtId="164" fontId="56" fillId="0" borderId="0" xfId="0" applyNumberFormat="1" applyFont="1"/>
    <xf numFmtId="0" fontId="48" fillId="0" borderId="17" xfId="46" applyNumberFormat="1" applyFont="1" applyBorder="1" applyAlignment="1">
      <alignment horizontal="center"/>
    </xf>
    <xf numFmtId="9" fontId="48" fillId="0" borderId="19" xfId="46" applyNumberFormat="1" applyFont="1" applyBorder="1" applyAlignment="1">
      <alignment horizontal="center"/>
    </xf>
    <xf numFmtId="164" fontId="48" fillId="0" borderId="17" xfId="33" applyNumberFormat="1" applyFont="1" applyBorder="1" applyAlignment="1"/>
    <xf numFmtId="9" fontId="48" fillId="0" borderId="19" xfId="33" applyNumberFormat="1" applyFont="1" applyBorder="1" applyAlignment="1">
      <alignment horizontal="center"/>
    </xf>
    <xf numFmtId="9" fontId="48" fillId="0" borderId="21" xfId="46" applyNumberFormat="1" applyFont="1" applyBorder="1" applyAlignment="1">
      <alignment horizontal="center"/>
    </xf>
    <xf numFmtId="164" fontId="48" fillId="0" borderId="20" xfId="33" applyNumberFormat="1" applyFont="1" applyBorder="1" applyAlignment="1"/>
    <xf numFmtId="9" fontId="48" fillId="0" borderId="21" xfId="33" applyNumberFormat="1" applyFont="1" applyBorder="1" applyAlignment="1">
      <alignment horizontal="center"/>
    </xf>
    <xf numFmtId="164" fontId="48" fillId="0" borderId="0" xfId="33" applyNumberFormat="1" applyFont="1" applyBorder="1" applyAlignment="1">
      <alignment horizontal="center"/>
    </xf>
    <xf numFmtId="9" fontId="48" fillId="0" borderId="0" xfId="33" applyNumberFormat="1" applyFont="1" applyBorder="1" applyAlignment="1">
      <alignment horizontal="center"/>
    </xf>
    <xf numFmtId="0" fontId="25" fillId="0" borderId="29" xfId="46" applyNumberFormat="1" applyFont="1" applyBorder="1" applyAlignment="1">
      <alignment horizontal="center"/>
    </xf>
    <xf numFmtId="9" fontId="25" fillId="0" borderId="31" xfId="46" applyNumberFormat="1" applyFont="1" applyBorder="1" applyAlignment="1">
      <alignment horizontal="center"/>
    </xf>
    <xf numFmtId="164" fontId="25" fillId="0" borderId="29" xfId="33" applyNumberFormat="1" applyFont="1" applyBorder="1" applyAlignment="1"/>
    <xf numFmtId="165" fontId="9" fillId="0" borderId="0" xfId="33" applyNumberFormat="1" applyFont="1"/>
    <xf numFmtId="167" fontId="25" fillId="0" borderId="0" xfId="31" applyFont="1"/>
    <xf numFmtId="9" fontId="0" fillId="0" borderId="0" xfId="35" applyFont="1" applyAlignment="1">
      <alignment vertical="center"/>
    </xf>
    <xf numFmtId="0" fontId="31" fillId="0" borderId="0" xfId="33" applyFont="1" applyAlignment="1">
      <alignment vertical="center"/>
    </xf>
    <xf numFmtId="164" fontId="47" fillId="0" borderId="17" xfId="46" applyNumberFormat="1" applyFont="1" applyBorder="1" applyAlignment="1">
      <alignment horizontal="center"/>
    </xf>
    <xf numFmtId="164" fontId="49" fillId="0" borderId="20" xfId="46" applyNumberFormat="1" applyFont="1" applyBorder="1" applyAlignment="1">
      <alignment horizontal="center"/>
    </xf>
    <xf numFmtId="164" fontId="50" fillId="0" borderId="20" xfId="46" applyNumberFormat="1" applyFont="1" applyBorder="1" applyAlignment="1">
      <alignment horizontal="center"/>
    </xf>
    <xf numFmtId="164" fontId="51" fillId="0" borderId="20" xfId="46" applyNumberFormat="1" applyFont="1" applyBorder="1" applyAlignment="1">
      <alignment horizontal="center"/>
    </xf>
    <xf numFmtId="164" fontId="52" fillId="36" borderId="20" xfId="46" applyNumberFormat="1" applyFont="1" applyFill="1" applyBorder="1" applyAlignment="1">
      <alignment horizontal="center"/>
    </xf>
    <xf numFmtId="164" fontId="55" fillId="0" borderId="23" xfId="46" applyNumberFormat="1" applyFont="1" applyBorder="1" applyAlignment="1">
      <alignment horizontal="center"/>
    </xf>
    <xf numFmtId="164" fontId="25" fillId="0" borderId="0" xfId="31" applyNumberFormat="1" applyFont="1"/>
    <xf numFmtId="167" fontId="9" fillId="0" borderId="0" xfId="33" applyNumberFormat="1" applyFont="1"/>
    <xf numFmtId="170" fontId="9" fillId="0" borderId="0" xfId="33" applyNumberFormat="1" applyFont="1"/>
    <xf numFmtId="0" fontId="20" fillId="53" borderId="16" xfId="0" applyFont="1" applyFill="1" applyBorder="1" applyAlignment="1">
      <alignment horizontal="center" vertical="center"/>
    </xf>
    <xf numFmtId="0" fontId="20" fillId="54" borderId="16" xfId="0" applyFont="1" applyFill="1" applyBorder="1" applyAlignment="1">
      <alignment horizontal="center" vertical="center"/>
    </xf>
    <xf numFmtId="0" fontId="20" fillId="55" borderId="16" xfId="0" applyFont="1" applyFill="1" applyBorder="1" applyAlignment="1">
      <alignment horizontal="center" vertical="center"/>
    </xf>
    <xf numFmtId="0" fontId="9" fillId="0" borderId="16" xfId="33" applyFont="1" applyBorder="1" applyAlignment="1">
      <alignment horizontal="center"/>
    </xf>
    <xf numFmtId="9" fontId="9" fillId="0" borderId="16" xfId="35" applyFont="1" applyBorder="1" applyAlignment="1">
      <alignment horizontal="center"/>
    </xf>
    <xf numFmtId="9" fontId="9" fillId="0" borderId="0" xfId="35" applyFont="1" applyAlignment="1">
      <alignment horizontal="center"/>
    </xf>
    <xf numFmtId="0" fontId="75" fillId="0" borderId="0" xfId="33" applyFont="1"/>
    <xf numFmtId="0" fontId="48" fillId="56" borderId="10" xfId="34" applyFont="1" applyFill="1" applyBorder="1"/>
    <xf numFmtId="0" fontId="48" fillId="56" borderId="34" xfId="34" applyFont="1" applyFill="1" applyBorder="1"/>
    <xf numFmtId="0" fontId="48" fillId="56" borderId="11" xfId="34" applyFont="1" applyFill="1" applyBorder="1"/>
    <xf numFmtId="0" fontId="48" fillId="56" borderId="11" xfId="33" applyFont="1" applyFill="1" applyBorder="1"/>
    <xf numFmtId="0" fontId="48" fillId="56" borderId="11" xfId="33" applyFont="1" applyFill="1" applyBorder="1" applyAlignment="1">
      <alignment horizontal="center"/>
    </xf>
    <xf numFmtId="3" fontId="48" fillId="56" borderId="11" xfId="34" applyNumberFormat="1" applyFont="1" applyFill="1" applyBorder="1" applyAlignment="1">
      <alignment horizontal="center"/>
    </xf>
    <xf numFmtId="3" fontId="48" fillId="56" borderId="11" xfId="33" applyNumberFormat="1" applyFont="1" applyFill="1" applyBorder="1"/>
    <xf numFmtId="168" fontId="48" fillId="56" borderId="11" xfId="34" applyNumberFormat="1" applyFont="1" applyFill="1" applyBorder="1" applyAlignment="1">
      <alignment horizontal="center"/>
    </xf>
    <xf numFmtId="168" fontId="48" fillId="56" borderId="11" xfId="33" applyNumberFormat="1" applyFont="1" applyFill="1" applyBorder="1"/>
    <xf numFmtId="0" fontId="83" fillId="0" borderId="20" xfId="46" applyNumberFormat="1" applyFont="1" applyBorder="1" applyAlignment="1">
      <alignment horizontal="center"/>
    </xf>
    <xf numFmtId="167" fontId="41" fillId="34" borderId="11" xfId="31" applyFont="1" applyFill="1" applyBorder="1"/>
    <xf numFmtId="0" fontId="41" fillId="34" borderId="11" xfId="31" applyNumberFormat="1" applyFont="1" applyFill="1" applyBorder="1" applyAlignment="1">
      <alignment horizontal="center"/>
    </xf>
    <xf numFmtId="167" fontId="41" fillId="34" borderId="11" xfId="31" applyFont="1" applyFill="1" applyBorder="1" applyAlignment="1">
      <alignment horizontal="center"/>
    </xf>
    <xf numFmtId="165" fontId="41" fillId="34" borderId="14" xfId="33" applyNumberFormat="1" applyFont="1" applyFill="1" applyBorder="1"/>
    <xf numFmtId="0" fontId="30" fillId="34" borderId="12" xfId="31" applyNumberFormat="1" applyFont="1" applyFill="1" applyBorder="1" applyAlignment="1">
      <alignment horizontal="center"/>
    </xf>
    <xf numFmtId="167" fontId="30" fillId="34" borderId="12" xfId="31" applyFont="1" applyFill="1" applyBorder="1"/>
    <xf numFmtId="3" fontId="30" fillId="34" borderId="12" xfId="35" applyNumberFormat="1" applyFont="1" applyFill="1" applyBorder="1" applyAlignment="1">
      <alignment horizontal="center"/>
    </xf>
    <xf numFmtId="0" fontId="52" fillId="0" borderId="0" xfId="46" applyNumberFormat="1" applyFont="1" applyBorder="1" applyAlignment="1">
      <alignment horizontal="center"/>
    </xf>
    <xf numFmtId="0" fontId="25" fillId="0" borderId="0" xfId="46" applyNumberFormat="1" applyFont="1" applyBorder="1" applyAlignment="1">
      <alignment horizontal="center"/>
    </xf>
    <xf numFmtId="9" fontId="25" fillId="0" borderId="0" xfId="46" applyNumberFormat="1" applyFont="1" applyBorder="1" applyAlignment="1">
      <alignment horizontal="center"/>
    </xf>
    <xf numFmtId="164" fontId="25" fillId="0" borderId="0" xfId="33" applyNumberFormat="1" applyFont="1" applyBorder="1" applyAlignment="1"/>
    <xf numFmtId="0" fontId="84" fillId="0" borderId="20" xfId="46" applyNumberFormat="1" applyFont="1" applyBorder="1" applyAlignment="1">
      <alignment horizontal="center"/>
    </xf>
    <xf numFmtId="0" fontId="85" fillId="0" borderId="20" xfId="46" applyNumberFormat="1" applyFont="1" applyBorder="1" applyAlignment="1">
      <alignment horizontal="center"/>
    </xf>
    <xf numFmtId="0" fontId="20" fillId="24" borderId="14" xfId="33" applyFont="1" applyFill="1" applyBorder="1" applyAlignment="1">
      <alignment horizontal="center" vertical="center" wrapText="1"/>
    </xf>
    <xf numFmtId="3" fontId="26" fillId="34" borderId="34" xfId="35" applyNumberFormat="1" applyFont="1" applyFill="1" applyBorder="1" applyAlignment="1">
      <alignment horizontal="center"/>
    </xf>
    <xf numFmtId="3" fontId="28" fillId="34" borderId="32" xfId="35" applyNumberFormat="1" applyFont="1" applyFill="1" applyBorder="1" applyAlignment="1">
      <alignment horizontal="center"/>
    </xf>
    <xf numFmtId="3" fontId="28" fillId="34" borderId="34" xfId="35" applyNumberFormat="1" applyFont="1" applyFill="1" applyBorder="1" applyAlignment="1">
      <alignment horizontal="center"/>
    </xf>
    <xf numFmtId="3" fontId="28" fillId="34" borderId="28" xfId="35" applyNumberFormat="1" applyFont="1" applyFill="1" applyBorder="1" applyAlignment="1">
      <alignment horizontal="center"/>
    </xf>
    <xf numFmtId="3" fontId="30" fillId="34" borderId="34" xfId="35" applyNumberFormat="1" applyFont="1" applyFill="1" applyBorder="1" applyAlignment="1">
      <alignment horizontal="center"/>
    </xf>
    <xf numFmtId="3" fontId="75" fillId="0" borderId="34" xfId="35" applyNumberFormat="1" applyFont="1" applyBorder="1" applyAlignment="1">
      <alignment horizontal="center"/>
    </xf>
    <xf numFmtId="9" fontId="26" fillId="34" borderId="43" xfId="35" applyFont="1" applyFill="1" applyBorder="1" applyAlignment="1">
      <alignment horizontal="center"/>
    </xf>
    <xf numFmtId="9" fontId="28" fillId="34" borderId="44" xfId="35" applyFont="1" applyFill="1" applyBorder="1" applyAlignment="1">
      <alignment horizontal="center"/>
    </xf>
    <xf numFmtId="9" fontId="28" fillId="34" borderId="43" xfId="35" applyFont="1" applyFill="1" applyBorder="1" applyAlignment="1">
      <alignment horizontal="center"/>
    </xf>
    <xf numFmtId="9" fontId="28" fillId="34" borderId="45" xfId="35" applyFont="1" applyFill="1" applyBorder="1" applyAlignment="1">
      <alignment horizontal="center"/>
    </xf>
    <xf numFmtId="9" fontId="29" fillId="34" borderId="44" xfId="35" applyFont="1" applyFill="1" applyBorder="1" applyAlignment="1">
      <alignment horizontal="center"/>
    </xf>
    <xf numFmtId="9" fontId="29" fillId="34" borderId="43" xfId="35" applyFont="1" applyFill="1" applyBorder="1" applyAlignment="1">
      <alignment horizontal="center"/>
    </xf>
    <xf numFmtId="9" fontId="29" fillId="34" borderId="45" xfId="35" applyFont="1" applyFill="1" applyBorder="1" applyAlignment="1">
      <alignment horizontal="center"/>
    </xf>
    <xf numFmtId="9" fontId="30" fillId="34" borderId="43" xfId="35" applyFont="1" applyFill="1" applyBorder="1" applyAlignment="1">
      <alignment horizontal="center"/>
    </xf>
    <xf numFmtId="9" fontId="41" fillId="34" borderId="43" xfId="35" applyFont="1" applyFill="1" applyBorder="1" applyAlignment="1">
      <alignment horizontal="center"/>
    </xf>
    <xf numFmtId="9" fontId="30" fillId="34" borderId="45" xfId="35" applyFont="1" applyFill="1" applyBorder="1" applyAlignment="1">
      <alignment horizontal="center"/>
    </xf>
    <xf numFmtId="9" fontId="75" fillId="0" borderId="43" xfId="35" applyFont="1" applyBorder="1" applyAlignment="1">
      <alignment horizontal="center"/>
    </xf>
    <xf numFmtId="9" fontId="20" fillId="0" borderId="43" xfId="35" applyFont="1" applyBorder="1" applyAlignment="1">
      <alignment horizontal="center"/>
    </xf>
    <xf numFmtId="167" fontId="26" fillId="34" borderId="34" xfId="31" applyFont="1" applyFill="1" applyBorder="1" applyAlignment="1">
      <alignment horizontal="right"/>
    </xf>
    <xf numFmtId="168" fontId="37" fillId="34" borderId="31" xfId="31" applyNumberFormat="1" applyFont="1" applyFill="1" applyBorder="1"/>
    <xf numFmtId="167" fontId="28" fillId="34" borderId="32" xfId="31" applyFont="1" applyFill="1" applyBorder="1" applyAlignment="1">
      <alignment horizontal="right"/>
    </xf>
    <xf numFmtId="168" fontId="38" fillId="34" borderId="31" xfId="31" applyNumberFormat="1" applyFont="1" applyFill="1" applyBorder="1"/>
    <xf numFmtId="167" fontId="21" fillId="34" borderId="31" xfId="31" applyNumberFormat="1" applyFont="1" applyFill="1" applyBorder="1" applyAlignment="1">
      <alignment horizontal="center"/>
    </xf>
    <xf numFmtId="167" fontId="24" fillId="0" borderId="31" xfId="31" applyNumberFormat="1" applyFont="1" applyFill="1" applyBorder="1" applyAlignment="1">
      <alignment horizontal="center"/>
    </xf>
    <xf numFmtId="167" fontId="60" fillId="0" borderId="31" xfId="31" applyNumberFormat="1" applyFont="1" applyFill="1" applyBorder="1" applyAlignment="1">
      <alignment horizontal="center"/>
    </xf>
    <xf numFmtId="167" fontId="71" fillId="0" borderId="31" xfId="31" applyNumberFormat="1" applyFont="1" applyFill="1" applyBorder="1" applyAlignment="1">
      <alignment horizontal="center"/>
    </xf>
    <xf numFmtId="167" fontId="75" fillId="0" borderId="34" xfId="31" applyFont="1" applyBorder="1"/>
    <xf numFmtId="167" fontId="76" fillId="0" borderId="31" xfId="31" applyNumberFormat="1" applyFont="1" applyFill="1" applyBorder="1" applyAlignment="1">
      <alignment horizontal="center"/>
    </xf>
    <xf numFmtId="9" fontId="20" fillId="24" borderId="43" xfId="35" applyFont="1" applyFill="1" applyBorder="1" applyAlignment="1">
      <alignment horizontal="center"/>
    </xf>
    <xf numFmtId="9" fontId="26" fillId="34" borderId="45" xfId="35" applyFont="1" applyFill="1" applyBorder="1" applyAlignment="1">
      <alignment horizontal="center"/>
    </xf>
    <xf numFmtId="0" fontId="20" fillId="24" borderId="14" xfId="33" applyFont="1" applyFill="1" applyBorder="1" applyAlignment="1">
      <alignment horizontal="center"/>
    </xf>
    <xf numFmtId="167" fontId="26" fillId="34" borderId="28" xfId="31" applyFont="1" applyFill="1" applyBorder="1" applyAlignment="1">
      <alignment horizontal="right"/>
    </xf>
    <xf numFmtId="167" fontId="28" fillId="34" borderId="34" xfId="31" applyFont="1" applyFill="1" applyBorder="1" applyAlignment="1">
      <alignment horizontal="right"/>
    </xf>
    <xf numFmtId="167" fontId="28" fillId="34" borderId="28" xfId="31" applyFont="1" applyFill="1" applyBorder="1" applyAlignment="1">
      <alignment horizontal="right"/>
    </xf>
    <xf numFmtId="167" fontId="30" fillId="34" borderId="34" xfId="31" applyFont="1" applyFill="1" applyBorder="1"/>
    <xf numFmtId="9" fontId="26" fillId="34" borderId="43" xfId="35" applyFont="1" applyFill="1" applyBorder="1" applyAlignment="1">
      <alignment horizontal="center" vertical="center"/>
    </xf>
    <xf numFmtId="167" fontId="20" fillId="24" borderId="10" xfId="31" applyFont="1" applyFill="1" applyBorder="1" applyAlignment="1">
      <alignment horizontal="center" vertical="center" wrapText="1"/>
    </xf>
    <xf numFmtId="167" fontId="20" fillId="24" borderId="10" xfId="31" applyFont="1" applyFill="1" applyBorder="1" applyAlignment="1">
      <alignment horizontal="center"/>
    </xf>
    <xf numFmtId="9" fontId="20" fillId="0" borderId="10" xfId="35" applyFont="1" applyBorder="1" applyAlignment="1">
      <alignment horizontal="center"/>
    </xf>
    <xf numFmtId="0" fontId="20" fillId="24" borderId="46" xfId="33" applyFont="1" applyFill="1" applyBorder="1" applyAlignment="1">
      <alignment horizontal="center"/>
    </xf>
    <xf numFmtId="167" fontId="26" fillId="34" borderId="46" xfId="31" applyFont="1" applyFill="1" applyBorder="1" applyAlignment="1">
      <alignment horizontal="right"/>
    </xf>
    <xf numFmtId="167" fontId="26" fillId="34" borderId="47" xfId="31" applyFont="1" applyFill="1" applyBorder="1" applyAlignment="1">
      <alignment horizontal="right"/>
    </xf>
    <xf numFmtId="168" fontId="37" fillId="34" borderId="48" xfId="31" applyNumberFormat="1" applyFont="1" applyFill="1" applyBorder="1"/>
    <xf numFmtId="167" fontId="28" fillId="34" borderId="49" xfId="31" applyFont="1" applyFill="1" applyBorder="1" applyAlignment="1">
      <alignment horizontal="right"/>
    </xf>
    <xf numFmtId="167" fontId="28" fillId="34" borderId="46" xfId="31" applyFont="1" applyFill="1" applyBorder="1" applyAlignment="1">
      <alignment horizontal="right"/>
    </xf>
    <xf numFmtId="167" fontId="28" fillId="34" borderId="47" xfId="31" applyFont="1" applyFill="1" applyBorder="1" applyAlignment="1">
      <alignment horizontal="right"/>
    </xf>
    <xf numFmtId="168" fontId="38" fillId="34" borderId="48" xfId="31" applyNumberFormat="1" applyFont="1" applyFill="1" applyBorder="1"/>
    <xf numFmtId="167" fontId="29" fillId="34" borderId="49" xfId="31" applyFont="1" applyFill="1" applyBorder="1"/>
    <xf numFmtId="167" fontId="29" fillId="34" borderId="46" xfId="31" applyFont="1" applyFill="1" applyBorder="1" applyAlignment="1">
      <alignment horizontal="right"/>
    </xf>
    <xf numFmtId="167" fontId="29" fillId="34" borderId="47" xfId="31" applyFont="1" applyFill="1" applyBorder="1"/>
    <xf numFmtId="167" fontId="21" fillId="34" borderId="48" xfId="31" applyNumberFormat="1" applyFont="1" applyFill="1" applyBorder="1" applyAlignment="1">
      <alignment horizontal="center"/>
    </xf>
    <xf numFmtId="167" fontId="30" fillId="34" borderId="46" xfId="31" applyFont="1" applyFill="1" applyBorder="1"/>
    <xf numFmtId="167" fontId="30" fillId="34" borderId="46" xfId="31" applyFont="1" applyFill="1" applyBorder="1" applyAlignment="1">
      <alignment horizontal="right"/>
    </xf>
    <xf numFmtId="167" fontId="41" fillId="34" borderId="46" xfId="31" applyFont="1" applyFill="1" applyBorder="1"/>
    <xf numFmtId="167" fontId="30" fillId="34" borderId="47" xfId="31" applyFont="1" applyFill="1" applyBorder="1"/>
    <xf numFmtId="167" fontId="24" fillId="0" borderId="48" xfId="31" applyNumberFormat="1" applyFont="1" applyFill="1" applyBorder="1" applyAlignment="1">
      <alignment horizontal="center"/>
    </xf>
    <xf numFmtId="167" fontId="60" fillId="0" borderId="48" xfId="31" applyNumberFormat="1" applyFont="1" applyFill="1" applyBorder="1" applyAlignment="1">
      <alignment horizontal="center"/>
    </xf>
    <xf numFmtId="167" fontId="71" fillId="0" borderId="48" xfId="31" applyNumberFormat="1" applyFont="1" applyFill="1" applyBorder="1" applyAlignment="1">
      <alignment horizontal="center"/>
    </xf>
    <xf numFmtId="167" fontId="75" fillId="0" borderId="46" xfId="31" applyFont="1" applyBorder="1"/>
    <xf numFmtId="167" fontId="76" fillId="0" borderId="48" xfId="31" applyNumberFormat="1" applyFont="1" applyFill="1" applyBorder="1" applyAlignment="1">
      <alignment horizontal="center"/>
    </xf>
    <xf numFmtId="167" fontId="20" fillId="0" borderId="46" xfId="31" applyFont="1" applyBorder="1"/>
    <xf numFmtId="167" fontId="20" fillId="24" borderId="10" xfId="31" applyFont="1" applyFill="1" applyBorder="1" applyAlignment="1">
      <alignment horizontal="left"/>
    </xf>
    <xf numFmtId="165" fontId="26" fillId="34" borderId="10" xfId="31" applyNumberFormat="1" applyFont="1" applyFill="1" applyBorder="1"/>
    <xf numFmtId="167" fontId="26" fillId="34" borderId="10" xfId="31" applyFont="1" applyFill="1" applyBorder="1" applyAlignment="1">
      <alignment vertical="center"/>
    </xf>
    <xf numFmtId="165" fontId="26" fillId="25" borderId="10" xfId="31" applyNumberFormat="1" applyFont="1" applyFill="1" applyBorder="1"/>
    <xf numFmtId="167" fontId="26" fillId="25" borderId="10" xfId="31" applyFont="1" applyFill="1" applyBorder="1"/>
    <xf numFmtId="167" fontId="37" fillId="34" borderId="34" xfId="31" applyFont="1" applyFill="1" applyBorder="1"/>
    <xf numFmtId="167" fontId="28" fillId="34" borderId="40" xfId="31" applyFont="1" applyFill="1" applyBorder="1"/>
    <xf numFmtId="165" fontId="28" fillId="34" borderId="10" xfId="31" applyNumberFormat="1" applyFont="1" applyFill="1" applyBorder="1"/>
    <xf numFmtId="165" fontId="28" fillId="34" borderId="15" xfId="31" applyNumberFormat="1" applyFont="1" applyFill="1" applyBorder="1"/>
    <xf numFmtId="165" fontId="38" fillId="34" borderId="34" xfId="31" applyNumberFormat="1" applyFont="1" applyFill="1" applyBorder="1"/>
    <xf numFmtId="167" fontId="29" fillId="34" borderId="10" xfId="31" applyFont="1" applyFill="1" applyBorder="1"/>
    <xf numFmtId="0" fontId="30" fillId="34" borderId="10" xfId="31" applyNumberFormat="1" applyFont="1" applyFill="1" applyBorder="1"/>
    <xf numFmtId="167" fontId="41" fillId="34" borderId="10" xfId="31" applyFont="1" applyFill="1" applyBorder="1"/>
    <xf numFmtId="167" fontId="24" fillId="0" borderId="29" xfId="31" applyNumberFormat="1" applyFont="1" applyFill="1" applyBorder="1" applyAlignment="1">
      <alignment horizontal="center"/>
    </xf>
    <xf numFmtId="167" fontId="60" fillId="0" borderId="29" xfId="31" applyNumberFormat="1" applyFont="1" applyFill="1" applyBorder="1" applyAlignment="1">
      <alignment horizontal="center"/>
    </xf>
    <xf numFmtId="165" fontId="71" fillId="0" borderId="29" xfId="31" applyNumberFormat="1" applyFont="1" applyFill="1" applyBorder="1" applyAlignment="1">
      <alignment horizontal="center"/>
    </xf>
    <xf numFmtId="167" fontId="75" fillId="0" borderId="10" xfId="31" applyFont="1" applyFill="1" applyBorder="1"/>
    <xf numFmtId="165" fontId="76" fillId="0" borderId="29" xfId="31" applyNumberFormat="1" applyFont="1" applyFill="1" applyBorder="1" applyAlignment="1">
      <alignment horizontal="center"/>
    </xf>
    <xf numFmtId="167" fontId="20" fillId="24" borderId="14" xfId="31" applyFont="1" applyFill="1" applyBorder="1" applyAlignment="1">
      <alignment horizontal="center" vertical="center"/>
    </xf>
    <xf numFmtId="166" fontId="20" fillId="24" borderId="14" xfId="31" applyNumberFormat="1" applyFont="1" applyFill="1" applyBorder="1" applyAlignment="1">
      <alignment horizontal="center"/>
    </xf>
    <xf numFmtId="167" fontId="20" fillId="24" borderId="51" xfId="31" applyFont="1" applyFill="1" applyBorder="1" applyAlignment="1">
      <alignment horizontal="left"/>
    </xf>
    <xf numFmtId="168" fontId="37" fillId="34" borderId="53" xfId="31" applyNumberFormat="1" applyFont="1" applyFill="1" applyBorder="1"/>
    <xf numFmtId="168" fontId="38" fillId="34" borderId="53" xfId="31" applyNumberFormat="1" applyFont="1" applyFill="1" applyBorder="1"/>
    <xf numFmtId="167" fontId="21" fillId="34" borderId="53" xfId="31" applyNumberFormat="1" applyFont="1" applyFill="1" applyBorder="1" applyAlignment="1">
      <alignment horizontal="center"/>
    </xf>
    <xf numFmtId="167" fontId="24" fillId="0" borderId="53" xfId="31" applyNumberFormat="1" applyFont="1" applyFill="1" applyBorder="1" applyAlignment="1">
      <alignment horizontal="center"/>
    </xf>
    <xf numFmtId="167" fontId="60" fillId="0" borderId="53" xfId="31" applyNumberFormat="1" applyFont="1" applyFill="1" applyBorder="1" applyAlignment="1">
      <alignment horizontal="center"/>
    </xf>
    <xf numFmtId="167" fontId="71" fillId="0" borderId="53" xfId="31" applyNumberFormat="1" applyFont="1" applyFill="1" applyBorder="1" applyAlignment="1">
      <alignment horizontal="center"/>
    </xf>
    <xf numFmtId="167" fontId="76" fillId="0" borderId="53" xfId="31" applyNumberFormat="1" applyFont="1" applyFill="1" applyBorder="1" applyAlignment="1">
      <alignment horizontal="center"/>
    </xf>
    <xf numFmtId="167" fontId="20" fillId="0" borderId="55" xfId="31" applyFont="1" applyBorder="1"/>
    <xf numFmtId="167" fontId="37" fillId="34" borderId="51" xfId="31" applyFont="1" applyFill="1" applyBorder="1"/>
    <xf numFmtId="167" fontId="37" fillId="34" borderId="52" xfId="31" applyFont="1" applyFill="1" applyBorder="1"/>
    <xf numFmtId="167" fontId="38" fillId="34" borderId="54" xfId="31" applyFont="1" applyFill="1" applyBorder="1"/>
    <xf numFmtId="167" fontId="38" fillId="34" borderId="51" xfId="31" applyFont="1" applyFill="1" applyBorder="1"/>
    <xf numFmtId="167" fontId="38" fillId="34" borderId="52" xfId="31" applyFont="1" applyFill="1" applyBorder="1"/>
    <xf numFmtId="167" fontId="21" fillId="34" borderId="54" xfId="31" applyFont="1" applyFill="1" applyBorder="1"/>
    <xf numFmtId="167" fontId="21" fillId="34" borderId="51" xfId="31" applyFont="1" applyFill="1" applyBorder="1"/>
    <xf numFmtId="167" fontId="21" fillId="34" borderId="52" xfId="31" applyFont="1" applyFill="1" applyBorder="1"/>
    <xf numFmtId="167" fontId="22" fillId="34" borderId="51" xfId="31" applyFont="1" applyFill="1" applyBorder="1"/>
    <xf numFmtId="167" fontId="81" fillId="34" borderId="51" xfId="31" applyFont="1" applyFill="1" applyBorder="1"/>
    <xf numFmtId="167" fontId="22" fillId="34" borderId="52" xfId="31" applyFont="1" applyFill="1" applyBorder="1"/>
    <xf numFmtId="167" fontId="58" fillId="0" borderId="51" xfId="31" applyFont="1" applyBorder="1"/>
    <xf numFmtId="167" fontId="58" fillId="36" borderId="51" xfId="31" applyFont="1" applyFill="1" applyBorder="1"/>
    <xf numFmtId="167" fontId="60" fillId="0" borderId="51" xfId="31" applyFont="1" applyBorder="1"/>
    <xf numFmtId="167" fontId="71" fillId="0" borderId="51" xfId="31" applyFont="1" applyBorder="1"/>
    <xf numFmtId="167" fontId="76" fillId="0" borderId="51" xfId="31" applyFont="1" applyBorder="1"/>
    <xf numFmtId="0" fontId="86" fillId="0" borderId="0" xfId="0" applyFont="1"/>
    <xf numFmtId="9" fontId="86" fillId="0" borderId="0" xfId="35" applyFont="1"/>
    <xf numFmtId="9" fontId="22" fillId="0" borderId="0" xfId="33" applyNumberFormat="1" applyFont="1"/>
    <xf numFmtId="167" fontId="31" fillId="34" borderId="11" xfId="31" applyFont="1" applyFill="1" applyBorder="1"/>
    <xf numFmtId="0" fontId="31" fillId="34" borderId="11" xfId="31" applyNumberFormat="1" applyFont="1" applyFill="1" applyBorder="1" applyAlignment="1">
      <alignment horizontal="center"/>
    </xf>
    <xf numFmtId="167" fontId="31" fillId="34" borderId="11" xfId="31" applyFont="1" applyFill="1" applyBorder="1" applyAlignment="1">
      <alignment horizontal="center"/>
    </xf>
    <xf numFmtId="167" fontId="23" fillId="34" borderId="51" xfId="31" applyFont="1" applyFill="1" applyBorder="1"/>
    <xf numFmtId="167" fontId="31" fillId="34" borderId="46" xfId="31" applyFont="1" applyFill="1" applyBorder="1"/>
    <xf numFmtId="9" fontId="31" fillId="34" borderId="43" xfId="35" applyFont="1" applyFill="1" applyBorder="1" applyAlignment="1">
      <alignment horizontal="center"/>
    </xf>
    <xf numFmtId="3" fontId="31" fillId="34" borderId="11" xfId="35" applyNumberFormat="1" applyFont="1" applyFill="1" applyBorder="1" applyAlignment="1">
      <alignment horizontal="center"/>
    </xf>
    <xf numFmtId="165" fontId="31" fillId="34" borderId="14" xfId="33" applyNumberFormat="1" applyFont="1" applyFill="1" applyBorder="1"/>
    <xf numFmtId="0" fontId="31" fillId="34" borderId="11" xfId="33" applyFont="1" applyFill="1" applyBorder="1"/>
    <xf numFmtId="0" fontId="80" fillId="0" borderId="0" xfId="33" applyFont="1"/>
    <xf numFmtId="3" fontId="20" fillId="0" borderId="16" xfId="31" applyNumberFormat="1" applyFont="1" applyBorder="1" applyAlignment="1">
      <alignment horizontal="center"/>
    </xf>
    <xf numFmtId="0" fontId="27" fillId="58" borderId="18" xfId="33" applyFont="1" applyFill="1" applyBorder="1"/>
    <xf numFmtId="4" fontId="9" fillId="58" borderId="18" xfId="33" applyNumberFormat="1" applyFont="1" applyFill="1" applyBorder="1"/>
    <xf numFmtId="49" fontId="20" fillId="58" borderId="18" xfId="33" applyNumberFormat="1" applyFont="1" applyFill="1" applyBorder="1" applyAlignment="1">
      <alignment horizontal="center"/>
    </xf>
    <xf numFmtId="0" fontId="9" fillId="58" borderId="19" xfId="33" applyFill="1" applyBorder="1"/>
    <xf numFmtId="0" fontId="20" fillId="58" borderId="19" xfId="33" applyFont="1" applyFill="1" applyBorder="1" applyAlignment="1">
      <alignment horizontal="center"/>
    </xf>
    <xf numFmtId="4" fontId="9" fillId="58" borderId="0" xfId="33" applyNumberFormat="1" applyFont="1" applyFill="1" applyBorder="1"/>
    <xf numFmtId="0" fontId="30" fillId="58" borderId="0" xfId="33" applyFont="1" applyFill="1" applyBorder="1"/>
    <xf numFmtId="4" fontId="30" fillId="58" borderId="0" xfId="33" applyNumberFormat="1" applyFont="1" applyFill="1" applyBorder="1"/>
    <xf numFmtId="0" fontId="9" fillId="58" borderId="21" xfId="33" applyFill="1" applyBorder="1"/>
    <xf numFmtId="168" fontId="20" fillId="58" borderId="21" xfId="33" applyNumberFormat="1" applyFont="1" applyFill="1" applyBorder="1"/>
    <xf numFmtId="4" fontId="20" fillId="58" borderId="0" xfId="33" applyNumberFormat="1" applyFont="1" applyFill="1" applyBorder="1"/>
    <xf numFmtId="0" fontId="27" fillId="58" borderId="22" xfId="33" applyFont="1" applyFill="1" applyBorder="1"/>
    <xf numFmtId="4" fontId="9" fillId="58" borderId="22" xfId="33" applyNumberFormat="1" applyFont="1" applyFill="1" applyBorder="1"/>
    <xf numFmtId="0" fontId="9" fillId="58" borderId="24" xfId="33" applyFill="1" applyBorder="1"/>
    <xf numFmtId="0" fontId="9" fillId="58" borderId="24" xfId="33" applyFont="1" applyFill="1" applyBorder="1"/>
    <xf numFmtId="165" fontId="31" fillId="34" borderId="10" xfId="31" applyNumberFormat="1" applyFont="1" applyFill="1" applyBorder="1"/>
    <xf numFmtId="0" fontId="25" fillId="0" borderId="0" xfId="33" applyFont="1" applyAlignment="1">
      <alignment horizontal="center"/>
    </xf>
    <xf numFmtId="164" fontId="0" fillId="0" borderId="0" xfId="0" applyNumberFormat="1"/>
    <xf numFmtId="0" fontId="25" fillId="57" borderId="0" xfId="33" applyFont="1" applyFill="1" applyAlignment="1">
      <alignment horizontal="center"/>
    </xf>
    <xf numFmtId="164" fontId="48" fillId="57" borderId="0" xfId="33" applyNumberFormat="1" applyFont="1" applyFill="1"/>
    <xf numFmtId="164" fontId="25" fillId="57" borderId="0" xfId="33" applyNumberFormat="1" applyFont="1" applyFill="1" applyAlignment="1">
      <alignment horizontal="center"/>
    </xf>
    <xf numFmtId="0" fontId="25" fillId="59" borderId="0" xfId="33" applyFont="1" applyFill="1"/>
    <xf numFmtId="9" fontId="25" fillId="59" borderId="0" xfId="35" applyFont="1" applyFill="1"/>
    <xf numFmtId="0" fontId="70" fillId="59" borderId="0" xfId="33" applyFont="1" applyFill="1" applyAlignment="1">
      <alignment vertical="center"/>
    </xf>
    <xf numFmtId="164" fontId="70" fillId="59" borderId="0" xfId="33" applyNumberFormat="1" applyFont="1" applyFill="1" applyAlignment="1">
      <alignment horizontal="center" vertical="center"/>
    </xf>
    <xf numFmtId="164" fontId="70" fillId="59" borderId="0" xfId="33" applyNumberFormat="1" applyFont="1" applyFill="1" applyAlignment="1">
      <alignment vertical="center"/>
    </xf>
    <xf numFmtId="170" fontId="70" fillId="59" borderId="0" xfId="33" applyNumberFormat="1" applyFont="1" applyFill="1" applyAlignment="1">
      <alignment vertical="center"/>
    </xf>
    <xf numFmtId="167" fontId="70" fillId="59" borderId="0" xfId="33" applyNumberFormat="1" applyFont="1" applyFill="1" applyAlignment="1">
      <alignment vertical="center"/>
    </xf>
    <xf numFmtId="167" fontId="75" fillId="36" borderId="11" xfId="31" applyFont="1" applyFill="1" applyBorder="1" applyAlignment="1">
      <alignment horizontal="center"/>
    </xf>
    <xf numFmtId="173" fontId="48" fillId="0" borderId="0" xfId="35" applyNumberFormat="1" applyFont="1" applyAlignment="1">
      <alignment horizontal="center" vertical="center"/>
    </xf>
    <xf numFmtId="0" fontId="34" fillId="36" borderId="26" xfId="46" applyNumberFormat="1" applyFont="1" applyFill="1" applyBorder="1" applyAlignment="1">
      <alignment horizontal="center"/>
    </xf>
    <xf numFmtId="0" fontId="67" fillId="0" borderId="26" xfId="46" applyNumberFormat="1" applyFont="1" applyBorder="1" applyAlignment="1">
      <alignment horizontal="center"/>
    </xf>
    <xf numFmtId="3" fontId="22" fillId="34" borderId="34" xfId="35" applyNumberFormat="1" applyFont="1" applyFill="1" applyBorder="1" applyAlignment="1">
      <alignment horizontal="center"/>
    </xf>
    <xf numFmtId="0" fontId="31" fillId="34" borderId="10" xfId="33" applyFont="1" applyFill="1" applyBorder="1"/>
    <xf numFmtId="0" fontId="31" fillId="34" borderId="13" xfId="31" applyNumberFormat="1" applyFont="1" applyFill="1" applyBorder="1" applyAlignment="1">
      <alignment horizontal="center"/>
    </xf>
    <xf numFmtId="167" fontId="31" fillId="34" borderId="10" xfId="31" applyFont="1" applyFill="1" applyBorder="1"/>
    <xf numFmtId="167" fontId="58" fillId="34" borderId="51" xfId="31" applyFont="1" applyFill="1" applyBorder="1"/>
    <xf numFmtId="0" fontId="88" fillId="45" borderId="0" xfId="33" applyFont="1" applyFill="1"/>
    <xf numFmtId="0" fontId="89" fillId="45" borderId="0" xfId="33" applyFont="1" applyFill="1"/>
    <xf numFmtId="0" fontId="48" fillId="56" borderId="10" xfId="33" applyFont="1" applyFill="1" applyBorder="1"/>
    <xf numFmtId="0" fontId="48" fillId="56" borderId="34" xfId="33" applyFont="1" applyFill="1" applyBorder="1"/>
    <xf numFmtId="0" fontId="52" fillId="0" borderId="33" xfId="46" applyNumberFormat="1" applyFont="1" applyBorder="1" applyAlignment="1">
      <alignment horizontal="center"/>
    </xf>
    <xf numFmtId="1" fontId="47" fillId="0" borderId="41" xfId="46" applyNumberFormat="1" applyFont="1" applyFill="1" applyBorder="1" applyAlignment="1">
      <alignment horizontal="center"/>
    </xf>
    <xf numFmtId="0" fontId="50" fillId="0" borderId="25" xfId="46" applyNumberFormat="1" applyFont="1" applyFill="1" applyBorder="1" applyAlignment="1">
      <alignment horizontal="center"/>
    </xf>
    <xf numFmtId="0" fontId="51" fillId="0" borderId="25" xfId="46" applyNumberFormat="1" applyFont="1" applyFill="1" applyBorder="1" applyAlignment="1">
      <alignment horizontal="center"/>
    </xf>
    <xf numFmtId="0" fontId="53" fillId="0" borderId="25" xfId="46" applyNumberFormat="1" applyFont="1" applyFill="1" applyBorder="1" applyAlignment="1">
      <alignment horizontal="center"/>
    </xf>
    <xf numFmtId="165" fontId="48" fillId="56" borderId="11" xfId="46" applyFont="1" applyFill="1" applyBorder="1" applyAlignment="1">
      <alignment horizontal="center"/>
    </xf>
    <xf numFmtId="164" fontId="20" fillId="0" borderId="23" xfId="46" applyNumberFormat="1" applyFont="1" applyBorder="1" applyAlignment="1">
      <alignment horizontal="center"/>
    </xf>
    <xf numFmtId="9" fontId="20" fillId="0" borderId="24" xfId="46" applyNumberFormat="1" applyFont="1" applyBorder="1" applyAlignment="1">
      <alignment horizontal="center"/>
    </xf>
    <xf numFmtId="0" fontId="9" fillId="0" borderId="56" xfId="46" applyNumberFormat="1" applyFont="1" applyBorder="1" applyAlignment="1">
      <alignment horizontal="center"/>
    </xf>
    <xf numFmtId="170" fontId="9" fillId="0" borderId="56" xfId="33" applyNumberFormat="1" applyFont="1" applyBorder="1" applyAlignment="1"/>
    <xf numFmtId="9" fontId="9" fillId="0" borderId="57" xfId="35" applyFont="1" applyBorder="1"/>
    <xf numFmtId="171" fontId="9" fillId="0" borderId="58" xfId="33" applyNumberFormat="1" applyFont="1" applyBorder="1"/>
    <xf numFmtId="0" fontId="9" fillId="0" borderId="57" xfId="33" applyFont="1" applyBorder="1"/>
    <xf numFmtId="0" fontId="32" fillId="0" borderId="59" xfId="46" applyNumberFormat="1" applyFont="1" applyBorder="1" applyAlignment="1">
      <alignment horizontal="center"/>
    </xf>
    <xf numFmtId="170" fontId="9" fillId="0" borderId="59" xfId="33" applyNumberFormat="1" applyFont="1" applyBorder="1" applyAlignment="1"/>
    <xf numFmtId="9" fontId="9" fillId="0" borderId="60" xfId="35" applyFont="1" applyBorder="1"/>
    <xf numFmtId="171" fontId="9" fillId="0" borderId="61" xfId="33" applyNumberFormat="1" applyFont="1" applyBorder="1"/>
    <xf numFmtId="0" fontId="9" fillId="0" borderId="60" xfId="33" applyFont="1" applyBorder="1"/>
    <xf numFmtId="0" fontId="25" fillId="48" borderId="0" xfId="33" applyFont="1" applyFill="1" applyAlignment="1">
      <alignment horizontal="center"/>
    </xf>
    <xf numFmtId="164" fontId="48" fillId="48" borderId="0" xfId="33" applyNumberFormat="1" applyFont="1" applyFill="1"/>
    <xf numFmtId="164" fontId="25" fillId="48" borderId="0" xfId="33" applyNumberFormat="1" applyFont="1" applyFill="1" applyAlignment="1">
      <alignment horizontal="center"/>
    </xf>
    <xf numFmtId="0" fontId="87" fillId="59" borderId="0" xfId="0" applyFont="1" applyFill="1" applyAlignment="1"/>
    <xf numFmtId="9" fontId="59" fillId="0" borderId="0" xfId="35" applyFont="1"/>
    <xf numFmtId="9" fontId="68" fillId="0" borderId="0" xfId="35" applyFont="1"/>
    <xf numFmtId="9" fontId="20" fillId="0" borderId="0" xfId="35" applyFont="1"/>
    <xf numFmtId="0" fontId="30" fillId="34" borderId="11" xfId="33" applyNumberFormat="1" applyFont="1" applyFill="1" applyBorder="1" applyAlignment="1">
      <alignment horizontal="center"/>
    </xf>
    <xf numFmtId="0" fontId="30" fillId="34" borderId="11" xfId="33" applyFont="1" applyFill="1" applyBorder="1" applyAlignment="1">
      <alignment horizontal="center"/>
    </xf>
    <xf numFmtId="0" fontId="78" fillId="0" borderId="0" xfId="0" applyFont="1" applyAlignment="1">
      <alignment horizontal="center"/>
    </xf>
    <xf numFmtId="0" fontId="31" fillId="0" borderId="0" xfId="33" applyFont="1" applyAlignment="1">
      <alignment horizontal="center" vertical="center"/>
    </xf>
    <xf numFmtId="0" fontId="31" fillId="0" borderId="0" xfId="33" applyFont="1" applyAlignment="1">
      <alignment horizontal="center"/>
    </xf>
    <xf numFmtId="0" fontId="31" fillId="0" borderId="0" xfId="33" applyFont="1" applyFill="1" applyAlignment="1">
      <alignment horizontal="center"/>
    </xf>
    <xf numFmtId="0" fontId="42" fillId="0" borderId="0" xfId="33" applyFont="1" applyAlignment="1">
      <alignment horizontal="center"/>
    </xf>
    <xf numFmtId="0" fontId="81" fillId="0" borderId="16" xfId="33" applyFont="1" applyBorder="1" applyAlignment="1">
      <alignment horizontal="center" vertical="center" wrapText="1"/>
    </xf>
    <xf numFmtId="169" fontId="80" fillId="0" borderId="33" xfId="33" applyNumberFormat="1" applyFont="1" applyFill="1" applyBorder="1" applyAlignment="1">
      <alignment horizontal="center" vertical="center"/>
    </xf>
    <xf numFmtId="164" fontId="72" fillId="36" borderId="25" xfId="33" applyNumberFormat="1" applyFont="1" applyFill="1" applyBorder="1"/>
    <xf numFmtId="164" fontId="72" fillId="36" borderId="33" xfId="33" applyNumberFormat="1" applyFont="1" applyFill="1" applyBorder="1"/>
    <xf numFmtId="164" fontId="72" fillId="0" borderId="0" xfId="33" applyNumberFormat="1" applyFont="1"/>
    <xf numFmtId="0" fontId="31" fillId="36" borderId="0" xfId="33" applyFont="1" applyFill="1"/>
    <xf numFmtId="9" fontId="75" fillId="36" borderId="43" xfId="35" applyFont="1" applyFill="1" applyBorder="1" applyAlignment="1">
      <alignment horizontal="center"/>
    </xf>
    <xf numFmtId="0" fontId="25" fillId="35" borderId="0" xfId="33" applyFont="1" applyFill="1" applyAlignment="1">
      <alignment horizontal="center"/>
    </xf>
    <xf numFmtId="164" fontId="48" fillId="35" borderId="0" xfId="33" applyNumberFormat="1" applyFont="1" applyFill="1"/>
    <xf numFmtId="164" fontId="27" fillId="0" borderId="0" xfId="35" applyNumberFormat="1" applyFont="1"/>
    <xf numFmtId="3" fontId="20" fillId="24" borderId="34" xfId="35" applyNumberFormat="1" applyFont="1" applyFill="1" applyBorder="1" applyAlignment="1">
      <alignment horizontal="center"/>
    </xf>
    <xf numFmtId="3" fontId="37" fillId="34" borderId="30" xfId="35" applyNumberFormat="1" applyFont="1" applyFill="1" applyBorder="1" applyAlignment="1">
      <alignment horizontal="center"/>
    </xf>
    <xf numFmtId="3" fontId="38" fillId="34" borderId="30" xfId="35" applyNumberFormat="1" applyFont="1" applyFill="1" applyBorder="1" applyAlignment="1">
      <alignment horizontal="center"/>
    </xf>
    <xf numFmtId="3" fontId="29" fillId="34" borderId="32" xfId="35" applyNumberFormat="1" applyFont="1" applyFill="1" applyBorder="1" applyAlignment="1">
      <alignment horizontal="center"/>
    </xf>
    <xf numFmtId="3" fontId="29" fillId="34" borderId="34" xfId="35" applyNumberFormat="1" applyFont="1" applyFill="1" applyBorder="1" applyAlignment="1">
      <alignment horizontal="center"/>
    </xf>
    <xf numFmtId="3" fontId="29" fillId="34" borderId="28" xfId="35" applyNumberFormat="1" applyFont="1" applyFill="1" applyBorder="1" applyAlignment="1">
      <alignment horizontal="center"/>
    </xf>
    <xf numFmtId="3" fontId="21" fillId="34" borderId="30" xfId="35" applyNumberFormat="1" applyFont="1" applyFill="1" applyBorder="1" applyAlignment="1">
      <alignment horizontal="center"/>
    </xf>
    <xf numFmtId="3" fontId="41" fillId="34" borderId="34" xfId="35" applyNumberFormat="1" applyFont="1" applyFill="1" applyBorder="1" applyAlignment="1">
      <alignment horizontal="center"/>
    </xf>
    <xf numFmtId="3" fontId="30" fillId="34" borderId="28" xfId="35" applyNumberFormat="1" applyFont="1" applyFill="1" applyBorder="1" applyAlignment="1">
      <alignment horizontal="center"/>
    </xf>
    <xf numFmtId="3" fontId="31" fillId="34" borderId="34" xfId="35" applyNumberFormat="1" applyFont="1" applyFill="1" applyBorder="1" applyAlignment="1">
      <alignment horizontal="center"/>
    </xf>
    <xf numFmtId="3" fontId="24" fillId="0" borderId="30" xfId="35" applyNumberFormat="1" applyFont="1" applyFill="1" applyBorder="1" applyAlignment="1">
      <alignment horizontal="center"/>
    </xf>
    <xf numFmtId="3" fontId="60" fillId="0" borderId="30" xfId="35" applyNumberFormat="1" applyFont="1" applyFill="1" applyBorder="1" applyAlignment="1">
      <alignment horizontal="center"/>
    </xf>
    <xf numFmtId="3" fontId="71" fillId="0" borderId="30" xfId="35" applyNumberFormat="1" applyFont="1" applyFill="1" applyBorder="1" applyAlignment="1">
      <alignment horizontal="center"/>
    </xf>
    <xf numFmtId="3" fontId="76" fillId="0" borderId="30" xfId="35" applyNumberFormat="1" applyFont="1" applyFill="1" applyBorder="1" applyAlignment="1">
      <alignment horizontal="center"/>
    </xf>
    <xf numFmtId="3" fontId="20" fillId="0" borderId="34" xfId="35" applyNumberFormat="1" applyFont="1" applyBorder="1" applyAlignment="1">
      <alignment horizontal="center"/>
    </xf>
    <xf numFmtId="3" fontId="20" fillId="24" borderId="11" xfId="35" applyNumberFormat="1" applyFont="1" applyFill="1" applyBorder="1" applyAlignment="1">
      <alignment horizontal="center"/>
    </xf>
    <xf numFmtId="3" fontId="26" fillId="34" borderId="11" xfId="35" applyNumberFormat="1" applyFont="1" applyFill="1" applyBorder="1" applyAlignment="1">
      <alignment horizontal="center"/>
    </xf>
    <xf numFmtId="3" fontId="37" fillId="34" borderId="62" xfId="35" applyNumberFormat="1" applyFont="1" applyFill="1" applyBorder="1" applyAlignment="1">
      <alignment horizontal="center"/>
    </xf>
    <xf numFmtId="3" fontId="28" fillId="34" borderId="13" xfId="35" applyNumberFormat="1" applyFont="1" applyFill="1" applyBorder="1" applyAlignment="1">
      <alignment horizontal="center"/>
    </xf>
    <xf numFmtId="3" fontId="28" fillId="34" borderId="11" xfId="35" applyNumberFormat="1" applyFont="1" applyFill="1" applyBorder="1" applyAlignment="1">
      <alignment horizontal="center"/>
    </xf>
    <xf numFmtId="3" fontId="28" fillId="34" borderId="12" xfId="35" applyNumberFormat="1" applyFont="1" applyFill="1" applyBorder="1" applyAlignment="1">
      <alignment horizontal="center"/>
    </xf>
    <xf numFmtId="3" fontId="38" fillId="34" borderId="62" xfId="35" applyNumberFormat="1" applyFont="1" applyFill="1" applyBorder="1" applyAlignment="1">
      <alignment horizontal="center"/>
    </xf>
    <xf numFmtId="3" fontId="21" fillId="34" borderId="62" xfId="35" applyNumberFormat="1" applyFont="1" applyFill="1" applyBorder="1" applyAlignment="1">
      <alignment horizontal="center"/>
    </xf>
    <xf numFmtId="3" fontId="22" fillId="34" borderId="11" xfId="35" applyNumberFormat="1" applyFont="1" applyFill="1" applyBorder="1" applyAlignment="1">
      <alignment horizontal="center"/>
    </xf>
    <xf numFmtId="3" fontId="41" fillId="34" borderId="11" xfId="35" applyNumberFormat="1" applyFont="1" applyFill="1" applyBorder="1" applyAlignment="1">
      <alignment horizontal="center"/>
    </xf>
    <xf numFmtId="3" fontId="24" fillId="0" borderId="62" xfId="35" applyNumberFormat="1" applyFont="1" applyFill="1" applyBorder="1" applyAlignment="1">
      <alignment horizontal="center"/>
    </xf>
    <xf numFmtId="3" fontId="60" fillId="0" borderId="62" xfId="35" applyNumberFormat="1" applyFont="1" applyFill="1" applyBorder="1" applyAlignment="1">
      <alignment horizontal="center"/>
    </xf>
    <xf numFmtId="3" fontId="71" fillId="0" borderId="62" xfId="35" applyNumberFormat="1" applyFont="1" applyFill="1" applyBorder="1" applyAlignment="1">
      <alignment horizontal="center"/>
    </xf>
    <xf numFmtId="3" fontId="75" fillId="0" borderId="11" xfId="35" applyNumberFormat="1" applyFont="1" applyBorder="1" applyAlignment="1">
      <alignment horizontal="center"/>
    </xf>
    <xf numFmtId="3" fontId="76" fillId="0" borderId="62" xfId="35" applyNumberFormat="1" applyFont="1" applyFill="1" applyBorder="1" applyAlignment="1">
      <alignment horizontal="center"/>
    </xf>
    <xf numFmtId="3" fontId="20" fillId="24" borderId="64" xfId="35" applyNumberFormat="1" applyFont="1" applyFill="1" applyBorder="1" applyAlignment="1">
      <alignment horizontal="center"/>
    </xf>
    <xf numFmtId="14" fontId="20" fillId="24" borderId="65" xfId="35" applyNumberFormat="1" applyFont="1" applyFill="1" applyBorder="1" applyAlignment="1">
      <alignment horizontal="center"/>
    </xf>
    <xf numFmtId="3" fontId="26" fillId="34" borderId="64" xfId="35" applyNumberFormat="1" applyFont="1" applyFill="1" applyBorder="1" applyAlignment="1">
      <alignment horizontal="center"/>
    </xf>
    <xf numFmtId="9" fontId="26" fillId="34" borderId="65" xfId="35" applyNumberFormat="1" applyFont="1" applyFill="1" applyBorder="1" applyAlignment="1">
      <alignment horizontal="center"/>
    </xf>
    <xf numFmtId="3" fontId="37" fillId="34" borderId="66" xfId="35" applyNumberFormat="1" applyFont="1" applyFill="1" applyBorder="1" applyAlignment="1">
      <alignment horizontal="center"/>
    </xf>
    <xf numFmtId="9" fontId="37" fillId="34" borderId="67" xfId="35" applyNumberFormat="1" applyFont="1" applyFill="1" applyBorder="1" applyAlignment="1">
      <alignment horizontal="center"/>
    </xf>
    <xf numFmtId="3" fontId="28" fillId="34" borderId="68" xfId="35" applyNumberFormat="1" applyFont="1" applyFill="1" applyBorder="1" applyAlignment="1">
      <alignment horizontal="center"/>
    </xf>
    <xf numFmtId="9" fontId="28" fillId="34" borderId="69" xfId="35" applyNumberFormat="1" applyFont="1" applyFill="1" applyBorder="1" applyAlignment="1">
      <alignment horizontal="center"/>
    </xf>
    <xf numFmtId="3" fontId="28" fillId="34" borderId="64" xfId="35" applyNumberFormat="1" applyFont="1" applyFill="1" applyBorder="1" applyAlignment="1">
      <alignment horizontal="center"/>
    </xf>
    <xf numFmtId="9" fontId="28" fillId="34" borderId="65" xfId="35" applyNumberFormat="1" applyFont="1" applyFill="1" applyBorder="1" applyAlignment="1">
      <alignment horizontal="center"/>
    </xf>
    <xf numFmtId="3" fontId="28" fillId="34" borderId="70" xfId="35" applyNumberFormat="1" applyFont="1" applyFill="1" applyBorder="1" applyAlignment="1">
      <alignment horizontal="center"/>
    </xf>
    <xf numFmtId="9" fontId="28" fillId="34" borderId="71" xfId="35" applyNumberFormat="1" applyFont="1" applyFill="1" applyBorder="1" applyAlignment="1">
      <alignment horizontal="center"/>
    </xf>
    <xf numFmtId="3" fontId="38" fillId="34" borderId="66" xfId="35" applyNumberFormat="1" applyFont="1" applyFill="1" applyBorder="1" applyAlignment="1">
      <alignment horizontal="center"/>
    </xf>
    <xf numFmtId="9" fontId="38" fillId="34" borderId="67" xfId="35" applyNumberFormat="1" applyFont="1" applyFill="1" applyBorder="1" applyAlignment="1">
      <alignment horizontal="center"/>
    </xf>
    <xf numFmtId="3" fontId="29" fillId="34" borderId="68" xfId="35" applyNumberFormat="1" applyFont="1" applyFill="1" applyBorder="1" applyAlignment="1">
      <alignment horizontal="center"/>
    </xf>
    <xf numFmtId="9" fontId="29" fillId="34" borderId="69" xfId="35" applyNumberFormat="1" applyFont="1" applyFill="1" applyBorder="1" applyAlignment="1">
      <alignment horizontal="center"/>
    </xf>
    <xf numFmtId="3" fontId="29" fillId="34" borderId="64" xfId="35" applyNumberFormat="1" applyFont="1" applyFill="1" applyBorder="1" applyAlignment="1">
      <alignment horizontal="center"/>
    </xf>
    <xf numFmtId="9" fontId="29" fillId="34" borderId="65" xfId="35" applyNumberFormat="1" applyFont="1" applyFill="1" applyBorder="1" applyAlignment="1">
      <alignment horizontal="center"/>
    </xf>
    <xf numFmtId="3" fontId="29" fillId="34" borderId="70" xfId="35" applyNumberFormat="1" applyFont="1" applyFill="1" applyBorder="1" applyAlignment="1">
      <alignment horizontal="center"/>
    </xf>
    <xf numFmtId="9" fontId="29" fillId="34" borderId="71" xfId="35" applyNumberFormat="1" applyFont="1" applyFill="1" applyBorder="1" applyAlignment="1">
      <alignment horizontal="center"/>
    </xf>
    <xf numFmtId="3" fontId="21" fillId="34" borderId="66" xfId="35" applyNumberFormat="1" applyFont="1" applyFill="1" applyBorder="1" applyAlignment="1">
      <alignment horizontal="center"/>
    </xf>
    <xf numFmtId="9" fontId="21" fillId="34" borderId="67" xfId="35" applyNumberFormat="1" applyFont="1" applyFill="1" applyBorder="1" applyAlignment="1">
      <alignment horizontal="center"/>
    </xf>
    <xf numFmtId="3" fontId="30" fillId="34" borderId="64" xfId="35" applyNumberFormat="1" applyFont="1" applyFill="1" applyBorder="1" applyAlignment="1">
      <alignment horizontal="center"/>
    </xf>
    <xf numFmtId="9" fontId="30" fillId="34" borderId="65" xfId="35" applyNumberFormat="1" applyFont="1" applyFill="1" applyBorder="1" applyAlignment="1">
      <alignment horizontal="center"/>
    </xf>
    <xf numFmtId="3" fontId="41" fillId="34" borderId="64" xfId="35" applyNumberFormat="1" applyFont="1" applyFill="1" applyBorder="1" applyAlignment="1">
      <alignment horizontal="center"/>
    </xf>
    <xf numFmtId="9" fontId="41" fillId="34" borderId="65" xfId="35" applyNumberFormat="1" applyFont="1" applyFill="1" applyBorder="1" applyAlignment="1">
      <alignment horizontal="center"/>
    </xf>
    <xf numFmtId="3" fontId="30" fillId="34" borderId="70" xfId="35" applyNumberFormat="1" applyFont="1" applyFill="1" applyBorder="1" applyAlignment="1">
      <alignment horizontal="center"/>
    </xf>
    <xf numFmtId="9" fontId="30" fillId="34" borderId="71" xfId="35" applyNumberFormat="1" applyFont="1" applyFill="1" applyBorder="1" applyAlignment="1">
      <alignment horizontal="center"/>
    </xf>
    <xf numFmtId="3" fontId="31" fillId="34" borderId="64" xfId="35" applyNumberFormat="1" applyFont="1" applyFill="1" applyBorder="1" applyAlignment="1">
      <alignment horizontal="center"/>
    </xf>
    <xf numFmtId="9" fontId="31" fillId="34" borderId="65" xfId="35" applyNumberFormat="1" applyFont="1" applyFill="1" applyBorder="1" applyAlignment="1">
      <alignment horizontal="center"/>
    </xf>
    <xf numFmtId="3" fontId="24" fillId="0" borderId="66" xfId="35" applyNumberFormat="1" applyFont="1" applyFill="1" applyBorder="1" applyAlignment="1">
      <alignment horizontal="center"/>
    </xf>
    <xf numFmtId="9" fontId="24" fillId="0" borderId="67" xfId="35" applyNumberFormat="1" applyFont="1" applyFill="1" applyBorder="1" applyAlignment="1">
      <alignment horizontal="center"/>
    </xf>
    <xf numFmtId="3" fontId="60" fillId="0" borderId="66" xfId="35" applyNumberFormat="1" applyFont="1" applyFill="1" applyBorder="1" applyAlignment="1">
      <alignment horizontal="center"/>
    </xf>
    <xf numFmtId="9" fontId="60" fillId="0" borderId="67" xfId="35" applyNumberFormat="1" applyFont="1" applyFill="1" applyBorder="1" applyAlignment="1">
      <alignment horizontal="center"/>
    </xf>
    <xf numFmtId="3" fontId="71" fillId="0" borderId="66" xfId="35" applyNumberFormat="1" applyFont="1" applyFill="1" applyBorder="1" applyAlignment="1">
      <alignment horizontal="center"/>
    </xf>
    <xf numFmtId="9" fontId="71" fillId="0" borderId="67" xfId="35" applyNumberFormat="1" applyFont="1" applyFill="1" applyBorder="1" applyAlignment="1">
      <alignment horizontal="center"/>
    </xf>
    <xf numFmtId="3" fontId="75" fillId="0" borderId="64" xfId="35" applyNumberFormat="1" applyFont="1" applyBorder="1" applyAlignment="1">
      <alignment horizontal="center"/>
    </xf>
    <xf numFmtId="9" fontId="75" fillId="0" borderId="65" xfId="35" applyNumberFormat="1" applyFont="1" applyBorder="1" applyAlignment="1">
      <alignment horizontal="center"/>
    </xf>
    <xf numFmtId="3" fontId="76" fillId="0" borderId="66" xfId="35" applyNumberFormat="1" applyFont="1" applyFill="1" applyBorder="1" applyAlignment="1">
      <alignment horizontal="center"/>
    </xf>
    <xf numFmtId="9" fontId="76" fillId="0" borderId="67" xfId="35" applyNumberFormat="1" applyFont="1" applyFill="1" applyBorder="1" applyAlignment="1">
      <alignment horizontal="center"/>
    </xf>
    <xf numFmtId="3" fontId="20" fillId="0" borderId="64" xfId="35" applyNumberFormat="1" applyFont="1" applyBorder="1" applyAlignment="1">
      <alignment horizontal="center"/>
    </xf>
    <xf numFmtId="10" fontId="20" fillId="0" borderId="65" xfId="35" applyNumberFormat="1" applyFont="1" applyBorder="1" applyAlignment="1">
      <alignment horizontal="center"/>
    </xf>
    <xf numFmtId="0" fontId="20" fillId="50" borderId="14" xfId="33" applyFont="1" applyFill="1" applyBorder="1" applyAlignment="1">
      <alignment horizontal="center" vertical="center" wrapText="1"/>
    </xf>
    <xf numFmtId="0" fontId="20" fillId="50" borderId="11" xfId="33" applyFont="1" applyFill="1" applyBorder="1" applyAlignment="1">
      <alignment horizontal="center" vertical="center" wrapText="1"/>
    </xf>
    <xf numFmtId="0" fontId="20" fillId="50" borderId="43" xfId="33" applyFont="1" applyFill="1" applyBorder="1" applyAlignment="1">
      <alignment horizontal="center" vertical="center" wrapText="1"/>
    </xf>
    <xf numFmtId="0" fontId="20" fillId="39" borderId="14" xfId="33" applyFont="1" applyFill="1" applyBorder="1" applyAlignment="1">
      <alignment horizontal="center" vertical="center" wrapText="1"/>
    </xf>
    <xf numFmtId="0" fontId="20" fillId="39" borderId="11" xfId="33" applyFont="1" applyFill="1" applyBorder="1" applyAlignment="1">
      <alignment horizontal="center" vertical="center" wrapText="1"/>
    </xf>
    <xf numFmtId="0" fontId="20" fillId="39" borderId="43" xfId="33" applyFont="1" applyFill="1" applyBorder="1" applyAlignment="1">
      <alignment horizontal="center" vertical="center" wrapText="1"/>
    </xf>
    <xf numFmtId="0" fontId="20" fillId="51" borderId="14" xfId="33" applyFont="1" applyFill="1" applyBorder="1" applyAlignment="1">
      <alignment horizontal="center" vertical="center" wrapText="1"/>
    </xf>
    <xf numFmtId="0" fontId="20" fillId="51" borderId="11" xfId="33" applyFont="1" applyFill="1" applyBorder="1" applyAlignment="1">
      <alignment horizontal="center" vertical="center" wrapText="1"/>
    </xf>
    <xf numFmtId="0" fontId="20" fillId="51" borderId="43" xfId="33" applyFont="1" applyFill="1" applyBorder="1" applyAlignment="1">
      <alignment horizontal="center" vertical="center" wrapText="1"/>
    </xf>
    <xf numFmtId="0" fontId="20" fillId="48" borderId="63" xfId="33" applyFont="1" applyFill="1" applyBorder="1" applyAlignment="1">
      <alignment horizontal="center" vertical="center" wrapText="1"/>
    </xf>
    <xf numFmtId="0" fontId="20" fillId="48" borderId="11" xfId="33" applyFont="1" applyFill="1" applyBorder="1" applyAlignment="1">
      <alignment horizontal="center" vertical="center" wrapText="1"/>
    </xf>
    <xf numFmtId="0" fontId="20" fillId="48" borderId="43" xfId="33" applyFont="1" applyFill="1" applyBorder="1" applyAlignment="1">
      <alignment horizontal="center" vertical="center" wrapText="1"/>
    </xf>
    <xf numFmtId="0" fontId="20" fillId="57" borderId="34" xfId="33" applyFont="1" applyFill="1" applyBorder="1" applyAlignment="1">
      <alignment horizontal="center" vertical="center" wrapText="1"/>
    </xf>
    <xf numFmtId="0" fontId="20" fillId="57" borderId="11" xfId="33" applyFont="1" applyFill="1" applyBorder="1" applyAlignment="1">
      <alignment horizontal="center" vertical="center" wrapText="1"/>
    </xf>
    <xf numFmtId="0" fontId="20" fillId="46" borderId="14" xfId="33" applyFont="1" applyFill="1" applyBorder="1" applyAlignment="1">
      <alignment horizontal="center" vertical="center" wrapText="1"/>
    </xf>
    <xf numFmtId="0" fontId="20" fillId="46" borderId="11" xfId="33" applyFont="1" applyFill="1" applyBorder="1" applyAlignment="1">
      <alignment horizontal="center" vertical="center" wrapText="1"/>
    </xf>
    <xf numFmtId="167" fontId="20" fillId="46" borderId="43" xfId="31" applyFont="1" applyFill="1" applyBorder="1" applyAlignment="1">
      <alignment horizontal="center" vertical="center" wrapText="1"/>
    </xf>
    <xf numFmtId="0" fontId="20" fillId="45" borderId="46" xfId="33" applyFont="1" applyFill="1" applyBorder="1" applyAlignment="1">
      <alignment horizontal="center" vertical="center" wrapText="1"/>
    </xf>
    <xf numFmtId="14" fontId="20" fillId="24" borderId="34" xfId="35" applyNumberFormat="1" applyFont="1" applyFill="1" applyBorder="1" applyAlignment="1">
      <alignment horizontal="center"/>
    </xf>
    <xf numFmtId="168" fontId="37" fillId="34" borderId="30" xfId="31" applyNumberFormat="1" applyFont="1" applyFill="1" applyBorder="1"/>
    <xf numFmtId="168" fontId="38" fillId="34" borderId="30" xfId="31" applyNumberFormat="1" applyFont="1" applyFill="1" applyBorder="1"/>
    <xf numFmtId="167" fontId="29" fillId="34" borderId="32" xfId="31" applyFont="1" applyFill="1" applyBorder="1"/>
    <xf numFmtId="167" fontId="21" fillId="34" borderId="30" xfId="31" applyNumberFormat="1" applyFont="1" applyFill="1" applyBorder="1" applyAlignment="1">
      <alignment horizontal="center"/>
    </xf>
    <xf numFmtId="167" fontId="22" fillId="34" borderId="34" xfId="31" applyFont="1" applyFill="1" applyBorder="1"/>
    <xf numFmtId="167" fontId="31" fillId="34" borderId="34" xfId="31" applyFont="1" applyFill="1" applyBorder="1"/>
    <xf numFmtId="167" fontId="24" fillId="0" borderId="30" xfId="31" applyNumberFormat="1" applyFont="1" applyFill="1" applyBorder="1" applyAlignment="1">
      <alignment horizontal="center"/>
    </xf>
    <xf numFmtId="167" fontId="60" fillId="0" borderId="30" xfId="31" applyNumberFormat="1" applyFont="1" applyFill="1" applyBorder="1" applyAlignment="1">
      <alignment horizontal="center"/>
    </xf>
    <xf numFmtId="167" fontId="71" fillId="0" borderId="30" xfId="31" applyNumberFormat="1" applyFont="1" applyFill="1" applyBorder="1" applyAlignment="1">
      <alignment horizontal="center"/>
    </xf>
    <xf numFmtId="167" fontId="76" fillId="0" borderId="30" xfId="31" applyNumberFormat="1" applyFont="1" applyFill="1" applyBorder="1" applyAlignment="1">
      <alignment horizontal="center"/>
    </xf>
    <xf numFmtId="167" fontId="20" fillId="0" borderId="34" xfId="31" applyFont="1" applyBorder="1"/>
    <xf numFmtId="9" fontId="26" fillId="34" borderId="65" xfId="35" applyFont="1" applyFill="1" applyBorder="1" applyAlignment="1">
      <alignment horizontal="center"/>
    </xf>
    <xf numFmtId="9" fontId="37" fillId="34" borderId="67" xfId="35" applyFont="1" applyFill="1" applyBorder="1" applyAlignment="1">
      <alignment horizontal="center"/>
    </xf>
    <xf numFmtId="9" fontId="28" fillId="34" borderId="69" xfId="35" applyFont="1" applyFill="1" applyBorder="1" applyAlignment="1">
      <alignment horizontal="center"/>
    </xf>
    <xf numFmtId="9" fontId="28" fillId="34" borderId="65" xfId="35" applyFont="1" applyFill="1" applyBorder="1" applyAlignment="1">
      <alignment horizontal="center"/>
    </xf>
    <xf numFmtId="9" fontId="28" fillId="34" borderId="71" xfId="35" applyFont="1" applyFill="1" applyBorder="1" applyAlignment="1">
      <alignment horizontal="center"/>
    </xf>
    <xf numFmtId="9" fontId="38" fillId="34" borderId="67" xfId="35" applyFont="1" applyFill="1" applyBorder="1" applyAlignment="1">
      <alignment horizontal="center"/>
    </xf>
    <xf numFmtId="9" fontId="29" fillId="34" borderId="69" xfId="35" applyFont="1" applyFill="1" applyBorder="1" applyAlignment="1">
      <alignment horizontal="center"/>
    </xf>
    <xf numFmtId="9" fontId="29" fillId="34" borderId="65" xfId="35" applyFont="1" applyFill="1" applyBorder="1" applyAlignment="1">
      <alignment horizontal="center"/>
    </xf>
    <xf numFmtId="9" fontId="29" fillId="34" borderId="71" xfId="35" applyFont="1" applyFill="1" applyBorder="1" applyAlignment="1">
      <alignment horizontal="center"/>
    </xf>
    <xf numFmtId="9" fontId="21" fillId="34" borderId="67" xfId="35" applyFont="1" applyFill="1" applyBorder="1" applyAlignment="1">
      <alignment horizontal="center"/>
    </xf>
    <xf numFmtId="9" fontId="30" fillId="34" borderId="65" xfId="35" applyFont="1" applyFill="1" applyBorder="1" applyAlignment="1">
      <alignment horizontal="center"/>
    </xf>
    <xf numFmtId="9" fontId="41" fillId="34" borderId="65" xfId="35" applyFont="1" applyFill="1" applyBorder="1" applyAlignment="1">
      <alignment horizontal="center"/>
    </xf>
    <xf numFmtId="9" fontId="30" fillId="34" borderId="71" xfId="35" applyFont="1" applyFill="1" applyBorder="1" applyAlignment="1">
      <alignment horizontal="center"/>
    </xf>
    <xf numFmtId="9" fontId="31" fillId="34" borderId="65" xfId="35" applyFont="1" applyFill="1" applyBorder="1" applyAlignment="1">
      <alignment horizontal="center"/>
    </xf>
    <xf numFmtId="9" fontId="24" fillId="0" borderId="67" xfId="35" applyFont="1" applyFill="1" applyBorder="1" applyAlignment="1">
      <alignment horizontal="center"/>
    </xf>
    <xf numFmtId="9" fontId="60" fillId="0" borderId="67" xfId="35" applyFont="1" applyFill="1" applyBorder="1" applyAlignment="1">
      <alignment horizontal="center"/>
    </xf>
    <xf numFmtId="9" fontId="71" fillId="0" borderId="67" xfId="35" applyFont="1" applyFill="1" applyBorder="1" applyAlignment="1">
      <alignment horizontal="center"/>
    </xf>
    <xf numFmtId="9" fontId="75" fillId="0" borderId="65" xfId="35" applyFont="1" applyBorder="1" applyAlignment="1">
      <alignment horizontal="center"/>
    </xf>
    <xf numFmtId="9" fontId="76" fillId="0" borderId="67" xfId="35" applyFont="1" applyFill="1" applyBorder="1" applyAlignment="1">
      <alignment horizontal="center"/>
    </xf>
    <xf numFmtId="9" fontId="20" fillId="0" borderId="65" xfId="35" applyFont="1" applyBorder="1" applyAlignment="1">
      <alignment horizontal="center"/>
    </xf>
    <xf numFmtId="167" fontId="26" fillId="34" borderId="11" xfId="31" applyFont="1" applyFill="1" applyBorder="1" applyAlignment="1">
      <alignment horizontal="right"/>
    </xf>
    <xf numFmtId="168" fontId="37" fillId="34" borderId="62" xfId="31" applyNumberFormat="1" applyFont="1" applyFill="1" applyBorder="1"/>
    <xf numFmtId="167" fontId="28" fillId="34" borderId="13" xfId="31" applyFont="1" applyFill="1" applyBorder="1" applyAlignment="1">
      <alignment horizontal="right"/>
    </xf>
    <xf numFmtId="167" fontId="28" fillId="34" borderId="36" xfId="31" applyFont="1" applyFill="1" applyBorder="1" applyAlignment="1">
      <alignment horizontal="right"/>
    </xf>
    <xf numFmtId="168" fontId="38" fillId="34" borderId="62" xfId="31" applyNumberFormat="1" applyFont="1" applyFill="1" applyBorder="1"/>
    <xf numFmtId="167" fontId="21" fillId="34" borderId="62" xfId="31" applyNumberFormat="1" applyFont="1" applyFill="1" applyBorder="1" applyAlignment="1">
      <alignment horizontal="center"/>
    </xf>
    <xf numFmtId="167" fontId="24" fillId="0" borderId="62" xfId="31" applyNumberFormat="1" applyFont="1" applyFill="1" applyBorder="1" applyAlignment="1">
      <alignment horizontal="center"/>
    </xf>
    <xf numFmtId="167" fontId="60" fillId="0" borderId="62" xfId="31" applyNumberFormat="1" applyFont="1" applyFill="1" applyBorder="1" applyAlignment="1">
      <alignment horizontal="center"/>
    </xf>
    <xf numFmtId="167" fontId="71" fillId="0" borderId="62" xfId="31" applyNumberFormat="1" applyFont="1" applyFill="1" applyBorder="1" applyAlignment="1">
      <alignment horizontal="center"/>
    </xf>
    <xf numFmtId="167" fontId="75" fillId="0" borderId="11" xfId="31" applyFont="1" applyBorder="1"/>
    <xf numFmtId="167" fontId="76" fillId="0" borderId="62" xfId="31" applyNumberFormat="1" applyFont="1" applyFill="1" applyBorder="1" applyAlignment="1">
      <alignment horizontal="center"/>
    </xf>
    <xf numFmtId="0" fontId="20" fillId="24" borderId="34" xfId="33" applyFont="1" applyFill="1" applyBorder="1" applyAlignment="1">
      <alignment horizontal="center"/>
    </xf>
    <xf numFmtId="167" fontId="29" fillId="34" borderId="34" xfId="31" applyFont="1" applyFill="1" applyBorder="1" applyAlignment="1">
      <alignment horizontal="right"/>
    </xf>
    <xf numFmtId="167" fontId="29" fillId="34" borderId="28" xfId="31" applyFont="1" applyFill="1" applyBorder="1"/>
    <xf numFmtId="167" fontId="22" fillId="34" borderId="34" xfId="31" applyFont="1" applyFill="1" applyBorder="1" applyAlignment="1">
      <alignment horizontal="right"/>
    </xf>
    <xf numFmtId="167" fontId="41" fillId="34" borderId="34" xfId="31" applyFont="1" applyFill="1" applyBorder="1"/>
    <xf numFmtId="167" fontId="30" fillId="34" borderId="28" xfId="31" applyFont="1" applyFill="1" applyBorder="1"/>
    <xf numFmtId="9" fontId="20" fillId="24" borderId="65" xfId="35" applyFont="1" applyFill="1" applyBorder="1" applyAlignment="1">
      <alignment horizontal="center"/>
    </xf>
    <xf numFmtId="9" fontId="26" fillId="34" borderId="71" xfId="35" applyFont="1" applyFill="1" applyBorder="1" applyAlignment="1">
      <alignment horizontal="center"/>
    </xf>
    <xf numFmtId="167" fontId="26" fillId="34" borderId="12" xfId="31" applyFont="1" applyFill="1" applyBorder="1" applyAlignment="1">
      <alignment horizontal="right"/>
    </xf>
    <xf numFmtId="167" fontId="28" fillId="34" borderId="11" xfId="31" applyFont="1" applyFill="1" applyBorder="1" applyAlignment="1">
      <alignment horizontal="right"/>
    </xf>
    <xf numFmtId="167" fontId="28" fillId="34" borderId="12" xfId="31" applyFont="1" applyFill="1" applyBorder="1" applyAlignment="1">
      <alignment horizontal="right"/>
    </xf>
    <xf numFmtId="167" fontId="30" fillId="34" borderId="34" xfId="31" applyFont="1" applyFill="1" applyBorder="1" applyAlignment="1">
      <alignment horizontal="right"/>
    </xf>
    <xf numFmtId="167" fontId="76" fillId="0" borderId="66" xfId="31" applyNumberFormat="1" applyFont="1" applyFill="1" applyBorder="1" applyAlignment="1">
      <alignment horizontal="center"/>
    </xf>
    <xf numFmtId="0" fontId="20" fillId="24" borderId="65" xfId="33" applyFont="1" applyFill="1" applyBorder="1" applyAlignment="1">
      <alignment horizontal="center"/>
    </xf>
    <xf numFmtId="9" fontId="26" fillId="34" borderId="65" xfId="35" applyFont="1" applyFill="1" applyBorder="1" applyAlignment="1">
      <alignment horizontal="center" vertical="center"/>
    </xf>
    <xf numFmtId="9" fontId="26" fillId="34" borderId="71" xfId="35" applyFont="1" applyFill="1" applyBorder="1" applyAlignment="1">
      <alignment horizontal="center" vertical="center"/>
    </xf>
    <xf numFmtId="9" fontId="37" fillId="34" borderId="67" xfId="35" applyFont="1" applyFill="1" applyBorder="1" applyAlignment="1">
      <alignment horizontal="center" vertical="center"/>
    </xf>
    <xf numFmtId="9" fontId="28" fillId="34" borderId="69" xfId="35" applyFont="1" applyFill="1" applyBorder="1" applyAlignment="1">
      <alignment horizontal="center" vertical="center"/>
    </xf>
    <xf numFmtId="9" fontId="28" fillId="34" borderId="65" xfId="35" applyFont="1" applyFill="1" applyBorder="1" applyAlignment="1">
      <alignment horizontal="center" vertical="center"/>
    </xf>
    <xf numFmtId="9" fontId="28" fillId="34" borderId="71" xfId="35" applyFont="1" applyFill="1" applyBorder="1" applyAlignment="1">
      <alignment horizontal="center" vertical="center"/>
    </xf>
    <xf numFmtId="9" fontId="38" fillId="34" borderId="67" xfId="35" applyFont="1" applyFill="1" applyBorder="1" applyAlignment="1">
      <alignment horizontal="center" vertical="center"/>
    </xf>
    <xf numFmtId="9" fontId="29" fillId="34" borderId="69" xfId="35" applyFont="1" applyFill="1" applyBorder="1" applyAlignment="1">
      <alignment horizontal="center" vertical="center"/>
    </xf>
    <xf numFmtId="9" fontId="29" fillId="34" borderId="65" xfId="35" applyFont="1" applyFill="1" applyBorder="1" applyAlignment="1">
      <alignment horizontal="center" vertical="center"/>
    </xf>
    <xf numFmtId="9" fontId="29" fillId="34" borderId="71" xfId="35" applyFont="1" applyFill="1" applyBorder="1" applyAlignment="1">
      <alignment horizontal="center" vertical="center"/>
    </xf>
    <xf numFmtId="9" fontId="21" fillId="34" borderId="67" xfId="35" applyFont="1" applyFill="1" applyBorder="1" applyAlignment="1">
      <alignment horizontal="center" vertical="center"/>
    </xf>
    <xf numFmtId="9" fontId="30" fillId="34" borderId="65" xfId="35" applyFont="1" applyFill="1" applyBorder="1" applyAlignment="1">
      <alignment horizontal="center" vertical="center"/>
    </xf>
    <xf numFmtId="9" fontId="41" fillId="34" borderId="65" xfId="35" applyFont="1" applyFill="1" applyBorder="1" applyAlignment="1">
      <alignment horizontal="center" vertical="center"/>
    </xf>
    <xf numFmtId="9" fontId="30" fillId="34" borderId="71" xfId="35" applyFont="1" applyFill="1" applyBorder="1" applyAlignment="1">
      <alignment horizontal="center" vertical="center"/>
    </xf>
    <xf numFmtId="9" fontId="31" fillId="34" borderId="65" xfId="35" applyFont="1" applyFill="1" applyBorder="1" applyAlignment="1">
      <alignment horizontal="center" vertical="center"/>
    </xf>
    <xf numFmtId="9" fontId="24" fillId="0" borderId="67" xfId="35" applyFont="1" applyFill="1" applyBorder="1" applyAlignment="1">
      <alignment horizontal="center" vertical="center"/>
    </xf>
    <xf numFmtId="9" fontId="60" fillId="0" borderId="67" xfId="35" applyFont="1" applyFill="1" applyBorder="1" applyAlignment="1">
      <alignment horizontal="center" vertical="center"/>
    </xf>
    <xf numFmtId="9" fontId="71" fillId="0" borderId="67" xfId="35" applyFont="1" applyFill="1" applyBorder="1" applyAlignment="1">
      <alignment horizontal="center" vertical="center"/>
    </xf>
    <xf numFmtId="9" fontId="75" fillId="0" borderId="65" xfId="35" applyFont="1" applyBorder="1" applyAlignment="1">
      <alignment horizontal="center" vertical="center"/>
    </xf>
    <xf numFmtId="9" fontId="76" fillId="0" borderId="67" xfId="35" applyFont="1" applyFill="1" applyBorder="1" applyAlignment="1">
      <alignment horizontal="center" vertical="center"/>
    </xf>
    <xf numFmtId="9" fontId="37" fillId="34" borderId="72" xfId="35" applyFont="1" applyFill="1" applyBorder="1" applyAlignment="1">
      <alignment horizontal="center"/>
    </xf>
    <xf numFmtId="9" fontId="38" fillId="34" borderId="72" xfId="35" applyFont="1" applyFill="1" applyBorder="1" applyAlignment="1">
      <alignment horizontal="center"/>
    </xf>
    <xf numFmtId="9" fontId="21" fillId="34" borderId="72" xfId="35" applyFont="1" applyFill="1" applyBorder="1" applyAlignment="1">
      <alignment horizontal="center"/>
    </xf>
    <xf numFmtId="9" fontId="24" fillId="0" borderId="72" xfId="35" applyFont="1" applyFill="1" applyBorder="1" applyAlignment="1">
      <alignment horizontal="center"/>
    </xf>
    <xf numFmtId="9" fontId="60" fillId="0" borderId="72" xfId="35" applyFont="1" applyFill="1" applyBorder="1" applyAlignment="1">
      <alignment horizontal="center"/>
    </xf>
    <xf numFmtId="9" fontId="71" fillId="0" borderId="72" xfId="35" applyFont="1" applyFill="1" applyBorder="1" applyAlignment="1">
      <alignment horizontal="center"/>
    </xf>
    <xf numFmtId="9" fontId="76" fillId="0" borderId="72" xfId="35" applyFont="1" applyFill="1" applyBorder="1" applyAlignment="1">
      <alignment horizontal="center"/>
    </xf>
    <xf numFmtId="165" fontId="26" fillId="34" borderId="14" xfId="33" applyNumberFormat="1" applyFont="1" applyFill="1" applyBorder="1"/>
    <xf numFmtId="165" fontId="26" fillId="34" borderId="14" xfId="33" applyNumberFormat="1" applyFont="1" applyFill="1" applyBorder="1" applyAlignment="1">
      <alignment vertical="center"/>
    </xf>
    <xf numFmtId="165" fontId="26" fillId="25" borderId="14" xfId="33" applyNumberFormat="1" applyFont="1" applyFill="1" applyBorder="1"/>
    <xf numFmtId="165" fontId="28" fillId="34" borderId="14" xfId="33" applyNumberFormat="1" applyFont="1" applyFill="1" applyBorder="1"/>
    <xf numFmtId="9" fontId="20" fillId="57" borderId="43" xfId="35" applyFont="1" applyFill="1" applyBorder="1" applyAlignment="1">
      <alignment horizontal="center" vertical="center" wrapText="1"/>
    </xf>
    <xf numFmtId="9" fontId="26" fillId="25" borderId="43" xfId="35" applyFont="1" applyFill="1" applyBorder="1" applyAlignment="1">
      <alignment horizontal="center"/>
    </xf>
    <xf numFmtId="9" fontId="24" fillId="36" borderId="72" xfId="35" applyFont="1" applyFill="1" applyBorder="1" applyAlignment="1">
      <alignment horizontal="center"/>
    </xf>
    <xf numFmtId="9" fontId="60" fillId="36" borderId="72" xfId="35" applyFont="1" applyFill="1" applyBorder="1" applyAlignment="1">
      <alignment horizontal="center"/>
    </xf>
    <xf numFmtId="9" fontId="71" fillId="36" borderId="72" xfId="35" applyFont="1" applyFill="1" applyBorder="1" applyAlignment="1">
      <alignment horizontal="center"/>
    </xf>
    <xf numFmtId="9" fontId="76" fillId="36" borderId="72" xfId="35" applyFont="1" applyFill="1" applyBorder="1" applyAlignment="1">
      <alignment horizontal="center"/>
    </xf>
    <xf numFmtId="9" fontId="75" fillId="36" borderId="72" xfId="35" applyFont="1" applyFill="1" applyBorder="1" applyAlignment="1">
      <alignment horizontal="center"/>
    </xf>
    <xf numFmtId="9" fontId="20" fillId="36" borderId="43" xfId="35" applyFont="1" applyFill="1" applyBorder="1" applyAlignment="1">
      <alignment horizontal="center"/>
    </xf>
    <xf numFmtId="0" fontId="81" fillId="24" borderId="11" xfId="33" applyFont="1" applyFill="1" applyBorder="1" applyAlignment="1">
      <alignment horizontal="center" vertical="center"/>
    </xf>
    <xf numFmtId="0" fontId="81" fillId="24" borderId="11" xfId="33" applyFont="1" applyFill="1" applyBorder="1" applyAlignment="1">
      <alignment horizontal="center"/>
    </xf>
    <xf numFmtId="0" fontId="41" fillId="34" borderId="11" xfId="33" applyFont="1" applyFill="1" applyBorder="1"/>
    <xf numFmtId="0" fontId="41" fillId="34" borderId="11" xfId="33" applyFont="1" applyFill="1" applyBorder="1" applyAlignment="1">
      <alignment vertical="center" wrapText="1"/>
    </xf>
    <xf numFmtId="0" fontId="41" fillId="25" borderId="11" xfId="33" applyFont="1" applyFill="1" applyBorder="1"/>
    <xf numFmtId="0" fontId="81" fillId="34" borderId="11" xfId="33" applyFont="1" applyFill="1" applyBorder="1"/>
    <xf numFmtId="0" fontId="41" fillId="36" borderId="11" xfId="33" applyFont="1" applyFill="1" applyBorder="1"/>
    <xf numFmtId="0" fontId="81" fillId="36" borderId="11" xfId="33" applyFont="1" applyFill="1" applyBorder="1"/>
    <xf numFmtId="0" fontId="92" fillId="0" borderId="0" xfId="0" applyFont="1"/>
    <xf numFmtId="0" fontId="41" fillId="0" borderId="0" xfId="33" applyFont="1" applyAlignment="1">
      <alignment vertical="center"/>
    </xf>
    <xf numFmtId="0" fontId="41" fillId="0" borderId="0" xfId="33" applyFont="1" applyFill="1"/>
    <xf numFmtId="0" fontId="72" fillId="0" borderId="0" xfId="33" applyFont="1"/>
    <xf numFmtId="0" fontId="81" fillId="0" borderId="0" xfId="33" applyFont="1"/>
    <xf numFmtId="0" fontId="22" fillId="34" borderId="16" xfId="31" applyNumberFormat="1" applyFont="1" applyFill="1" applyBorder="1" applyAlignment="1">
      <alignment horizontal="center"/>
    </xf>
    <xf numFmtId="167" fontId="22" fillId="34" borderId="16" xfId="31" applyNumberFormat="1" applyFont="1" applyFill="1" applyBorder="1" applyAlignment="1">
      <alignment horizontal="center"/>
    </xf>
    <xf numFmtId="167" fontId="20" fillId="34" borderId="15" xfId="31" applyFont="1" applyFill="1" applyBorder="1"/>
    <xf numFmtId="167" fontId="22" fillId="34" borderId="53" xfId="31" applyNumberFormat="1" applyFont="1" applyFill="1" applyBorder="1" applyAlignment="1">
      <alignment horizontal="center"/>
    </xf>
    <xf numFmtId="167" fontId="22" fillId="34" borderId="30" xfId="31" applyNumberFormat="1" applyFont="1" applyFill="1" applyBorder="1" applyAlignment="1">
      <alignment horizontal="center"/>
    </xf>
    <xf numFmtId="9" fontId="22" fillId="34" borderId="72" xfId="35" applyFont="1" applyFill="1" applyBorder="1" applyAlignment="1">
      <alignment horizontal="center"/>
    </xf>
    <xf numFmtId="167" fontId="22" fillId="34" borderId="48" xfId="31" applyNumberFormat="1" applyFont="1" applyFill="1" applyBorder="1" applyAlignment="1">
      <alignment horizontal="center"/>
    </xf>
    <xf numFmtId="167" fontId="22" fillId="34" borderId="62" xfId="31" applyNumberFormat="1" applyFont="1" applyFill="1" applyBorder="1" applyAlignment="1">
      <alignment horizontal="center"/>
    </xf>
    <xf numFmtId="9" fontId="22" fillId="34" borderId="67" xfId="35" applyFont="1" applyFill="1" applyBorder="1" applyAlignment="1">
      <alignment horizontal="center" vertical="center"/>
    </xf>
    <xf numFmtId="9" fontId="22" fillId="34" borderId="67" xfId="35" applyFont="1" applyFill="1" applyBorder="1" applyAlignment="1">
      <alignment horizontal="center"/>
    </xf>
    <xf numFmtId="3" fontId="22" fillId="34" borderId="30" xfId="35" applyNumberFormat="1" applyFont="1" applyFill="1" applyBorder="1" applyAlignment="1">
      <alignment horizontal="center"/>
    </xf>
    <xf numFmtId="3" fontId="22" fillId="34" borderId="62" xfId="35" applyNumberFormat="1" applyFont="1" applyFill="1" applyBorder="1" applyAlignment="1">
      <alignment horizontal="center"/>
    </xf>
    <xf numFmtId="9" fontId="22" fillId="34" borderId="67" xfId="35" applyNumberFormat="1" applyFont="1" applyFill="1" applyBorder="1" applyAlignment="1">
      <alignment horizontal="center"/>
    </xf>
    <xf numFmtId="3" fontId="22" fillId="34" borderId="66" xfId="35" applyNumberFormat="1" applyFont="1" applyFill="1" applyBorder="1" applyAlignment="1">
      <alignment horizontal="center"/>
    </xf>
    <xf numFmtId="167" fontId="22" fillId="34" borderId="31" xfId="31" applyNumberFormat="1" applyFont="1" applyFill="1" applyBorder="1" applyAlignment="1">
      <alignment horizontal="center"/>
    </xf>
    <xf numFmtId="0" fontId="81" fillId="34" borderId="12" xfId="33" applyFont="1" applyFill="1" applyBorder="1"/>
    <xf numFmtId="3" fontId="20" fillId="24" borderId="63" xfId="35" applyNumberFormat="1" applyFont="1" applyFill="1" applyBorder="1" applyAlignment="1">
      <alignment horizontal="center"/>
    </xf>
    <xf numFmtId="3" fontId="75" fillId="0" borderId="63" xfId="35" applyNumberFormat="1" applyFont="1" applyBorder="1" applyAlignment="1">
      <alignment horizontal="center"/>
    </xf>
    <xf numFmtId="3" fontId="76" fillId="0" borderId="73" xfId="35" applyNumberFormat="1" applyFont="1" applyFill="1" applyBorder="1" applyAlignment="1">
      <alignment horizontal="center"/>
    </xf>
    <xf numFmtId="3" fontId="20" fillId="0" borderId="63" xfId="35" applyNumberFormat="1" applyFont="1" applyBorder="1" applyAlignment="1">
      <alignment horizontal="center"/>
    </xf>
    <xf numFmtId="9" fontId="0" fillId="0" borderId="0" xfId="35" applyFont="1"/>
    <xf numFmtId="9" fontId="31" fillId="0" borderId="0" xfId="35" applyFont="1" applyAlignment="1">
      <alignment vertical="center"/>
    </xf>
    <xf numFmtId="9" fontId="31" fillId="0" borderId="0" xfId="35" applyFont="1" applyFill="1"/>
    <xf numFmtId="9" fontId="58" fillId="36" borderId="11" xfId="35" applyFont="1" applyFill="1" applyBorder="1"/>
    <xf numFmtId="167" fontId="42" fillId="34" borderId="11" xfId="31" applyFont="1" applyFill="1" applyBorder="1"/>
    <xf numFmtId="0" fontId="42" fillId="34" borderId="11" xfId="31" applyNumberFormat="1" applyFont="1" applyFill="1" applyBorder="1" applyAlignment="1">
      <alignment horizontal="center"/>
    </xf>
    <xf numFmtId="167" fontId="42" fillId="34" borderId="11" xfId="31" applyFont="1" applyFill="1" applyBorder="1" applyAlignment="1">
      <alignment horizontal="center"/>
    </xf>
    <xf numFmtId="167" fontId="42" fillId="34" borderId="12" xfId="31" applyFont="1" applyFill="1" applyBorder="1" applyAlignment="1">
      <alignment horizontal="center"/>
    </xf>
    <xf numFmtId="167" fontId="31" fillId="34" borderId="12" xfId="31" applyFont="1" applyFill="1" applyBorder="1"/>
    <xf numFmtId="165" fontId="42" fillId="34" borderId="10" xfId="31" applyNumberFormat="1" applyFont="1" applyFill="1" applyBorder="1"/>
    <xf numFmtId="167" fontId="23" fillId="34" borderId="52" xfId="31" applyFont="1" applyFill="1" applyBorder="1"/>
    <xf numFmtId="167" fontId="31" fillId="34" borderId="28" xfId="31" applyFont="1" applyFill="1" applyBorder="1"/>
    <xf numFmtId="9" fontId="31" fillId="34" borderId="45" xfId="35" applyFont="1" applyFill="1" applyBorder="1" applyAlignment="1">
      <alignment horizontal="center"/>
    </xf>
    <xf numFmtId="167" fontId="31" fillId="34" borderId="47" xfId="31" applyFont="1" applyFill="1" applyBorder="1"/>
    <xf numFmtId="9" fontId="31" fillId="34" borderId="71" xfId="35" applyFont="1" applyFill="1" applyBorder="1" applyAlignment="1">
      <alignment horizontal="center" vertical="center"/>
    </xf>
    <xf numFmtId="9" fontId="31" fillId="34" borderId="71" xfId="35" applyFont="1" applyFill="1" applyBorder="1" applyAlignment="1">
      <alignment horizontal="center"/>
    </xf>
    <xf numFmtId="3" fontId="31" fillId="34" borderId="28" xfId="35" applyNumberFormat="1" applyFont="1" applyFill="1" applyBorder="1" applyAlignment="1">
      <alignment horizontal="center"/>
    </xf>
    <xf numFmtId="3" fontId="31" fillId="34" borderId="12" xfId="35" applyNumberFormat="1" applyFont="1" applyFill="1" applyBorder="1" applyAlignment="1">
      <alignment horizontal="center"/>
    </xf>
    <xf numFmtId="9" fontId="31" fillId="34" borderId="71" xfId="35" applyNumberFormat="1" applyFont="1" applyFill="1" applyBorder="1" applyAlignment="1">
      <alignment horizontal="center"/>
    </xf>
    <xf numFmtId="3" fontId="31" fillId="34" borderId="70" xfId="35" applyNumberFormat="1" applyFont="1" applyFill="1" applyBorder="1" applyAlignment="1">
      <alignment horizontal="center"/>
    </xf>
    <xf numFmtId="0" fontId="41" fillId="49" borderId="11" xfId="33" applyFont="1" applyFill="1" applyBorder="1"/>
    <xf numFmtId="0" fontId="68" fillId="49" borderId="11" xfId="33" applyFont="1" applyFill="1" applyBorder="1"/>
    <xf numFmtId="167" fontId="68" fillId="49" borderId="11" xfId="31" applyFont="1" applyFill="1" applyBorder="1"/>
    <xf numFmtId="0" fontId="68" fillId="49" borderId="11" xfId="31" applyNumberFormat="1" applyFont="1" applyFill="1" applyBorder="1" applyAlignment="1">
      <alignment horizontal="center"/>
    </xf>
    <xf numFmtId="0" fontId="68" fillId="49" borderId="13" xfId="31" applyNumberFormat="1" applyFont="1" applyFill="1" applyBorder="1" applyAlignment="1">
      <alignment horizontal="center"/>
    </xf>
    <xf numFmtId="167" fontId="68" fillId="49" borderId="11" xfId="31" applyFont="1" applyFill="1" applyBorder="1" applyAlignment="1">
      <alignment horizontal="center"/>
    </xf>
    <xf numFmtId="167" fontId="68" fillId="49" borderId="10" xfId="31" applyFont="1" applyFill="1" applyBorder="1"/>
    <xf numFmtId="167" fontId="71" fillId="49" borderId="51" xfId="31" applyFont="1" applyFill="1" applyBorder="1"/>
    <xf numFmtId="167" fontId="68" fillId="49" borderId="34" xfId="31" applyFont="1" applyFill="1" applyBorder="1"/>
    <xf numFmtId="9" fontId="68" fillId="49" borderId="43" xfId="35" applyFont="1" applyFill="1" applyBorder="1" applyAlignment="1">
      <alignment horizontal="center"/>
    </xf>
    <xf numFmtId="167" fontId="68" fillId="49" borderId="46" xfId="31" applyFont="1" applyFill="1" applyBorder="1"/>
    <xf numFmtId="9" fontId="68" fillId="49" borderId="65" xfId="35" applyFont="1" applyFill="1" applyBorder="1" applyAlignment="1">
      <alignment horizontal="center" vertical="center"/>
    </xf>
    <xf numFmtId="9" fontId="68" fillId="49" borderId="65" xfId="35" applyFont="1" applyFill="1" applyBorder="1" applyAlignment="1">
      <alignment horizontal="center"/>
    </xf>
    <xf numFmtId="3" fontId="68" fillId="49" borderId="34" xfId="35" applyNumberFormat="1" applyFont="1" applyFill="1" applyBorder="1" applyAlignment="1">
      <alignment horizontal="center"/>
    </xf>
    <xf numFmtId="3" fontId="68" fillId="49" borderId="11" xfId="35" applyNumberFormat="1" applyFont="1" applyFill="1" applyBorder="1" applyAlignment="1">
      <alignment horizontal="center"/>
    </xf>
    <xf numFmtId="9" fontId="68" fillId="49" borderId="65" xfId="35" applyNumberFormat="1" applyFont="1" applyFill="1" applyBorder="1" applyAlignment="1">
      <alignment horizontal="center"/>
    </xf>
    <xf numFmtId="3" fontId="68" fillId="49" borderId="64" xfId="35" applyNumberFormat="1" applyFont="1" applyFill="1" applyBorder="1" applyAlignment="1">
      <alignment horizontal="center"/>
    </xf>
    <xf numFmtId="165" fontId="68" fillId="49" borderId="14" xfId="33" applyNumberFormat="1" applyFont="1" applyFill="1" applyBorder="1"/>
    <xf numFmtId="0" fontId="20" fillId="0" borderId="10" xfId="31" applyNumberFormat="1" applyFont="1" applyBorder="1"/>
    <xf numFmtId="0" fontId="75" fillId="58" borderId="11" xfId="33" applyFont="1" applyFill="1" applyBorder="1"/>
    <xf numFmtId="167" fontId="75" fillId="58" borderId="11" xfId="31" applyFont="1" applyFill="1" applyBorder="1"/>
    <xf numFmtId="0" fontId="75" fillId="58" borderId="11" xfId="31" applyNumberFormat="1" applyFont="1" applyFill="1" applyBorder="1" applyAlignment="1">
      <alignment horizontal="center"/>
    </xf>
    <xf numFmtId="0" fontId="75" fillId="58" borderId="13" xfId="31" applyNumberFormat="1" applyFont="1" applyFill="1" applyBorder="1" applyAlignment="1">
      <alignment horizontal="center"/>
    </xf>
    <xf numFmtId="167" fontId="75" fillId="58" borderId="11" xfId="31" applyFont="1" applyFill="1" applyBorder="1" applyAlignment="1">
      <alignment horizontal="center"/>
    </xf>
    <xf numFmtId="167" fontId="75" fillId="58" borderId="10" xfId="31" applyFont="1" applyFill="1" applyBorder="1"/>
    <xf numFmtId="167" fontId="76" fillId="58" borderId="51" xfId="31" applyFont="1" applyFill="1" applyBorder="1"/>
    <xf numFmtId="167" fontId="75" fillId="58" borderId="34" xfId="31" applyFont="1" applyFill="1" applyBorder="1"/>
    <xf numFmtId="9" fontId="75" fillId="58" borderId="43" xfId="35" applyFont="1" applyFill="1" applyBorder="1" applyAlignment="1">
      <alignment horizontal="center"/>
    </xf>
    <xf numFmtId="167" fontId="75" fillId="58" borderId="46" xfId="31" applyFont="1" applyFill="1" applyBorder="1"/>
    <xf numFmtId="9" fontId="75" fillId="58" borderId="65" xfId="35" applyFont="1" applyFill="1" applyBorder="1" applyAlignment="1">
      <alignment horizontal="center" vertical="center"/>
    </xf>
    <xf numFmtId="9" fontId="75" fillId="58" borderId="65" xfId="35" applyFont="1" applyFill="1" applyBorder="1" applyAlignment="1">
      <alignment horizontal="center"/>
    </xf>
    <xf numFmtId="3" fontId="75" fillId="58" borderId="34" xfId="35" applyNumberFormat="1" applyFont="1" applyFill="1" applyBorder="1" applyAlignment="1">
      <alignment horizontal="center"/>
    </xf>
    <xf numFmtId="3" fontId="75" fillId="58" borderId="11" xfId="35" applyNumberFormat="1" applyFont="1" applyFill="1" applyBorder="1" applyAlignment="1">
      <alignment horizontal="center"/>
    </xf>
    <xf numFmtId="9" fontId="75" fillId="58" borderId="65" xfId="35" applyNumberFormat="1" applyFont="1" applyFill="1" applyBorder="1" applyAlignment="1">
      <alignment horizontal="center"/>
    </xf>
    <xf numFmtId="3" fontId="75" fillId="58" borderId="64" xfId="35" applyNumberFormat="1" applyFont="1" applyFill="1" applyBorder="1" applyAlignment="1">
      <alignment horizontal="center"/>
    </xf>
    <xf numFmtId="165" fontId="75" fillId="58" borderId="14" xfId="33" applyNumberFormat="1" applyFont="1" applyFill="1" applyBorder="1"/>
    <xf numFmtId="0" fontId="41" fillId="58" borderId="11" xfId="33" applyFont="1" applyFill="1" applyBorder="1"/>
    <xf numFmtId="3" fontId="20" fillId="0" borderId="74" xfId="35" applyNumberFormat="1" applyFont="1" applyBorder="1" applyAlignment="1">
      <alignment horizontal="center"/>
    </xf>
    <xf numFmtId="167" fontId="23" fillId="34" borderId="10" xfId="31" applyFont="1" applyFill="1" applyBorder="1"/>
    <xf numFmtId="0" fontId="23" fillId="34" borderId="16" xfId="31" applyNumberFormat="1" applyFont="1" applyFill="1" applyBorder="1" applyAlignment="1">
      <alignment horizontal="center"/>
    </xf>
    <xf numFmtId="167" fontId="23" fillId="34" borderId="16" xfId="31" applyNumberFormat="1" applyFont="1" applyFill="1" applyBorder="1" applyAlignment="1">
      <alignment horizontal="center"/>
    </xf>
    <xf numFmtId="167" fontId="23" fillId="34" borderId="29" xfId="31" applyNumberFormat="1" applyFont="1" applyFill="1" applyBorder="1" applyAlignment="1">
      <alignment horizontal="center"/>
    </xf>
    <xf numFmtId="167" fontId="23" fillId="34" borderId="53" xfId="31" applyNumberFormat="1" applyFont="1" applyFill="1" applyBorder="1" applyAlignment="1">
      <alignment horizontal="center"/>
    </xf>
    <xf numFmtId="167" fontId="23" fillId="34" borderId="30" xfId="31" applyNumberFormat="1" applyFont="1" applyFill="1" applyBorder="1" applyAlignment="1">
      <alignment horizontal="center"/>
    </xf>
    <xf numFmtId="9" fontId="23" fillId="34" borderId="72" xfId="35" applyFont="1" applyFill="1" applyBorder="1" applyAlignment="1">
      <alignment horizontal="center"/>
    </xf>
    <xf numFmtId="167" fontId="23" fillId="34" borderId="48" xfId="31" applyNumberFormat="1" applyFont="1" applyFill="1" applyBorder="1" applyAlignment="1">
      <alignment horizontal="center"/>
    </xf>
    <xf numFmtId="167" fontId="23" fillId="34" borderId="62" xfId="31" applyNumberFormat="1" applyFont="1" applyFill="1" applyBorder="1" applyAlignment="1">
      <alignment horizontal="center"/>
    </xf>
    <xf numFmtId="9" fontId="23" fillId="34" borderId="67" xfId="35" applyFont="1" applyFill="1" applyBorder="1" applyAlignment="1">
      <alignment horizontal="center" vertical="center"/>
    </xf>
    <xf numFmtId="9" fontId="23" fillId="34" borderId="67" xfId="35" applyFont="1" applyFill="1" applyBorder="1" applyAlignment="1">
      <alignment horizontal="center"/>
    </xf>
    <xf numFmtId="3" fontId="23" fillId="34" borderId="30" xfId="35" applyNumberFormat="1" applyFont="1" applyFill="1" applyBorder="1" applyAlignment="1">
      <alignment horizontal="center"/>
    </xf>
    <xf numFmtId="3" fontId="23" fillId="34" borderId="62" xfId="35" applyNumberFormat="1" applyFont="1" applyFill="1" applyBorder="1" applyAlignment="1">
      <alignment horizontal="center"/>
    </xf>
    <xf numFmtId="9" fontId="23" fillId="34" borderId="67" xfId="35" applyNumberFormat="1" applyFont="1" applyFill="1" applyBorder="1" applyAlignment="1">
      <alignment horizontal="center"/>
    </xf>
    <xf numFmtId="3" fontId="23" fillId="34" borderId="66" xfId="35" applyNumberFormat="1" applyFont="1" applyFill="1" applyBorder="1" applyAlignment="1">
      <alignment horizontal="center"/>
    </xf>
    <xf numFmtId="167" fontId="23" fillId="34" borderId="31" xfId="31" applyNumberFormat="1" applyFont="1" applyFill="1" applyBorder="1" applyAlignment="1">
      <alignment horizontal="center"/>
    </xf>
    <xf numFmtId="3" fontId="20" fillId="24" borderId="11" xfId="33" applyNumberFormat="1" applyFont="1" applyFill="1" applyBorder="1" applyAlignment="1">
      <alignment horizontal="center"/>
    </xf>
    <xf numFmtId="4" fontId="75" fillId="35" borderId="11" xfId="33" applyNumberFormat="1" applyFont="1" applyFill="1" applyBorder="1"/>
    <xf numFmtId="167" fontId="20" fillId="35" borderId="11" xfId="31" applyFont="1" applyFill="1" applyBorder="1"/>
    <xf numFmtId="167" fontId="26" fillId="34" borderId="11" xfId="31" applyFont="1" applyFill="1" applyBorder="1" applyAlignment="1">
      <alignment horizontal="right" vertical="center"/>
    </xf>
    <xf numFmtId="167" fontId="26" fillId="25" borderId="11" xfId="31" applyFont="1" applyFill="1" applyBorder="1" applyAlignment="1">
      <alignment horizontal="right"/>
    </xf>
    <xf numFmtId="4" fontId="28" fillId="34" borderId="11" xfId="33" applyNumberFormat="1" applyFont="1" applyFill="1" applyBorder="1"/>
    <xf numFmtId="4" fontId="29" fillId="34" borderId="11" xfId="33" applyNumberFormat="1" applyFont="1" applyFill="1" applyBorder="1"/>
    <xf numFmtId="4" fontId="30" fillId="34" borderId="11" xfId="33" applyNumberFormat="1" applyFont="1" applyFill="1" applyBorder="1"/>
    <xf numFmtId="4" fontId="30" fillId="34" borderId="11" xfId="31" applyNumberFormat="1" applyFont="1" applyFill="1" applyBorder="1"/>
    <xf numFmtId="4" fontId="41" fillId="34" borderId="11" xfId="33" applyNumberFormat="1" applyFont="1" applyFill="1" applyBorder="1"/>
    <xf numFmtId="4" fontId="31" fillId="34" borderId="11" xfId="33" applyNumberFormat="1" applyFont="1" applyFill="1" applyBorder="1"/>
    <xf numFmtId="167" fontId="24" fillId="35" borderId="62" xfId="31" applyNumberFormat="1" applyFont="1" applyFill="1" applyBorder="1" applyAlignment="1">
      <alignment horizontal="center"/>
    </xf>
    <xf numFmtId="167" fontId="60" fillId="35" borderId="62" xfId="31" applyNumberFormat="1" applyFont="1" applyFill="1" applyBorder="1" applyAlignment="1">
      <alignment horizontal="center"/>
    </xf>
    <xf numFmtId="4" fontId="68" fillId="49" borderId="11" xfId="33" applyNumberFormat="1" applyFont="1" applyFill="1" applyBorder="1"/>
    <xf numFmtId="167" fontId="71" fillId="35" borderId="62" xfId="31" applyNumberFormat="1" applyFont="1" applyFill="1" applyBorder="1" applyAlignment="1">
      <alignment horizontal="center"/>
    </xf>
    <xf numFmtId="4" fontId="75" fillId="58" borderId="11" xfId="33" applyNumberFormat="1" applyFont="1" applyFill="1" applyBorder="1"/>
    <xf numFmtId="167" fontId="76" fillId="35" borderId="62" xfId="31" applyNumberFormat="1" applyFont="1" applyFill="1" applyBorder="1" applyAlignment="1">
      <alignment horizontal="center"/>
    </xf>
    <xf numFmtId="167" fontId="75" fillId="35" borderId="62" xfId="31" applyNumberFormat="1" applyFont="1" applyFill="1" applyBorder="1" applyAlignment="1">
      <alignment horizontal="center"/>
    </xf>
    <xf numFmtId="9" fontId="20" fillId="35" borderId="64" xfId="35" applyFont="1" applyFill="1" applyBorder="1" applyAlignment="1">
      <alignment horizontal="center" vertical="center" wrapText="1"/>
    </xf>
    <xf numFmtId="9" fontId="20" fillId="35" borderId="11" xfId="35" applyFont="1" applyFill="1" applyBorder="1" applyAlignment="1">
      <alignment horizontal="center" vertical="center" wrapText="1"/>
    </xf>
    <xf numFmtId="0" fontId="31" fillId="36" borderId="11" xfId="33" applyFont="1" applyFill="1" applyBorder="1"/>
    <xf numFmtId="167" fontId="31" fillId="36" borderId="11" xfId="31" applyFont="1" applyFill="1" applyBorder="1"/>
    <xf numFmtId="0" fontId="31" fillId="36" borderId="11" xfId="31" applyNumberFormat="1" applyFont="1" applyFill="1" applyBorder="1" applyAlignment="1">
      <alignment horizontal="center"/>
    </xf>
    <xf numFmtId="0" fontId="31" fillId="36" borderId="13" xfId="31" applyNumberFormat="1" applyFont="1" applyFill="1" applyBorder="1" applyAlignment="1">
      <alignment horizontal="center"/>
    </xf>
    <xf numFmtId="167" fontId="31" fillId="36" borderId="11" xfId="31" applyFont="1" applyFill="1" applyBorder="1" applyAlignment="1">
      <alignment horizontal="center"/>
    </xf>
    <xf numFmtId="165" fontId="31" fillId="36" borderId="10" xfId="31" applyNumberFormat="1" applyFont="1" applyFill="1" applyBorder="1"/>
    <xf numFmtId="167" fontId="23" fillId="36" borderId="51" xfId="31" applyFont="1" applyFill="1" applyBorder="1"/>
    <xf numFmtId="167" fontId="31" fillId="36" borderId="34" xfId="31" applyFont="1" applyFill="1" applyBorder="1"/>
    <xf numFmtId="9" fontId="31" fillId="36" borderId="43" xfId="35" applyFont="1" applyFill="1" applyBorder="1" applyAlignment="1">
      <alignment horizontal="center"/>
    </xf>
    <xf numFmtId="167" fontId="31" fillId="36" borderId="46" xfId="31" applyFont="1" applyFill="1" applyBorder="1"/>
    <xf numFmtId="9" fontId="31" fillId="36" borderId="65" xfId="35" applyFont="1" applyFill="1" applyBorder="1" applyAlignment="1">
      <alignment horizontal="center" vertical="center"/>
    </xf>
    <xf numFmtId="9" fontId="31" fillId="36" borderId="65" xfId="35" applyFont="1" applyFill="1" applyBorder="1" applyAlignment="1">
      <alignment horizontal="center"/>
    </xf>
    <xf numFmtId="3" fontId="31" fillId="36" borderId="34" xfId="35" applyNumberFormat="1" applyFont="1" applyFill="1" applyBorder="1" applyAlignment="1">
      <alignment horizontal="center"/>
    </xf>
    <xf numFmtId="3" fontId="31" fillId="36" borderId="11" xfId="35" applyNumberFormat="1" applyFont="1" applyFill="1" applyBorder="1" applyAlignment="1">
      <alignment horizontal="center"/>
    </xf>
    <xf numFmtId="9" fontId="31" fillId="36" borderId="65" xfId="35" applyNumberFormat="1" applyFont="1" applyFill="1" applyBorder="1" applyAlignment="1">
      <alignment horizontal="center"/>
    </xf>
    <xf numFmtId="3" fontId="31" fillId="36" borderId="64" xfId="35" applyNumberFormat="1" applyFont="1" applyFill="1" applyBorder="1" applyAlignment="1">
      <alignment horizontal="center"/>
    </xf>
    <xf numFmtId="165" fontId="31" fillId="36" borderId="14" xfId="33" applyNumberFormat="1" applyFont="1" applyFill="1" applyBorder="1"/>
    <xf numFmtId="167" fontId="60" fillId="34" borderId="51" xfId="31" applyFont="1" applyFill="1" applyBorder="1"/>
    <xf numFmtId="0" fontId="20" fillId="58" borderId="41" xfId="33" applyFont="1" applyFill="1" applyBorder="1" applyAlignment="1">
      <alignment horizontal="center"/>
    </xf>
    <xf numFmtId="168" fontId="20" fillId="58" borderId="25" xfId="33" applyNumberFormat="1" applyFont="1" applyFill="1" applyBorder="1"/>
    <xf numFmtId="0" fontId="9" fillId="58" borderId="33" xfId="33" applyFont="1" applyFill="1" applyBorder="1"/>
    <xf numFmtId="0" fontId="25" fillId="44" borderId="0" xfId="33" applyFont="1" applyFill="1" applyAlignment="1">
      <alignment horizontal="center"/>
    </xf>
    <xf numFmtId="164" fontId="48" fillId="44" borderId="0" xfId="33" applyNumberFormat="1" applyFont="1" applyFill="1"/>
    <xf numFmtId="0" fontId="48" fillId="58" borderId="17" xfId="46" applyNumberFormat="1" applyFont="1" applyFill="1" applyBorder="1" applyAlignment="1">
      <alignment horizontal="center"/>
    </xf>
    <xf numFmtId="9" fontId="48" fillId="58" borderId="19" xfId="46" applyNumberFormat="1" applyFont="1" applyFill="1" applyBorder="1" applyAlignment="1">
      <alignment horizontal="center"/>
    </xf>
    <xf numFmtId="164" fontId="48" fillId="58" borderId="17" xfId="33" applyNumberFormat="1" applyFont="1" applyFill="1" applyBorder="1" applyAlignment="1"/>
    <xf numFmtId="9" fontId="48" fillId="58" borderId="19" xfId="33" applyNumberFormat="1" applyFont="1" applyFill="1" applyBorder="1" applyAlignment="1">
      <alignment horizontal="center"/>
    </xf>
    <xf numFmtId="0" fontId="48" fillId="58" borderId="20" xfId="46" applyNumberFormat="1" applyFont="1" applyFill="1" applyBorder="1" applyAlignment="1">
      <alignment horizontal="center"/>
    </xf>
    <xf numFmtId="9" fontId="48" fillId="58" borderId="21" xfId="46" applyNumberFormat="1" applyFont="1" applyFill="1" applyBorder="1" applyAlignment="1">
      <alignment horizontal="center"/>
    </xf>
    <xf numFmtId="164" fontId="48" fillId="58" borderId="20" xfId="33" applyNumberFormat="1" applyFont="1" applyFill="1" applyBorder="1" applyAlignment="1"/>
    <xf numFmtId="9" fontId="48" fillId="58" borderId="21" xfId="33" applyNumberFormat="1" applyFont="1" applyFill="1" applyBorder="1" applyAlignment="1">
      <alignment horizontal="center"/>
    </xf>
    <xf numFmtId="164" fontId="48" fillId="58" borderId="0" xfId="33" applyNumberFormat="1" applyFont="1" applyFill="1" applyBorder="1" applyAlignment="1">
      <alignment horizontal="center"/>
    </xf>
    <xf numFmtId="9" fontId="48" fillId="58" borderId="0" xfId="33" applyNumberFormat="1" applyFont="1" applyFill="1" applyBorder="1" applyAlignment="1">
      <alignment horizontal="center"/>
    </xf>
    <xf numFmtId="164" fontId="25" fillId="58" borderId="29" xfId="33" applyNumberFormat="1" applyFont="1" applyFill="1" applyBorder="1" applyAlignment="1"/>
    <xf numFmtId="9" fontId="25" fillId="58" borderId="31" xfId="33" applyNumberFormat="1" applyFont="1" applyFill="1" applyBorder="1" applyAlignment="1">
      <alignment horizontal="center"/>
    </xf>
    <xf numFmtId="167" fontId="9" fillId="36" borderId="11" xfId="31" applyFont="1" applyFill="1" applyBorder="1"/>
    <xf numFmtId="0" fontId="9" fillId="36" borderId="11" xfId="31" applyNumberFormat="1" applyFont="1" applyFill="1" applyBorder="1" applyAlignment="1">
      <alignment horizontal="center"/>
    </xf>
    <xf numFmtId="0" fontId="9" fillId="36" borderId="13" xfId="31" applyNumberFormat="1" applyFont="1" applyFill="1" applyBorder="1" applyAlignment="1">
      <alignment horizontal="center"/>
    </xf>
    <xf numFmtId="167" fontId="9" fillId="36" borderId="11" xfId="31" applyFont="1" applyFill="1" applyBorder="1" applyAlignment="1">
      <alignment horizontal="center"/>
    </xf>
    <xf numFmtId="167" fontId="9" fillId="0" borderId="34" xfId="31" applyFont="1" applyBorder="1"/>
    <xf numFmtId="9" fontId="9" fillId="0" borderId="43" xfId="35" applyFont="1" applyBorder="1" applyAlignment="1">
      <alignment horizontal="center"/>
    </xf>
    <xf numFmtId="167" fontId="9" fillId="0" borderId="46" xfId="31" applyFont="1" applyBorder="1"/>
    <xf numFmtId="167" fontId="9" fillId="0" borderId="11" xfId="31" applyFont="1" applyBorder="1"/>
    <xf numFmtId="9" fontId="9" fillId="0" borderId="65" xfId="35" applyFont="1" applyBorder="1" applyAlignment="1">
      <alignment horizontal="center" vertical="center"/>
    </xf>
    <xf numFmtId="9" fontId="9" fillId="0" borderId="65" xfId="35" applyFont="1" applyBorder="1" applyAlignment="1">
      <alignment horizontal="center"/>
    </xf>
    <xf numFmtId="3" fontId="9" fillId="0" borderId="34" xfId="35" applyNumberFormat="1" applyFont="1" applyBorder="1" applyAlignment="1">
      <alignment horizontal="center"/>
    </xf>
    <xf numFmtId="3" fontId="9" fillId="0" borderId="11" xfId="35" applyNumberFormat="1" applyFont="1" applyBorder="1" applyAlignment="1">
      <alignment horizontal="center"/>
    </xf>
    <xf numFmtId="9" fontId="9" fillId="0" borderId="65" xfId="35" applyNumberFormat="1" applyFont="1" applyBorder="1" applyAlignment="1">
      <alignment horizontal="center"/>
    </xf>
    <xf numFmtId="3" fontId="9" fillId="0" borderId="64" xfId="35" applyNumberFormat="1" applyFont="1" applyBorder="1" applyAlignment="1">
      <alignment horizontal="center"/>
    </xf>
    <xf numFmtId="4" fontId="9" fillId="35" borderId="11" xfId="33" applyNumberFormat="1" applyFont="1" applyFill="1" applyBorder="1"/>
    <xf numFmtId="9" fontId="9" fillId="36" borderId="43" xfId="35" applyFont="1" applyFill="1" applyBorder="1" applyAlignment="1">
      <alignment horizontal="center"/>
    </xf>
    <xf numFmtId="165" fontId="9" fillId="0" borderId="14" xfId="33" applyNumberFormat="1" applyFont="1" applyFill="1" applyBorder="1"/>
    <xf numFmtId="0" fontId="9" fillId="36" borderId="11" xfId="33" applyFont="1" applyFill="1" applyBorder="1"/>
    <xf numFmtId="0" fontId="9" fillId="36" borderId="0" xfId="33" applyFont="1" applyFill="1"/>
    <xf numFmtId="0" fontId="42" fillId="0" borderId="17" xfId="33" applyFont="1" applyBorder="1"/>
    <xf numFmtId="0" fontId="42" fillId="0" borderId="18" xfId="33" applyFont="1" applyBorder="1"/>
    <xf numFmtId="0" fontId="91" fillId="0" borderId="18" xfId="33" applyFont="1" applyBorder="1" applyAlignment="1">
      <alignment horizontal="center" vertical="center"/>
    </xf>
    <xf numFmtId="0" fontId="91" fillId="0" borderId="19" xfId="33" applyFont="1" applyBorder="1" applyAlignment="1">
      <alignment horizontal="center" vertical="center"/>
    </xf>
    <xf numFmtId="0" fontId="86" fillId="0" borderId="20" xfId="0" applyFont="1" applyBorder="1"/>
    <xf numFmtId="0" fontId="30" fillId="0" borderId="0" xfId="33" applyFont="1" applyBorder="1"/>
    <xf numFmtId="9" fontId="86" fillId="0" borderId="0" xfId="35" applyFont="1" applyBorder="1"/>
    <xf numFmtId="9" fontId="41" fillId="0" borderId="21" xfId="33" applyNumberFormat="1" applyFont="1" applyBorder="1"/>
    <xf numFmtId="0" fontId="59" fillId="0" borderId="0" xfId="33" applyFont="1" applyBorder="1"/>
    <xf numFmtId="0" fontId="22" fillId="0" borderId="0" xfId="33" applyFont="1" applyBorder="1"/>
    <xf numFmtId="0" fontId="31" fillId="0" borderId="0" xfId="33" applyFont="1" applyBorder="1"/>
    <xf numFmtId="0" fontId="9" fillId="0" borderId="0" xfId="33" applyFont="1" applyBorder="1"/>
    <xf numFmtId="0" fontId="20" fillId="0" borderId="0" xfId="33" applyFont="1" applyBorder="1"/>
    <xf numFmtId="0" fontId="42" fillId="0" borderId="0" xfId="33" applyFont="1" applyBorder="1"/>
    <xf numFmtId="0" fontId="31" fillId="0" borderId="0" xfId="33" applyFont="1" applyFill="1" applyBorder="1"/>
    <xf numFmtId="0" fontId="42" fillId="0" borderId="0" xfId="33" applyFont="1" applyFill="1" applyBorder="1"/>
    <xf numFmtId="0" fontId="68" fillId="0" borderId="0" xfId="33" applyFont="1" applyBorder="1"/>
    <xf numFmtId="0" fontId="20" fillId="0" borderId="23" xfId="33" applyFont="1" applyBorder="1"/>
    <xf numFmtId="0" fontId="20" fillId="0" borderId="22" xfId="33" applyFont="1" applyBorder="1"/>
    <xf numFmtId="9" fontId="20" fillId="0" borderId="22" xfId="33" applyNumberFormat="1" applyFont="1" applyBorder="1"/>
    <xf numFmtId="0" fontId="20" fillId="0" borderId="24" xfId="33" applyFont="1" applyBorder="1"/>
    <xf numFmtId="0" fontId="86" fillId="0" borderId="23" xfId="0" applyFont="1" applyBorder="1"/>
    <xf numFmtId="0" fontId="68" fillId="0" borderId="22" xfId="33" applyFont="1" applyBorder="1"/>
    <xf numFmtId="9" fontId="86" fillId="0" borderId="22" xfId="35" applyFont="1" applyBorder="1"/>
    <xf numFmtId="9" fontId="41" fillId="0" borderId="24" xfId="33" applyNumberFormat="1" applyFont="1" applyBorder="1"/>
    <xf numFmtId="9" fontId="86" fillId="0" borderId="20" xfId="0" applyNumberFormat="1" applyFont="1" applyBorder="1" applyAlignment="1">
      <alignment horizontal="left"/>
    </xf>
    <xf numFmtId="0" fontId="0" fillId="0" borderId="0" xfId="0" applyBorder="1"/>
    <xf numFmtId="9" fontId="9" fillId="0" borderId="0" xfId="35" applyFont="1" applyBorder="1"/>
    <xf numFmtId="0" fontId="9" fillId="0" borderId="20" xfId="33" applyFont="1" applyBorder="1"/>
    <xf numFmtId="0" fontId="9" fillId="0" borderId="23" xfId="33" applyFont="1" applyBorder="1"/>
    <xf numFmtId="0" fontId="9" fillId="0" borderId="22" xfId="33" applyFont="1" applyBorder="1"/>
    <xf numFmtId="9" fontId="9" fillId="0" borderId="24" xfId="35" applyFont="1" applyBorder="1"/>
    <xf numFmtId="9" fontId="86" fillId="0" borderId="20" xfId="35" applyFont="1" applyBorder="1" applyAlignment="1">
      <alignment horizontal="left"/>
    </xf>
    <xf numFmtId="9" fontId="20" fillId="0" borderId="22" xfId="35" applyFont="1" applyBorder="1"/>
    <xf numFmtId="167" fontId="76" fillId="49" borderId="51" xfId="31" applyFont="1" applyFill="1" applyBorder="1"/>
    <xf numFmtId="0" fontId="20" fillId="60" borderId="11" xfId="33" applyFont="1" applyFill="1" applyBorder="1" applyAlignment="1">
      <alignment horizontal="center" vertical="center" wrapText="1"/>
    </xf>
    <xf numFmtId="4" fontId="20" fillId="60" borderId="11" xfId="33" applyNumberFormat="1" applyFont="1" applyFill="1" applyBorder="1" applyAlignment="1">
      <alignment horizontal="center" vertical="center" wrapText="1"/>
    </xf>
    <xf numFmtId="9" fontId="20" fillId="60" borderId="43" xfId="35" applyFont="1" applyFill="1" applyBorder="1" applyAlignment="1">
      <alignment horizontal="center" vertical="center" wrapText="1"/>
    </xf>
    <xf numFmtId="3" fontId="75" fillId="58" borderId="63" xfId="35" applyNumberFormat="1" applyFont="1" applyFill="1" applyBorder="1" applyAlignment="1">
      <alignment horizontal="center"/>
    </xf>
    <xf numFmtId="0" fontId="81" fillId="35" borderId="19" xfId="33" applyFont="1" applyFill="1" applyBorder="1" applyAlignment="1">
      <alignment horizontal="center"/>
    </xf>
    <xf numFmtId="168" fontId="81" fillId="35" borderId="21" xfId="33" applyNumberFormat="1" applyFont="1" applyFill="1" applyBorder="1"/>
    <xf numFmtId="0" fontId="41" fillId="35" borderId="24" xfId="33" applyFont="1" applyFill="1" applyBorder="1"/>
    <xf numFmtId="0" fontId="20" fillId="60" borderId="41" xfId="33" applyFont="1" applyFill="1" applyBorder="1" applyAlignment="1">
      <alignment horizontal="center"/>
    </xf>
    <xf numFmtId="0" fontId="20" fillId="60" borderId="25" xfId="33" applyFont="1" applyFill="1" applyBorder="1" applyAlignment="1">
      <alignment horizontal="center"/>
    </xf>
    <xf numFmtId="0" fontId="20" fillId="60" borderId="33" xfId="33" applyFont="1" applyFill="1" applyBorder="1" applyAlignment="1">
      <alignment horizontal="center"/>
    </xf>
    <xf numFmtId="9" fontId="48" fillId="49" borderId="0" xfId="33" applyNumberFormat="1" applyFont="1" applyFill="1" applyBorder="1" applyAlignment="1">
      <alignment horizontal="center"/>
    </xf>
    <xf numFmtId="164" fontId="48" fillId="0" borderId="17" xfId="33" applyNumberFormat="1" applyFont="1" applyFill="1" applyBorder="1" applyAlignment="1"/>
    <xf numFmtId="9" fontId="48" fillId="0" borderId="19" xfId="33" applyNumberFormat="1" applyFont="1" applyFill="1" applyBorder="1" applyAlignment="1">
      <alignment horizontal="center"/>
    </xf>
    <xf numFmtId="164" fontId="48" fillId="0" borderId="20" xfId="33" applyNumberFormat="1" applyFont="1" applyFill="1" applyBorder="1" applyAlignment="1"/>
    <xf numFmtId="9" fontId="48" fillId="0" borderId="21" xfId="33" applyNumberFormat="1" applyFont="1" applyFill="1" applyBorder="1" applyAlignment="1">
      <alignment horizontal="center"/>
    </xf>
    <xf numFmtId="164" fontId="25" fillId="0" borderId="29" xfId="33" applyNumberFormat="1" applyFont="1" applyFill="1" applyBorder="1" applyAlignment="1"/>
    <xf numFmtId="9" fontId="25" fillId="0" borderId="31" xfId="33" applyNumberFormat="1" applyFont="1" applyFill="1" applyBorder="1" applyAlignment="1">
      <alignment horizontal="center"/>
    </xf>
    <xf numFmtId="0" fontId="25" fillId="40" borderId="0" xfId="33" applyFont="1" applyFill="1" applyBorder="1" applyAlignment="1">
      <alignment horizontal="center"/>
    </xf>
    <xf numFmtId="9" fontId="25" fillId="49" borderId="0" xfId="33" applyNumberFormat="1" applyFont="1" applyFill="1" applyBorder="1" applyAlignment="1">
      <alignment horizontal="center"/>
    </xf>
    <xf numFmtId="9" fontId="48" fillId="0" borderId="0" xfId="33" applyNumberFormat="1" applyFont="1" applyFill="1" applyBorder="1" applyAlignment="1">
      <alignment horizontal="center"/>
    </xf>
    <xf numFmtId="9" fontId="25" fillId="0" borderId="0" xfId="33" applyNumberFormat="1" applyFont="1" applyFill="1" applyBorder="1" applyAlignment="1">
      <alignment horizontal="center"/>
    </xf>
    <xf numFmtId="9" fontId="20" fillId="35" borderId="10" xfId="35" applyFont="1" applyFill="1" applyBorder="1" applyAlignment="1">
      <alignment horizontal="center" vertical="center" wrapText="1"/>
    </xf>
    <xf numFmtId="14" fontId="20" fillId="24" borderId="10" xfId="35" applyNumberFormat="1" applyFont="1" applyFill="1" applyBorder="1" applyAlignment="1">
      <alignment horizontal="center"/>
    </xf>
    <xf numFmtId="9" fontId="26" fillId="34" borderId="10" xfId="35" applyFont="1" applyFill="1" applyBorder="1" applyAlignment="1">
      <alignment horizontal="center"/>
    </xf>
    <xf numFmtId="9" fontId="37" fillId="34" borderId="75" xfId="35" applyFont="1" applyFill="1" applyBorder="1" applyAlignment="1">
      <alignment horizontal="center"/>
    </xf>
    <xf numFmtId="9" fontId="28" fillId="34" borderId="40" xfId="35" applyFont="1" applyFill="1" applyBorder="1" applyAlignment="1">
      <alignment horizontal="center"/>
    </xf>
    <xf numFmtId="9" fontId="28" fillId="34" borderId="10" xfId="35" applyFont="1" applyFill="1" applyBorder="1" applyAlignment="1">
      <alignment horizontal="center"/>
    </xf>
    <xf numFmtId="9" fontId="28" fillId="34" borderId="15" xfId="35" applyFont="1" applyFill="1" applyBorder="1" applyAlignment="1">
      <alignment horizontal="center"/>
    </xf>
    <xf numFmtId="9" fontId="38" fillId="34" borderId="75" xfId="35" applyFont="1" applyFill="1" applyBorder="1" applyAlignment="1">
      <alignment horizontal="center"/>
    </xf>
    <xf numFmtId="9" fontId="29" fillId="34" borderId="40" xfId="35" applyFont="1" applyFill="1" applyBorder="1" applyAlignment="1">
      <alignment horizontal="center"/>
    </xf>
    <xf numFmtId="9" fontId="29" fillId="34" borderId="10" xfId="35" applyFont="1" applyFill="1" applyBorder="1" applyAlignment="1">
      <alignment horizontal="center"/>
    </xf>
    <xf numFmtId="9" fontId="29" fillId="34" borderId="15" xfId="35" applyFont="1" applyFill="1" applyBorder="1" applyAlignment="1">
      <alignment horizontal="center"/>
    </xf>
    <xf numFmtId="9" fontId="21" fillId="34" borderId="75" xfId="35" applyFont="1" applyFill="1" applyBorder="1" applyAlignment="1">
      <alignment horizontal="center"/>
    </xf>
    <xf numFmtId="9" fontId="30" fillId="34" borderId="10" xfId="35" applyFont="1" applyFill="1" applyBorder="1" applyAlignment="1">
      <alignment horizontal="center"/>
    </xf>
    <xf numFmtId="9" fontId="41" fillId="34" borderId="10" xfId="35" applyFont="1" applyFill="1" applyBorder="1" applyAlignment="1">
      <alignment horizontal="center"/>
    </xf>
    <xf numFmtId="9" fontId="30" fillId="34" borderId="15" xfId="35" applyFont="1" applyFill="1" applyBorder="1" applyAlignment="1">
      <alignment horizontal="center"/>
    </xf>
    <xf numFmtId="9" fontId="22" fillId="34" borderId="75" xfId="35" applyFont="1" applyFill="1" applyBorder="1" applyAlignment="1">
      <alignment horizontal="center"/>
    </xf>
    <xf numFmtId="9" fontId="31" fillId="34" borderId="10" xfId="35" applyFont="1" applyFill="1" applyBorder="1" applyAlignment="1">
      <alignment horizontal="center"/>
    </xf>
    <xf numFmtId="9" fontId="31" fillId="36" borderId="10" xfId="35" applyFont="1" applyFill="1" applyBorder="1" applyAlignment="1">
      <alignment horizontal="center"/>
    </xf>
    <xf numFmtId="9" fontId="31" fillId="34" borderId="15" xfId="35" applyFont="1" applyFill="1" applyBorder="1" applyAlignment="1">
      <alignment horizontal="center"/>
    </xf>
    <xf numFmtId="9" fontId="23" fillId="34" borderId="75" xfId="35" applyFont="1" applyFill="1" applyBorder="1" applyAlignment="1">
      <alignment horizontal="center"/>
    </xf>
    <xf numFmtId="9" fontId="24" fillId="0" borderId="75" xfId="35" applyFont="1" applyFill="1" applyBorder="1" applyAlignment="1">
      <alignment horizontal="center"/>
    </xf>
    <xf numFmtId="9" fontId="60" fillId="0" borderId="75" xfId="35" applyFont="1" applyFill="1" applyBorder="1" applyAlignment="1">
      <alignment horizontal="center"/>
    </xf>
    <xf numFmtId="9" fontId="68" fillId="49" borderId="10" xfId="35" applyFont="1" applyFill="1" applyBorder="1" applyAlignment="1">
      <alignment horizontal="center"/>
    </xf>
    <xf numFmtId="9" fontId="71" fillId="0" borderId="75" xfId="35" applyFont="1" applyFill="1" applyBorder="1" applyAlignment="1">
      <alignment horizontal="center"/>
    </xf>
    <xf numFmtId="9" fontId="75" fillId="58" borderId="10" xfId="35" applyFont="1" applyFill="1" applyBorder="1" applyAlignment="1">
      <alignment horizontal="center"/>
    </xf>
    <xf numFmtId="9" fontId="76" fillId="0" borderId="75" xfId="35" applyFont="1" applyFill="1" applyBorder="1" applyAlignment="1">
      <alignment horizontal="center"/>
    </xf>
    <xf numFmtId="9" fontId="9" fillId="0" borderId="10" xfId="35" applyFont="1" applyBorder="1" applyAlignment="1">
      <alignment horizontal="center"/>
    </xf>
    <xf numFmtId="3" fontId="26" fillId="34" borderId="63" xfId="35" applyNumberFormat="1" applyFont="1" applyFill="1" applyBorder="1" applyAlignment="1">
      <alignment horizontal="center"/>
    </xf>
    <xf numFmtId="3" fontId="37" fillId="34" borderId="73" xfId="35" applyNumberFormat="1" applyFont="1" applyFill="1" applyBorder="1" applyAlignment="1">
      <alignment horizontal="center"/>
    </xf>
    <xf numFmtId="3" fontId="28" fillId="34" borderId="76" xfId="35" applyNumberFormat="1" applyFont="1" applyFill="1" applyBorder="1" applyAlignment="1">
      <alignment horizontal="center"/>
    </xf>
    <xf numFmtId="3" fontId="28" fillId="34" borderId="63" xfId="35" applyNumberFormat="1" applyFont="1" applyFill="1" applyBorder="1" applyAlignment="1">
      <alignment horizontal="center"/>
    </xf>
    <xf numFmtId="3" fontId="28" fillId="34" borderId="77" xfId="35" applyNumberFormat="1" applyFont="1" applyFill="1" applyBorder="1" applyAlignment="1">
      <alignment horizontal="center"/>
    </xf>
    <xf numFmtId="3" fontId="38" fillId="34" borderId="73" xfId="35" applyNumberFormat="1" applyFont="1" applyFill="1" applyBorder="1" applyAlignment="1">
      <alignment horizontal="center"/>
    </xf>
    <xf numFmtId="3" fontId="29" fillId="34" borderId="76" xfId="35" applyNumberFormat="1" applyFont="1" applyFill="1" applyBorder="1" applyAlignment="1">
      <alignment horizontal="center"/>
    </xf>
    <xf numFmtId="3" fontId="29" fillId="34" borderId="63" xfId="35" applyNumberFormat="1" applyFont="1" applyFill="1" applyBorder="1" applyAlignment="1">
      <alignment horizontal="center"/>
    </xf>
    <xf numFmtId="3" fontId="29" fillId="34" borderId="77" xfId="35" applyNumberFormat="1" applyFont="1" applyFill="1" applyBorder="1" applyAlignment="1">
      <alignment horizontal="center"/>
    </xf>
    <xf numFmtId="3" fontId="21" fillId="34" borderId="73" xfId="35" applyNumberFormat="1" applyFont="1" applyFill="1" applyBorder="1" applyAlignment="1">
      <alignment horizontal="center"/>
    </xf>
    <xf numFmtId="3" fontId="30" fillId="34" borderId="63" xfId="35" applyNumberFormat="1" applyFont="1" applyFill="1" applyBorder="1" applyAlignment="1">
      <alignment horizontal="center"/>
    </xf>
    <xf numFmtId="3" fontId="41" fillId="34" borderId="63" xfId="35" applyNumberFormat="1" applyFont="1" applyFill="1" applyBorder="1" applyAlignment="1">
      <alignment horizontal="center"/>
    </xf>
    <xf numFmtId="3" fontId="30" fillId="34" borderId="77" xfId="35" applyNumberFormat="1" applyFont="1" applyFill="1" applyBorder="1" applyAlignment="1">
      <alignment horizontal="center"/>
    </xf>
    <xf numFmtId="3" fontId="22" fillId="34" borderId="73" xfId="35" applyNumberFormat="1" applyFont="1" applyFill="1" applyBorder="1" applyAlignment="1">
      <alignment horizontal="center"/>
    </xf>
    <xf numFmtId="3" fontId="31" fillId="34" borderId="63" xfId="35" applyNumberFormat="1" applyFont="1" applyFill="1" applyBorder="1" applyAlignment="1">
      <alignment horizontal="center"/>
    </xf>
    <xf numFmtId="3" fontId="31" fillId="36" borderId="63" xfId="35" applyNumberFormat="1" applyFont="1" applyFill="1" applyBorder="1" applyAlignment="1">
      <alignment horizontal="center"/>
    </xf>
    <xf numFmtId="3" fontId="31" fillId="34" borderId="77" xfId="35" applyNumberFormat="1" applyFont="1" applyFill="1" applyBorder="1" applyAlignment="1">
      <alignment horizontal="center"/>
    </xf>
    <xf numFmtId="3" fontId="23" fillId="34" borderId="73" xfId="35" applyNumberFormat="1" applyFont="1" applyFill="1" applyBorder="1" applyAlignment="1">
      <alignment horizontal="center"/>
    </xf>
    <xf numFmtId="3" fontId="24" fillId="0" borderId="73" xfId="35" applyNumberFormat="1" applyFont="1" applyFill="1" applyBorder="1" applyAlignment="1">
      <alignment horizontal="center"/>
    </xf>
    <xf numFmtId="3" fontId="60" fillId="0" borderId="73" xfId="35" applyNumberFormat="1" applyFont="1" applyFill="1" applyBorder="1" applyAlignment="1">
      <alignment horizontal="center"/>
    </xf>
    <xf numFmtId="3" fontId="68" fillId="49" borderId="63" xfId="35" applyNumberFormat="1" applyFont="1" applyFill="1" applyBorder="1" applyAlignment="1">
      <alignment horizontal="center"/>
    </xf>
    <xf numFmtId="3" fontId="71" fillId="0" borderId="73" xfId="35" applyNumberFormat="1" applyFont="1" applyFill="1" applyBorder="1" applyAlignment="1">
      <alignment horizontal="center"/>
    </xf>
    <xf numFmtId="3" fontId="9" fillId="0" borderId="63" xfId="35" applyNumberFormat="1" applyFont="1" applyBorder="1" applyAlignment="1">
      <alignment horizontal="center"/>
    </xf>
    <xf numFmtId="9" fontId="20" fillId="60" borderId="63" xfId="35" applyFont="1" applyFill="1" applyBorder="1" applyAlignment="1">
      <alignment horizontal="center" vertical="center" wrapText="1"/>
    </xf>
    <xf numFmtId="3" fontId="20" fillId="24" borderId="14" xfId="35" applyNumberFormat="1" applyFont="1" applyFill="1" applyBorder="1" applyAlignment="1">
      <alignment horizontal="center"/>
    </xf>
    <xf numFmtId="3" fontId="26" fillId="34" borderId="14" xfId="35" applyNumberFormat="1" applyFont="1" applyFill="1" applyBorder="1" applyAlignment="1">
      <alignment horizontal="center"/>
    </xf>
    <xf numFmtId="3" fontId="37" fillId="34" borderId="78" xfId="35" applyNumberFormat="1" applyFont="1" applyFill="1" applyBorder="1" applyAlignment="1">
      <alignment horizontal="center"/>
    </xf>
    <xf numFmtId="3" fontId="28" fillId="34" borderId="37" xfId="35" applyNumberFormat="1" applyFont="1" applyFill="1" applyBorder="1" applyAlignment="1">
      <alignment horizontal="center"/>
    </xf>
    <xf numFmtId="3" fontId="28" fillId="34" borderId="14" xfId="35" applyNumberFormat="1" applyFont="1" applyFill="1" applyBorder="1" applyAlignment="1">
      <alignment horizontal="center"/>
    </xf>
    <xf numFmtId="3" fontId="28" fillId="34" borderId="35" xfId="35" applyNumberFormat="1" applyFont="1" applyFill="1" applyBorder="1" applyAlignment="1">
      <alignment horizontal="center"/>
    </xf>
    <xf numFmtId="3" fontId="38" fillId="34" borderId="78" xfId="35" applyNumberFormat="1" applyFont="1" applyFill="1" applyBorder="1" applyAlignment="1">
      <alignment horizontal="center"/>
    </xf>
    <xf numFmtId="3" fontId="29" fillId="34" borderId="37" xfId="35" applyNumberFormat="1" applyFont="1" applyFill="1" applyBorder="1" applyAlignment="1">
      <alignment horizontal="center"/>
    </xf>
    <xf numFmtId="3" fontId="29" fillId="34" borderId="14" xfId="35" applyNumberFormat="1" applyFont="1" applyFill="1" applyBorder="1" applyAlignment="1">
      <alignment horizontal="center"/>
    </xf>
    <xf numFmtId="3" fontId="29" fillId="34" borderId="35" xfId="35" applyNumberFormat="1" applyFont="1" applyFill="1" applyBorder="1" applyAlignment="1">
      <alignment horizontal="center"/>
    </xf>
    <xf numFmtId="3" fontId="21" fillId="34" borderId="78" xfId="35" applyNumberFormat="1" applyFont="1" applyFill="1" applyBorder="1" applyAlignment="1">
      <alignment horizontal="center"/>
    </xf>
    <xf numFmtId="3" fontId="30" fillId="34" borderId="14" xfId="35" applyNumberFormat="1" applyFont="1" applyFill="1" applyBorder="1" applyAlignment="1">
      <alignment horizontal="center"/>
    </xf>
    <xf numFmtId="3" fontId="41" fillId="34" borderId="14" xfId="35" applyNumberFormat="1" applyFont="1" applyFill="1" applyBorder="1" applyAlignment="1">
      <alignment horizontal="center"/>
    </xf>
    <xf numFmtId="3" fontId="30" fillId="34" borderId="35" xfId="35" applyNumberFormat="1" applyFont="1" applyFill="1" applyBorder="1" applyAlignment="1">
      <alignment horizontal="center"/>
    </xf>
    <xf numFmtId="3" fontId="22" fillId="34" borderId="78" xfId="35" applyNumberFormat="1" applyFont="1" applyFill="1" applyBorder="1" applyAlignment="1">
      <alignment horizontal="center"/>
    </xf>
    <xf numFmtId="3" fontId="31" fillId="34" borderId="14" xfId="35" applyNumberFormat="1" applyFont="1" applyFill="1" applyBorder="1" applyAlignment="1">
      <alignment horizontal="center"/>
    </xf>
    <xf numFmtId="9" fontId="31" fillId="34" borderId="14" xfId="35" applyFont="1" applyFill="1" applyBorder="1" applyAlignment="1">
      <alignment horizontal="center"/>
    </xf>
    <xf numFmtId="9" fontId="31" fillId="36" borderId="14" xfId="35" applyFont="1" applyFill="1" applyBorder="1" applyAlignment="1">
      <alignment horizontal="center"/>
    </xf>
    <xf numFmtId="9" fontId="31" fillId="34" borderId="35" xfId="35" applyFont="1" applyFill="1" applyBorder="1" applyAlignment="1">
      <alignment horizontal="center"/>
    </xf>
    <xf numFmtId="9" fontId="23" fillId="34" borderId="78" xfId="35" applyFont="1" applyFill="1" applyBorder="1" applyAlignment="1">
      <alignment horizontal="center"/>
    </xf>
    <xf numFmtId="9" fontId="24" fillId="0" borderId="78" xfId="35" applyFont="1" applyFill="1" applyBorder="1" applyAlignment="1">
      <alignment horizontal="center"/>
    </xf>
    <xf numFmtId="9" fontId="60" fillId="0" borderId="78" xfId="35" applyFont="1" applyFill="1" applyBorder="1" applyAlignment="1">
      <alignment horizontal="center"/>
    </xf>
    <xf numFmtId="9" fontId="68" fillId="49" borderId="14" xfId="35" applyFont="1" applyFill="1" applyBorder="1" applyAlignment="1">
      <alignment horizontal="center"/>
    </xf>
    <xf numFmtId="9" fontId="71" fillId="0" borderId="78" xfId="35" applyFont="1" applyFill="1" applyBorder="1" applyAlignment="1">
      <alignment horizontal="center"/>
    </xf>
    <xf numFmtId="9" fontId="75" fillId="0" borderId="14" xfId="35" applyFont="1" applyBorder="1" applyAlignment="1">
      <alignment horizontal="center"/>
    </xf>
    <xf numFmtId="9" fontId="75" fillId="58" borderId="14" xfId="35" applyFont="1" applyFill="1" applyBorder="1" applyAlignment="1">
      <alignment horizontal="center"/>
    </xf>
    <xf numFmtId="9" fontId="76" fillId="0" borderId="78" xfId="35" applyFont="1" applyFill="1" applyBorder="1" applyAlignment="1">
      <alignment horizontal="center"/>
    </xf>
    <xf numFmtId="9" fontId="9" fillId="0" borderId="14" xfId="35" applyFont="1" applyBorder="1" applyAlignment="1">
      <alignment horizontal="center"/>
    </xf>
    <xf numFmtId="9" fontId="20" fillId="0" borderId="14" xfId="35" applyFont="1" applyBorder="1" applyAlignment="1">
      <alignment horizontal="center"/>
    </xf>
    <xf numFmtId="0" fontId="65" fillId="0" borderId="20" xfId="46" applyNumberFormat="1" applyFont="1" applyBorder="1" applyAlignment="1">
      <alignment horizontal="center"/>
    </xf>
    <xf numFmtId="4" fontId="31" fillId="35" borderId="11" xfId="33" applyNumberFormat="1" applyFont="1" applyFill="1" applyBorder="1"/>
    <xf numFmtId="164" fontId="25" fillId="58" borderId="17" xfId="33" applyNumberFormat="1" applyFont="1" applyFill="1" applyBorder="1" applyAlignment="1"/>
    <xf numFmtId="9" fontId="48" fillId="58" borderId="24" xfId="46" applyNumberFormat="1" applyFont="1" applyFill="1" applyBorder="1" applyAlignment="1">
      <alignment horizontal="center"/>
    </xf>
    <xf numFmtId="0" fontId="25" fillId="58" borderId="29" xfId="46" applyNumberFormat="1" applyFont="1" applyFill="1" applyBorder="1" applyAlignment="1">
      <alignment horizontal="center"/>
    </xf>
    <xf numFmtId="9" fontId="25" fillId="58" borderId="31" xfId="46" applyNumberFormat="1" applyFont="1" applyFill="1" applyBorder="1" applyAlignment="1">
      <alignment horizontal="center"/>
    </xf>
    <xf numFmtId="0" fontId="25" fillId="61" borderId="0" xfId="33" applyFont="1" applyFill="1" applyAlignment="1">
      <alignment horizontal="center"/>
    </xf>
    <xf numFmtId="164" fontId="48" fillId="61" borderId="0" xfId="33" applyNumberFormat="1" applyFont="1" applyFill="1"/>
    <xf numFmtId="3" fontId="20" fillId="60" borderId="25" xfId="33" applyNumberFormat="1" applyFont="1" applyFill="1" applyBorder="1" applyAlignment="1">
      <alignment horizontal="center"/>
    </xf>
    <xf numFmtId="4" fontId="20" fillId="60" borderId="25" xfId="33" applyNumberFormat="1" applyFont="1" applyFill="1" applyBorder="1" applyAlignment="1">
      <alignment horizontal="center"/>
    </xf>
    <xf numFmtId="167" fontId="76" fillId="35" borderId="51" xfId="31" applyFont="1" applyFill="1" applyBorder="1"/>
    <xf numFmtId="167" fontId="71" fillId="35" borderId="51" xfId="31" applyFont="1" applyFill="1" applyBorder="1"/>
    <xf numFmtId="167" fontId="76" fillId="62" borderId="51" xfId="31" applyFont="1" applyFill="1" applyBorder="1"/>
    <xf numFmtId="0" fontId="41" fillId="62" borderId="11" xfId="33" applyFont="1" applyFill="1" applyBorder="1"/>
    <xf numFmtId="0" fontId="76" fillId="62" borderId="13" xfId="31" applyNumberFormat="1" applyFont="1" applyFill="1" applyBorder="1" applyAlignment="1">
      <alignment horizontal="center"/>
    </xf>
    <xf numFmtId="0" fontId="20" fillId="58" borderId="18" xfId="33" applyFont="1" applyFill="1" applyBorder="1" applyAlignment="1">
      <alignment horizontal="center"/>
    </xf>
    <xf numFmtId="168" fontId="20" fillId="58" borderId="0" xfId="33" applyNumberFormat="1" applyFont="1" applyFill="1" applyBorder="1"/>
    <xf numFmtId="0" fontId="9" fillId="58" borderId="22" xfId="33" applyFont="1" applyFill="1" applyBorder="1"/>
    <xf numFmtId="0" fontId="58" fillId="0" borderId="11" xfId="33" applyFont="1" applyFill="1" applyBorder="1"/>
    <xf numFmtId="167" fontId="58" fillId="0" borderId="11" xfId="31" applyFont="1" applyFill="1" applyBorder="1"/>
    <xf numFmtId="0" fontId="58" fillId="0" borderId="11" xfId="31" applyNumberFormat="1" applyFont="1" applyFill="1" applyBorder="1" applyAlignment="1">
      <alignment horizontal="center"/>
    </xf>
    <xf numFmtId="0" fontId="58" fillId="0" borderId="11" xfId="31" applyNumberFormat="1" applyFont="1" applyBorder="1" applyAlignment="1">
      <alignment horizontal="center"/>
    </xf>
    <xf numFmtId="167" fontId="58" fillId="0" borderId="11" xfId="31" applyFont="1" applyFill="1" applyBorder="1" applyAlignment="1">
      <alignment horizontal="center"/>
    </xf>
    <xf numFmtId="167" fontId="58" fillId="0" borderId="11" xfId="31" applyFont="1" applyFill="1" applyBorder="1" applyAlignment="1">
      <alignment horizontal="center" vertical="center"/>
    </xf>
    <xf numFmtId="167" fontId="58" fillId="0" borderId="11" xfId="31" applyFont="1" applyBorder="1"/>
    <xf numFmtId="167" fontId="58" fillId="0" borderId="10" xfId="31" applyFont="1" applyBorder="1"/>
    <xf numFmtId="167" fontId="58" fillId="36" borderId="34" xfId="31" applyFont="1" applyFill="1" applyBorder="1"/>
    <xf numFmtId="9" fontId="58" fillId="36" borderId="43" xfId="35" applyFont="1" applyFill="1" applyBorder="1" applyAlignment="1">
      <alignment horizontal="center"/>
    </xf>
    <xf numFmtId="167" fontId="58" fillId="36" borderId="46" xfId="31" applyFont="1" applyFill="1" applyBorder="1"/>
    <xf numFmtId="9" fontId="58" fillId="36" borderId="65" xfId="35" applyFont="1" applyFill="1" applyBorder="1" applyAlignment="1">
      <alignment horizontal="center" vertical="center"/>
    </xf>
    <xf numFmtId="9" fontId="58" fillId="36" borderId="65" xfId="35" applyFont="1" applyFill="1" applyBorder="1" applyAlignment="1">
      <alignment horizontal="center"/>
    </xf>
    <xf numFmtId="3" fontId="58" fillId="36" borderId="34" xfId="35" applyNumberFormat="1" applyFont="1" applyFill="1" applyBorder="1" applyAlignment="1">
      <alignment horizontal="center"/>
    </xf>
    <xf numFmtId="3" fontId="58" fillId="36" borderId="11" xfId="35" applyNumberFormat="1" applyFont="1" applyFill="1" applyBorder="1" applyAlignment="1">
      <alignment horizontal="center"/>
    </xf>
    <xf numFmtId="9" fontId="58" fillId="36" borderId="65" xfId="35" applyNumberFormat="1" applyFont="1" applyFill="1" applyBorder="1" applyAlignment="1">
      <alignment horizontal="center"/>
    </xf>
    <xf numFmtId="3" fontId="58" fillId="36" borderId="64" xfId="35" applyNumberFormat="1" applyFont="1" applyFill="1" applyBorder="1" applyAlignment="1">
      <alignment horizontal="center"/>
    </xf>
    <xf numFmtId="9" fontId="58" fillId="36" borderId="10" xfId="35" applyFont="1" applyFill="1" applyBorder="1" applyAlignment="1">
      <alignment horizontal="center"/>
    </xf>
    <xf numFmtId="3" fontId="58" fillId="36" borderId="63" xfId="35" applyNumberFormat="1" applyFont="1" applyFill="1" applyBorder="1" applyAlignment="1">
      <alignment horizontal="center"/>
    </xf>
    <xf numFmtId="9" fontId="58" fillId="36" borderId="14" xfId="35" applyFont="1" applyFill="1" applyBorder="1" applyAlignment="1">
      <alignment horizontal="center"/>
    </xf>
    <xf numFmtId="4" fontId="58" fillId="35" borderId="11" xfId="33" applyNumberFormat="1" applyFont="1" applyFill="1" applyBorder="1"/>
    <xf numFmtId="165" fontId="58" fillId="0" borderId="14" xfId="33" applyNumberFormat="1" applyFont="1" applyFill="1" applyBorder="1"/>
    <xf numFmtId="0" fontId="91" fillId="0" borderId="0" xfId="33" applyFont="1"/>
    <xf numFmtId="0" fontId="58" fillId="34" borderId="11" xfId="33" applyFont="1" applyFill="1" applyBorder="1"/>
    <xf numFmtId="167" fontId="58" fillId="34" borderId="11" xfId="31" applyFont="1" applyFill="1" applyBorder="1"/>
    <xf numFmtId="0" fontId="58" fillId="34" borderId="11" xfId="31" applyNumberFormat="1" applyFont="1" applyFill="1" applyBorder="1" applyAlignment="1">
      <alignment horizontal="center"/>
    </xf>
    <xf numFmtId="167" fontId="58" fillId="34" borderId="11" xfId="31" applyFont="1" applyFill="1" applyBorder="1" applyAlignment="1">
      <alignment horizontal="center"/>
    </xf>
    <xf numFmtId="167" fontId="58" fillId="34" borderId="11" xfId="31" applyFont="1" applyFill="1" applyBorder="1" applyAlignment="1">
      <alignment horizontal="center" vertical="center"/>
    </xf>
    <xf numFmtId="167" fontId="58" fillId="34" borderId="10" xfId="31" applyFont="1" applyFill="1" applyBorder="1"/>
    <xf numFmtId="167" fontId="58" fillId="34" borderId="34" xfId="31" applyFont="1" applyFill="1" applyBorder="1"/>
    <xf numFmtId="9" fontId="58" fillId="34" borderId="43" xfId="35" applyFont="1" applyFill="1" applyBorder="1" applyAlignment="1">
      <alignment horizontal="center"/>
    </xf>
    <xf numFmtId="167" fontId="58" fillId="34" borderId="46" xfId="31" applyFont="1" applyFill="1" applyBorder="1"/>
    <xf numFmtId="9" fontId="58" fillId="34" borderId="65" xfId="35" applyFont="1" applyFill="1" applyBorder="1" applyAlignment="1">
      <alignment horizontal="center" vertical="center"/>
    </xf>
    <xf numFmtId="9" fontId="58" fillId="34" borderId="65" xfId="35" applyFont="1" applyFill="1" applyBorder="1" applyAlignment="1">
      <alignment horizontal="center"/>
    </xf>
    <xf numFmtId="3" fontId="58" fillId="34" borderId="34" xfId="35" applyNumberFormat="1" applyFont="1" applyFill="1" applyBorder="1" applyAlignment="1">
      <alignment horizontal="center"/>
    </xf>
    <xf numFmtId="3" fontId="58" fillId="34" borderId="11" xfId="35" applyNumberFormat="1" applyFont="1" applyFill="1" applyBorder="1" applyAlignment="1">
      <alignment horizontal="center"/>
    </xf>
    <xf numFmtId="9" fontId="58" fillId="34" borderId="65" xfId="35" applyNumberFormat="1" applyFont="1" applyFill="1" applyBorder="1" applyAlignment="1">
      <alignment horizontal="center"/>
    </xf>
    <xf numFmtId="3" fontId="58" fillId="34" borderId="64" xfId="35" applyNumberFormat="1" applyFont="1" applyFill="1" applyBorder="1" applyAlignment="1">
      <alignment horizontal="center"/>
    </xf>
    <xf numFmtId="9" fontId="58" fillId="34" borderId="10" xfId="35" applyFont="1" applyFill="1" applyBorder="1" applyAlignment="1">
      <alignment horizontal="center"/>
    </xf>
    <xf numFmtId="3" fontId="58" fillId="34" borderId="63" xfId="35" applyNumberFormat="1" applyFont="1" applyFill="1" applyBorder="1" applyAlignment="1">
      <alignment horizontal="center"/>
    </xf>
    <xf numFmtId="9" fontId="58" fillId="34" borderId="14" xfId="35" applyFont="1" applyFill="1" applyBorder="1" applyAlignment="1">
      <alignment horizontal="center"/>
    </xf>
    <xf numFmtId="4" fontId="58" fillId="34" borderId="11" xfId="33" applyNumberFormat="1" applyFont="1" applyFill="1" applyBorder="1"/>
    <xf numFmtId="165" fontId="58" fillId="34" borderId="14" xfId="33" applyNumberFormat="1" applyFont="1" applyFill="1" applyBorder="1"/>
    <xf numFmtId="0" fontId="58" fillId="34" borderId="13" xfId="31" applyNumberFormat="1" applyFont="1" applyFill="1" applyBorder="1" applyAlignment="1">
      <alignment horizontal="center"/>
    </xf>
    <xf numFmtId="0" fontId="58" fillId="0" borderId="10" xfId="33" applyFont="1" applyBorder="1"/>
    <xf numFmtId="0" fontId="58" fillId="0" borderId="13" xfId="31" applyNumberFormat="1" applyFont="1" applyBorder="1" applyAlignment="1">
      <alignment horizontal="center"/>
    </xf>
    <xf numFmtId="0" fontId="58" fillId="36" borderId="10" xfId="31" applyNumberFormat="1" applyFont="1" applyFill="1" applyBorder="1"/>
    <xf numFmtId="0" fontId="23" fillId="0" borderId="0" xfId="33" applyFont="1" applyFill="1"/>
    <xf numFmtId="0" fontId="58" fillId="34" borderId="10" xfId="33" applyFont="1" applyFill="1" applyBorder="1"/>
    <xf numFmtId="165" fontId="58" fillId="34" borderId="10" xfId="31" applyNumberFormat="1" applyFont="1" applyFill="1" applyBorder="1"/>
    <xf numFmtId="167" fontId="60" fillId="34" borderId="11" xfId="31" applyFont="1" applyFill="1" applyBorder="1"/>
    <xf numFmtId="0" fontId="60" fillId="34" borderId="11" xfId="31" applyNumberFormat="1" applyFont="1" applyFill="1" applyBorder="1" applyAlignment="1">
      <alignment horizontal="center"/>
    </xf>
    <xf numFmtId="167" fontId="60" fillId="34" borderId="11" xfId="31" applyFont="1" applyFill="1" applyBorder="1" applyAlignment="1">
      <alignment horizontal="center"/>
    </xf>
    <xf numFmtId="167" fontId="60" fillId="34" borderId="11" xfId="31" applyFont="1" applyFill="1" applyBorder="1" applyAlignment="1">
      <alignment horizontal="center" vertical="center"/>
    </xf>
    <xf numFmtId="167" fontId="60" fillId="34" borderId="10" xfId="31" applyFont="1" applyFill="1" applyBorder="1"/>
    <xf numFmtId="167" fontId="60" fillId="34" borderId="34" xfId="31" applyFont="1" applyFill="1" applyBorder="1"/>
    <xf numFmtId="9" fontId="60" fillId="34" borderId="43" xfId="35" applyFont="1" applyFill="1" applyBorder="1" applyAlignment="1">
      <alignment horizontal="center"/>
    </xf>
    <xf numFmtId="167" fontId="60" fillId="34" borderId="46" xfId="31" applyFont="1" applyFill="1" applyBorder="1"/>
    <xf numFmtId="9" fontId="60" fillId="34" borderId="65" xfId="35" applyFont="1" applyFill="1" applyBorder="1" applyAlignment="1">
      <alignment horizontal="center" vertical="center"/>
    </xf>
    <xf numFmtId="9" fontId="60" fillId="34" borderId="65" xfId="35" applyFont="1" applyFill="1" applyBorder="1" applyAlignment="1">
      <alignment horizontal="center"/>
    </xf>
    <xf numFmtId="3" fontId="60" fillId="34" borderId="34" xfId="35" applyNumberFormat="1" applyFont="1" applyFill="1" applyBorder="1" applyAlignment="1">
      <alignment horizontal="center"/>
    </xf>
    <xf numFmtId="3" fontId="60" fillId="34" borderId="11" xfId="35" applyNumberFormat="1" applyFont="1" applyFill="1" applyBorder="1" applyAlignment="1">
      <alignment horizontal="center"/>
    </xf>
    <xf numFmtId="9" fontId="60" fillId="34" borderId="65" xfId="35" applyNumberFormat="1" applyFont="1" applyFill="1" applyBorder="1" applyAlignment="1">
      <alignment horizontal="center"/>
    </xf>
    <xf numFmtId="3" fontId="60" fillId="34" borderId="64" xfId="35" applyNumberFormat="1" applyFont="1" applyFill="1" applyBorder="1" applyAlignment="1">
      <alignment horizontal="center"/>
    </xf>
    <xf numFmtId="9" fontId="60" fillId="34" borderId="10" xfId="35" applyFont="1" applyFill="1" applyBorder="1" applyAlignment="1">
      <alignment horizontal="center"/>
    </xf>
    <xf numFmtId="3" fontId="60" fillId="34" borderId="63" xfId="35" applyNumberFormat="1" applyFont="1" applyFill="1" applyBorder="1" applyAlignment="1">
      <alignment horizontal="center"/>
    </xf>
    <xf numFmtId="9" fontId="60" fillId="34" borderId="14" xfId="35" applyFont="1" applyFill="1" applyBorder="1" applyAlignment="1">
      <alignment horizontal="center"/>
    </xf>
    <xf numFmtId="4" fontId="60" fillId="34" borderId="11" xfId="33" applyNumberFormat="1" applyFont="1" applyFill="1" applyBorder="1"/>
    <xf numFmtId="165" fontId="60" fillId="34" borderId="14" xfId="33" applyNumberFormat="1" applyFont="1" applyFill="1" applyBorder="1"/>
    <xf numFmtId="0" fontId="60" fillId="34" borderId="11" xfId="33" applyFont="1" applyFill="1" applyBorder="1"/>
    <xf numFmtId="0" fontId="60" fillId="34" borderId="13" xfId="31" applyNumberFormat="1" applyFont="1" applyFill="1" applyBorder="1" applyAlignment="1">
      <alignment horizontal="center"/>
    </xf>
    <xf numFmtId="0" fontId="60" fillId="0" borderId="11" xfId="33" applyFont="1" applyFill="1" applyBorder="1"/>
    <xf numFmtId="167" fontId="60" fillId="0" borderId="11" xfId="31" applyFont="1" applyFill="1" applyBorder="1"/>
    <xf numFmtId="0" fontId="60" fillId="0" borderId="11" xfId="31" applyNumberFormat="1" applyFont="1" applyFill="1" applyBorder="1" applyAlignment="1">
      <alignment horizontal="center"/>
    </xf>
    <xf numFmtId="0" fontId="60" fillId="0" borderId="13" xfId="31" applyNumberFormat="1" applyFont="1" applyBorder="1" applyAlignment="1">
      <alignment horizontal="center"/>
    </xf>
    <xf numFmtId="167" fontId="60" fillId="0" borderId="11" xfId="31" applyFont="1" applyFill="1" applyBorder="1" applyAlignment="1">
      <alignment horizontal="center"/>
    </xf>
    <xf numFmtId="167" fontId="60" fillId="0" borderId="11" xfId="31" applyFont="1" applyBorder="1"/>
    <xf numFmtId="167" fontId="60" fillId="0" borderId="10" xfId="31" applyFont="1" applyFill="1" applyBorder="1"/>
    <xf numFmtId="167" fontId="60" fillId="36" borderId="34" xfId="31" applyFont="1" applyFill="1" applyBorder="1"/>
    <xf numFmtId="9" fontId="60" fillId="36" borderId="43" xfId="35" applyFont="1" applyFill="1" applyBorder="1" applyAlignment="1">
      <alignment horizontal="center"/>
    </xf>
    <xf numFmtId="167" fontId="60" fillId="37" borderId="46" xfId="31" applyFont="1" applyFill="1" applyBorder="1"/>
    <xf numFmtId="167" fontId="60" fillId="36" borderId="11" xfId="31" applyFont="1" applyFill="1" applyBorder="1"/>
    <xf numFmtId="9" fontId="60" fillId="36" borderId="65" xfId="35" applyFont="1" applyFill="1" applyBorder="1" applyAlignment="1">
      <alignment horizontal="center" vertical="center"/>
    </xf>
    <xf numFmtId="9" fontId="60" fillId="36" borderId="65" xfId="35" applyFont="1" applyFill="1" applyBorder="1" applyAlignment="1">
      <alignment horizontal="center"/>
    </xf>
    <xf numFmtId="3" fontId="60" fillId="36" borderId="34" xfId="35" applyNumberFormat="1" applyFont="1" applyFill="1" applyBorder="1" applyAlignment="1">
      <alignment horizontal="center"/>
    </xf>
    <xf numFmtId="3" fontId="60" fillId="36" borderId="11" xfId="35" applyNumberFormat="1" applyFont="1" applyFill="1" applyBorder="1" applyAlignment="1">
      <alignment horizontal="center"/>
    </xf>
    <xf numFmtId="9" fontId="60" fillId="36" borderId="65" xfId="35" applyNumberFormat="1" applyFont="1" applyFill="1" applyBorder="1" applyAlignment="1">
      <alignment horizontal="center"/>
    </xf>
    <xf numFmtId="3" fontId="60" fillId="36" borderId="64" xfId="35" applyNumberFormat="1" applyFont="1" applyFill="1" applyBorder="1" applyAlignment="1">
      <alignment horizontal="center"/>
    </xf>
    <xf numFmtId="9" fontId="60" fillId="36" borderId="10" xfId="35" applyFont="1" applyFill="1" applyBorder="1" applyAlignment="1">
      <alignment horizontal="center"/>
    </xf>
    <xf numFmtId="3" fontId="60" fillId="36" borderId="63" xfId="35" applyNumberFormat="1" applyFont="1" applyFill="1" applyBorder="1" applyAlignment="1">
      <alignment horizontal="center"/>
    </xf>
    <xf numFmtId="9" fontId="60" fillId="36" borderId="14" xfId="35" applyFont="1" applyFill="1" applyBorder="1" applyAlignment="1">
      <alignment horizontal="center"/>
    </xf>
    <xf numFmtId="4" fontId="60" fillId="35" borderId="11" xfId="33" applyNumberFormat="1" applyFont="1" applyFill="1" applyBorder="1"/>
    <xf numFmtId="165" fontId="60" fillId="0" borderId="14" xfId="33" applyNumberFormat="1" applyFont="1" applyFill="1" applyBorder="1"/>
    <xf numFmtId="0" fontId="60" fillId="0" borderId="0" xfId="33" applyFont="1"/>
    <xf numFmtId="9" fontId="60" fillId="0" borderId="0" xfId="35" applyFont="1"/>
    <xf numFmtId="0" fontId="60" fillId="0" borderId="11" xfId="33" applyFont="1" applyBorder="1"/>
    <xf numFmtId="167" fontId="60" fillId="0" borderId="34" xfId="31" applyFont="1" applyBorder="1"/>
    <xf numFmtId="9" fontId="60" fillId="0" borderId="43" xfId="35" applyFont="1" applyBorder="1" applyAlignment="1">
      <alignment horizontal="center"/>
    </xf>
    <xf numFmtId="167" fontId="60" fillId="0" borderId="46" xfId="31" applyFont="1" applyBorder="1"/>
    <xf numFmtId="9" fontId="60" fillId="0" borderId="65" xfId="35" applyFont="1" applyBorder="1" applyAlignment="1">
      <alignment horizontal="center" vertical="center"/>
    </xf>
    <xf numFmtId="9" fontId="60" fillId="0" borderId="65" xfId="35" applyFont="1" applyBorder="1" applyAlignment="1">
      <alignment horizontal="center"/>
    </xf>
    <xf numFmtId="3" fontId="60" fillId="0" borderId="34" xfId="35" applyNumberFormat="1" applyFont="1" applyBorder="1" applyAlignment="1">
      <alignment horizontal="center"/>
    </xf>
    <xf numFmtId="3" fontId="60" fillId="0" borderId="11" xfId="35" applyNumberFormat="1" applyFont="1" applyBorder="1" applyAlignment="1">
      <alignment horizontal="center"/>
    </xf>
    <xf numFmtId="9" fontId="60" fillId="0" borderId="65" xfId="35" applyNumberFormat="1" applyFont="1" applyBorder="1" applyAlignment="1">
      <alignment horizontal="center"/>
    </xf>
    <xf numFmtId="3" fontId="60" fillId="0" borderId="64" xfId="35" applyNumberFormat="1" applyFont="1" applyBorder="1" applyAlignment="1">
      <alignment horizontal="center"/>
    </xf>
    <xf numFmtId="9" fontId="60" fillId="0" borderId="10" xfId="35" applyFont="1" applyBorder="1" applyAlignment="1">
      <alignment horizontal="center"/>
    </xf>
    <xf numFmtId="3" fontId="60" fillId="0" borderId="63" xfId="35" applyNumberFormat="1" applyFont="1" applyBorder="1" applyAlignment="1">
      <alignment horizontal="center"/>
    </xf>
    <xf numFmtId="9" fontId="60" fillId="0" borderId="14" xfId="35" applyFont="1" applyBorder="1" applyAlignment="1">
      <alignment horizontal="center"/>
    </xf>
    <xf numFmtId="0" fontId="71" fillId="0" borderId="11" xfId="33" applyFont="1" applyBorder="1"/>
    <xf numFmtId="167" fontId="71" fillId="36" borderId="11" xfId="31" applyFont="1" applyFill="1" applyBorder="1"/>
    <xf numFmtId="0" fontId="71" fillId="0" borderId="11" xfId="31" applyNumberFormat="1" applyFont="1" applyFill="1" applyBorder="1" applyAlignment="1">
      <alignment horizontal="center"/>
    </xf>
    <xf numFmtId="0" fontId="71" fillId="0" borderId="13" xfId="31" applyNumberFormat="1" applyFont="1" applyBorder="1" applyAlignment="1">
      <alignment horizontal="center"/>
    </xf>
    <xf numFmtId="167" fontId="71" fillId="0" borderId="11" xfId="31" applyFont="1" applyFill="1" applyBorder="1" applyAlignment="1">
      <alignment horizontal="center"/>
    </xf>
    <xf numFmtId="167" fontId="71" fillId="0" borderId="11" xfId="31" applyFont="1" applyFill="1" applyBorder="1"/>
    <xf numFmtId="167" fontId="71" fillId="0" borderId="10" xfId="31" applyFont="1" applyFill="1" applyBorder="1"/>
    <xf numFmtId="167" fontId="71" fillId="0" borderId="34" xfId="31" applyFont="1" applyBorder="1"/>
    <xf numFmtId="9" fontId="71" fillId="0" borderId="43" xfId="35" applyFont="1" applyBorder="1" applyAlignment="1">
      <alignment horizontal="center"/>
    </xf>
    <xf numFmtId="167" fontId="71" fillId="0" borderId="46" xfId="31" applyFont="1" applyBorder="1"/>
    <xf numFmtId="167" fontId="71" fillId="0" borderId="11" xfId="31" applyFont="1" applyBorder="1"/>
    <xf numFmtId="9" fontId="71" fillId="0" borderId="65" xfId="35" applyFont="1" applyBorder="1" applyAlignment="1">
      <alignment horizontal="center" vertical="center"/>
    </xf>
    <xf numFmtId="9" fontId="71" fillId="0" borderId="65" xfId="35" applyFont="1" applyBorder="1" applyAlignment="1">
      <alignment horizontal="center"/>
    </xf>
    <xf numFmtId="3" fontId="71" fillId="0" borderId="34" xfId="35" applyNumberFormat="1" applyFont="1" applyBorder="1" applyAlignment="1">
      <alignment horizontal="center"/>
    </xf>
    <xf numFmtId="3" fontId="71" fillId="0" borderId="11" xfId="35" applyNumberFormat="1" applyFont="1" applyBorder="1" applyAlignment="1">
      <alignment horizontal="center"/>
    </xf>
    <xf numFmtId="9" fontId="71" fillId="0" borderId="65" xfId="35" applyNumberFormat="1" applyFont="1" applyBorder="1" applyAlignment="1">
      <alignment horizontal="center"/>
    </xf>
    <xf numFmtId="3" fontId="71" fillId="0" borderId="64" xfId="35" applyNumberFormat="1" applyFont="1" applyBorder="1" applyAlignment="1">
      <alignment horizontal="center"/>
    </xf>
    <xf numFmtId="9" fontId="71" fillId="0" borderId="10" xfId="35" applyFont="1" applyBorder="1" applyAlignment="1">
      <alignment horizontal="center"/>
    </xf>
    <xf numFmtId="3" fontId="71" fillId="0" borderId="63" xfId="35" applyNumberFormat="1" applyFont="1" applyBorder="1" applyAlignment="1">
      <alignment horizontal="center"/>
    </xf>
    <xf numFmtId="9" fontId="71" fillId="0" borderId="14" xfId="35" applyFont="1" applyBorder="1" applyAlignment="1">
      <alignment horizontal="center"/>
    </xf>
    <xf numFmtId="4" fontId="71" fillId="35" borderId="11" xfId="33" applyNumberFormat="1" applyFont="1" applyFill="1" applyBorder="1"/>
    <xf numFmtId="9" fontId="71" fillId="36" borderId="43" xfId="35" applyFont="1" applyFill="1" applyBorder="1" applyAlignment="1">
      <alignment horizontal="center"/>
    </xf>
    <xf numFmtId="165" fontId="71" fillId="0" borderId="14" xfId="33" applyNumberFormat="1" applyFont="1" applyFill="1" applyBorder="1"/>
    <xf numFmtId="0" fontId="71" fillId="0" borderId="0" xfId="33" applyFont="1"/>
    <xf numFmtId="9" fontId="71" fillId="0" borderId="0" xfId="35" applyFont="1"/>
    <xf numFmtId="0" fontId="71" fillId="49" borderId="11" xfId="33" applyFont="1" applyFill="1" applyBorder="1"/>
    <xf numFmtId="167" fontId="71" fillId="49" borderId="11" xfId="31" applyFont="1" applyFill="1" applyBorder="1"/>
    <xf numFmtId="0" fontId="71" fillId="49" borderId="11" xfId="31" applyNumberFormat="1" applyFont="1" applyFill="1" applyBorder="1" applyAlignment="1">
      <alignment horizontal="center"/>
    </xf>
    <xf numFmtId="0" fontId="71" fillId="49" borderId="13" xfId="31" applyNumberFormat="1" applyFont="1" applyFill="1" applyBorder="1" applyAlignment="1">
      <alignment horizontal="center"/>
    </xf>
    <xf numFmtId="167" fontId="71" fillId="49" borderId="11" xfId="31" applyFont="1" applyFill="1" applyBorder="1" applyAlignment="1">
      <alignment horizontal="center"/>
    </xf>
    <xf numFmtId="167" fontId="71" fillId="49" borderId="10" xfId="31" applyFont="1" applyFill="1" applyBorder="1"/>
    <xf numFmtId="167" fontId="71" fillId="49" borderId="34" xfId="31" applyFont="1" applyFill="1" applyBorder="1"/>
    <xf numFmtId="9" fontId="71" fillId="49" borderId="43" xfId="35" applyFont="1" applyFill="1" applyBorder="1" applyAlignment="1">
      <alignment horizontal="center"/>
    </xf>
    <xf numFmtId="167" fontId="71" fillId="49" borderId="46" xfId="31" applyFont="1" applyFill="1" applyBorder="1"/>
    <xf numFmtId="9" fontId="71" fillId="49" borderId="65" xfId="35" applyFont="1" applyFill="1" applyBorder="1" applyAlignment="1">
      <alignment horizontal="center" vertical="center"/>
    </xf>
    <xf numFmtId="9" fontId="71" fillId="49" borderId="65" xfId="35" applyFont="1" applyFill="1" applyBorder="1" applyAlignment="1">
      <alignment horizontal="center"/>
    </xf>
    <xf numFmtId="3" fontId="71" fillId="49" borderId="34" xfId="35" applyNumberFormat="1" applyFont="1" applyFill="1" applyBorder="1" applyAlignment="1">
      <alignment horizontal="center"/>
    </xf>
    <xf numFmtId="3" fontId="71" fillId="49" borderId="11" xfId="35" applyNumberFormat="1" applyFont="1" applyFill="1" applyBorder="1" applyAlignment="1">
      <alignment horizontal="center"/>
    </xf>
    <xf numFmtId="9" fontId="71" fillId="49" borderId="65" xfId="35" applyNumberFormat="1" applyFont="1" applyFill="1" applyBorder="1" applyAlignment="1">
      <alignment horizontal="center"/>
    </xf>
    <xf numFmtId="3" fontId="71" fillId="49" borderId="64" xfId="35" applyNumberFormat="1" applyFont="1" applyFill="1" applyBorder="1" applyAlignment="1">
      <alignment horizontal="center"/>
    </xf>
    <xf numFmtId="9" fontId="71" fillId="49" borderId="10" xfId="35" applyFont="1" applyFill="1" applyBorder="1" applyAlignment="1">
      <alignment horizontal="center"/>
    </xf>
    <xf numFmtId="3" fontId="71" fillId="49" borderId="63" xfId="35" applyNumberFormat="1" applyFont="1" applyFill="1" applyBorder="1" applyAlignment="1">
      <alignment horizontal="center"/>
    </xf>
    <xf numFmtId="9" fontId="71" fillId="49" borderId="14" xfId="35" applyFont="1" applyFill="1" applyBorder="1" applyAlignment="1">
      <alignment horizontal="center"/>
    </xf>
    <xf numFmtId="4" fontId="71" fillId="49" borderId="11" xfId="33" applyNumberFormat="1" applyFont="1" applyFill="1" applyBorder="1"/>
    <xf numFmtId="165" fontId="71" fillId="49" borderId="14" xfId="33" applyNumberFormat="1" applyFont="1" applyFill="1" applyBorder="1"/>
    <xf numFmtId="0" fontId="81" fillId="49" borderId="11" xfId="33" applyFont="1" applyFill="1" applyBorder="1"/>
    <xf numFmtId="0" fontId="76" fillId="62" borderId="11" xfId="33" applyFont="1" applyFill="1" applyBorder="1"/>
    <xf numFmtId="167" fontId="76" fillId="62" borderId="11" xfId="31" applyFont="1" applyFill="1" applyBorder="1"/>
    <xf numFmtId="0" fontId="76" fillId="62" borderId="11" xfId="31" applyNumberFormat="1" applyFont="1" applyFill="1" applyBorder="1" applyAlignment="1">
      <alignment horizontal="center"/>
    </xf>
    <xf numFmtId="167" fontId="76" fillId="62" borderId="11" xfId="31" applyFont="1" applyFill="1" applyBorder="1" applyAlignment="1">
      <alignment horizontal="center"/>
    </xf>
    <xf numFmtId="167" fontId="76" fillId="62" borderId="10" xfId="31" applyFont="1" applyFill="1" applyBorder="1"/>
    <xf numFmtId="167" fontId="76" fillId="62" borderId="34" xfId="31" applyFont="1" applyFill="1" applyBorder="1"/>
    <xf numFmtId="9" fontId="76" fillId="62" borderId="43" xfId="35" applyFont="1" applyFill="1" applyBorder="1" applyAlignment="1">
      <alignment horizontal="center"/>
    </xf>
    <xf numFmtId="167" fontId="76" fillId="62" borderId="46" xfId="31" applyFont="1" applyFill="1" applyBorder="1"/>
    <xf numFmtId="9" fontId="76" fillId="62" borderId="65" xfId="35" applyFont="1" applyFill="1" applyBorder="1" applyAlignment="1">
      <alignment horizontal="center" vertical="center"/>
    </xf>
    <xf numFmtId="9" fontId="76" fillId="62" borderId="65" xfId="35" applyFont="1" applyFill="1" applyBorder="1" applyAlignment="1">
      <alignment horizontal="center"/>
    </xf>
    <xf numFmtId="3" fontId="76" fillId="62" borderId="34" xfId="35" applyNumberFormat="1" applyFont="1" applyFill="1" applyBorder="1" applyAlignment="1">
      <alignment horizontal="center"/>
    </xf>
    <xf numFmtId="3" fontId="76" fillId="62" borderId="11" xfId="35" applyNumberFormat="1" applyFont="1" applyFill="1" applyBorder="1" applyAlignment="1">
      <alignment horizontal="center"/>
    </xf>
    <xf numFmtId="9" fontId="76" fillId="62" borderId="65" xfId="35" applyNumberFormat="1" applyFont="1" applyFill="1" applyBorder="1" applyAlignment="1">
      <alignment horizontal="center"/>
    </xf>
    <xf numFmtId="3" fontId="76" fillId="62" borderId="64" xfId="35" applyNumberFormat="1" applyFont="1" applyFill="1" applyBorder="1" applyAlignment="1">
      <alignment horizontal="center"/>
    </xf>
    <xf numFmtId="9" fontId="76" fillId="62" borderId="10" xfId="35" applyFont="1" applyFill="1" applyBorder="1" applyAlignment="1">
      <alignment horizontal="center"/>
    </xf>
    <xf numFmtId="3" fontId="76" fillId="62" borderId="63" xfId="35" applyNumberFormat="1" applyFont="1" applyFill="1" applyBorder="1" applyAlignment="1">
      <alignment horizontal="center"/>
    </xf>
    <xf numFmtId="9" fontId="76" fillId="62" borderId="14" xfId="35" applyFont="1" applyFill="1" applyBorder="1" applyAlignment="1">
      <alignment horizontal="center"/>
    </xf>
    <xf numFmtId="4" fontId="76" fillId="62" borderId="11" xfId="33" applyNumberFormat="1" applyFont="1" applyFill="1" applyBorder="1"/>
    <xf numFmtId="165" fontId="76" fillId="62" borderId="14" xfId="33" applyNumberFormat="1" applyFont="1" applyFill="1" applyBorder="1"/>
    <xf numFmtId="0" fontId="81" fillId="62" borderId="11" xfId="33" applyFont="1" applyFill="1" applyBorder="1"/>
    <xf numFmtId="0" fontId="76" fillId="0" borderId="11" xfId="33" applyFont="1" applyBorder="1"/>
    <xf numFmtId="167" fontId="76" fillId="36" borderId="11" xfId="31" applyFont="1" applyFill="1" applyBorder="1"/>
    <xf numFmtId="0" fontId="76" fillId="0" borderId="11" xfId="31" applyNumberFormat="1" applyFont="1" applyFill="1" applyBorder="1" applyAlignment="1">
      <alignment horizontal="center"/>
    </xf>
    <xf numFmtId="167" fontId="76" fillId="0" borderId="11" xfId="31" applyFont="1" applyFill="1" applyBorder="1" applyAlignment="1">
      <alignment horizontal="center"/>
    </xf>
    <xf numFmtId="167" fontId="76" fillId="0" borderId="11" xfId="31" applyFont="1" applyFill="1" applyBorder="1"/>
    <xf numFmtId="167" fontId="76" fillId="0" borderId="10" xfId="31" applyFont="1" applyFill="1" applyBorder="1"/>
    <xf numFmtId="167" fontId="76" fillId="0" borderId="34" xfId="31" applyFont="1" applyBorder="1"/>
    <xf numFmtId="9" fontId="76" fillId="0" borderId="43" xfId="35" applyFont="1" applyBorder="1" applyAlignment="1">
      <alignment horizontal="center"/>
    </xf>
    <xf numFmtId="167" fontId="76" fillId="0" borderId="46" xfId="31" applyFont="1" applyBorder="1"/>
    <xf numFmtId="167" fontId="76" fillId="0" borderId="11" xfId="31" applyFont="1" applyBorder="1"/>
    <xf numFmtId="9" fontId="76" fillId="0" borderId="65" xfId="35" applyFont="1" applyBorder="1" applyAlignment="1">
      <alignment horizontal="center" vertical="center"/>
    </xf>
    <xf numFmtId="9" fontId="76" fillId="0" borderId="65" xfId="35" applyFont="1" applyBorder="1" applyAlignment="1">
      <alignment horizontal="center"/>
    </xf>
    <xf numFmtId="3" fontId="76" fillId="0" borderId="34" xfId="35" applyNumberFormat="1" applyFont="1" applyBorder="1" applyAlignment="1">
      <alignment horizontal="center"/>
    </xf>
    <xf numFmtId="3" fontId="76" fillId="0" borderId="11" xfId="35" applyNumberFormat="1" applyFont="1" applyBorder="1" applyAlignment="1">
      <alignment horizontal="center"/>
    </xf>
    <xf numFmtId="9" fontId="76" fillId="0" borderId="65" xfId="35" applyNumberFormat="1" applyFont="1" applyBorder="1" applyAlignment="1">
      <alignment horizontal="center"/>
    </xf>
    <xf numFmtId="3" fontId="76" fillId="0" borderId="64" xfId="35" applyNumberFormat="1" applyFont="1" applyBorder="1" applyAlignment="1">
      <alignment horizontal="center"/>
    </xf>
    <xf numFmtId="9" fontId="76" fillId="0" borderId="10" xfId="35" applyFont="1" applyBorder="1" applyAlignment="1">
      <alignment horizontal="center"/>
    </xf>
    <xf numFmtId="3" fontId="76" fillId="0" borderId="63" xfId="35" applyNumberFormat="1" applyFont="1" applyBorder="1" applyAlignment="1">
      <alignment horizontal="center"/>
    </xf>
    <xf numFmtId="9" fontId="76" fillId="0" borderId="14" xfId="35" applyFont="1" applyBorder="1" applyAlignment="1">
      <alignment horizontal="center"/>
    </xf>
    <xf numFmtId="4" fontId="76" fillId="35" borderId="11" xfId="33" applyNumberFormat="1" applyFont="1" applyFill="1" applyBorder="1"/>
    <xf numFmtId="9" fontId="76" fillId="36" borderId="43" xfId="35" applyFont="1" applyFill="1" applyBorder="1" applyAlignment="1">
      <alignment horizontal="center"/>
    </xf>
    <xf numFmtId="165" fontId="76" fillId="0" borderId="14" xfId="33" applyNumberFormat="1" applyFont="1" applyFill="1" applyBorder="1"/>
    <xf numFmtId="0" fontId="71" fillId="0" borderId="17" xfId="33" applyFont="1" applyBorder="1"/>
    <xf numFmtId="0" fontId="71" fillId="0" borderId="18" xfId="33" applyFont="1" applyBorder="1"/>
    <xf numFmtId="0" fontId="71" fillId="0" borderId="0" xfId="33" applyFont="1" applyBorder="1"/>
    <xf numFmtId="9" fontId="81" fillId="0" borderId="21" xfId="33" applyNumberFormat="1" applyFont="1" applyBorder="1"/>
    <xf numFmtId="0" fontId="76" fillId="36" borderId="11" xfId="33" applyFont="1" applyFill="1" applyBorder="1"/>
    <xf numFmtId="167" fontId="76" fillId="36" borderId="11" xfId="31" applyFont="1" applyFill="1" applyBorder="1" applyAlignment="1">
      <alignment horizontal="center"/>
    </xf>
    <xf numFmtId="0" fontId="71" fillId="36" borderId="0" xfId="33" applyFont="1" applyFill="1"/>
    <xf numFmtId="0" fontId="76" fillId="49" borderId="11" xfId="33" applyFont="1" applyFill="1" applyBorder="1"/>
    <xf numFmtId="167" fontId="76" fillId="49" borderId="11" xfId="31" applyFont="1" applyFill="1" applyBorder="1"/>
    <xf numFmtId="0" fontId="76" fillId="49" borderId="11" xfId="31" applyNumberFormat="1" applyFont="1" applyFill="1" applyBorder="1" applyAlignment="1">
      <alignment horizontal="center"/>
    </xf>
    <xf numFmtId="0" fontId="76" fillId="49" borderId="13" xfId="31" applyNumberFormat="1" applyFont="1" applyFill="1" applyBorder="1" applyAlignment="1">
      <alignment horizontal="center"/>
    </xf>
    <xf numFmtId="167" fontId="76" fillId="49" borderId="11" xfId="31" applyFont="1" applyFill="1" applyBorder="1" applyAlignment="1">
      <alignment horizontal="center"/>
    </xf>
    <xf numFmtId="167" fontId="76" fillId="49" borderId="10" xfId="31" applyFont="1" applyFill="1" applyBorder="1"/>
    <xf numFmtId="167" fontId="76" fillId="49" borderId="34" xfId="31" applyFont="1" applyFill="1" applyBorder="1"/>
    <xf numFmtId="9" fontId="76" fillId="49" borderId="43" xfId="35" applyFont="1" applyFill="1" applyBorder="1" applyAlignment="1">
      <alignment horizontal="center"/>
    </xf>
    <xf numFmtId="167" fontId="76" fillId="49" borderId="46" xfId="31" applyFont="1" applyFill="1" applyBorder="1"/>
    <xf numFmtId="9" fontId="76" fillId="49" borderId="65" xfId="35" applyFont="1" applyFill="1" applyBorder="1" applyAlignment="1">
      <alignment horizontal="center" vertical="center"/>
    </xf>
    <xf numFmtId="9" fontId="76" fillId="49" borderId="65" xfId="35" applyFont="1" applyFill="1" applyBorder="1" applyAlignment="1">
      <alignment horizontal="center"/>
    </xf>
    <xf numFmtId="3" fontId="76" fillId="49" borderId="34" xfId="35" applyNumberFormat="1" applyFont="1" applyFill="1" applyBorder="1" applyAlignment="1">
      <alignment horizontal="center"/>
    </xf>
    <xf numFmtId="3" fontId="76" fillId="49" borderId="11" xfId="35" applyNumberFormat="1" applyFont="1" applyFill="1" applyBorder="1" applyAlignment="1">
      <alignment horizontal="center"/>
    </xf>
    <xf numFmtId="9" fontId="76" fillId="49" borderId="65" xfId="35" applyNumberFormat="1" applyFont="1" applyFill="1" applyBorder="1" applyAlignment="1">
      <alignment horizontal="center"/>
    </xf>
    <xf numFmtId="3" fontId="76" fillId="49" borderId="64" xfId="35" applyNumberFormat="1" applyFont="1" applyFill="1" applyBorder="1" applyAlignment="1">
      <alignment horizontal="center"/>
    </xf>
    <xf numFmtId="9" fontId="76" fillId="49" borderId="10" xfId="35" applyFont="1" applyFill="1" applyBorder="1" applyAlignment="1">
      <alignment horizontal="center"/>
    </xf>
    <xf numFmtId="3" fontId="76" fillId="49" borderId="63" xfId="35" applyNumberFormat="1" applyFont="1" applyFill="1" applyBorder="1" applyAlignment="1">
      <alignment horizontal="center"/>
    </xf>
    <xf numFmtId="9" fontId="76" fillId="49" borderId="14" xfId="35" applyFont="1" applyFill="1" applyBorder="1" applyAlignment="1">
      <alignment horizontal="center"/>
    </xf>
    <xf numFmtId="4" fontId="76" fillId="49" borderId="11" xfId="33" applyNumberFormat="1" applyFont="1" applyFill="1" applyBorder="1"/>
    <xf numFmtId="165" fontId="76" fillId="49" borderId="14" xfId="33" applyNumberFormat="1" applyFont="1" applyFill="1" applyBorder="1"/>
    <xf numFmtId="0" fontId="98" fillId="0" borderId="0" xfId="33" applyFont="1"/>
    <xf numFmtId="0" fontId="23" fillId="0" borderId="0" xfId="33" applyFont="1" applyBorder="1"/>
    <xf numFmtId="0" fontId="20" fillId="0" borderId="11" xfId="33" applyFont="1" applyBorder="1"/>
    <xf numFmtId="167" fontId="20" fillId="36" borderId="11" xfId="31" applyFont="1" applyFill="1" applyBorder="1"/>
    <xf numFmtId="0" fontId="20" fillId="36" borderId="11" xfId="31" applyNumberFormat="1" applyFont="1" applyFill="1" applyBorder="1" applyAlignment="1">
      <alignment horizontal="center"/>
    </xf>
    <xf numFmtId="0" fontId="20" fillId="36" borderId="13" xfId="31" applyNumberFormat="1" applyFont="1" applyFill="1" applyBorder="1" applyAlignment="1">
      <alignment horizontal="center"/>
    </xf>
    <xf numFmtId="167" fontId="20" fillId="36" borderId="11" xfId="31" applyFont="1" applyFill="1" applyBorder="1" applyAlignment="1">
      <alignment horizontal="center"/>
    </xf>
    <xf numFmtId="9" fontId="20" fillId="0" borderId="65" xfId="35" applyFont="1" applyBorder="1" applyAlignment="1">
      <alignment horizontal="center" vertical="center"/>
    </xf>
    <xf numFmtId="9" fontId="20" fillId="0" borderId="65" xfId="35" applyNumberFormat="1" applyFont="1" applyBorder="1" applyAlignment="1">
      <alignment horizontal="center"/>
    </xf>
    <xf numFmtId="165" fontId="20" fillId="0" borderId="14" xfId="33" applyNumberFormat="1" applyFont="1" applyFill="1" applyBorder="1"/>
    <xf numFmtId="0" fontId="20" fillId="36" borderId="11" xfId="33" applyFont="1" applyFill="1" applyBorder="1"/>
    <xf numFmtId="4" fontId="20" fillId="35" borderId="11" xfId="33" applyNumberFormat="1" applyFont="1" applyFill="1" applyBorder="1"/>
    <xf numFmtId="0" fontId="25" fillId="40" borderId="29" xfId="33" applyFont="1" applyFill="1" applyBorder="1" applyAlignment="1">
      <alignment horizontal="center"/>
    </xf>
    <xf numFmtId="0" fontId="25" fillId="40" borderId="31" xfId="33" applyFont="1" applyFill="1" applyBorder="1" applyAlignment="1">
      <alignment horizontal="center"/>
    </xf>
    <xf numFmtId="0" fontId="25" fillId="39" borderId="41" xfId="33" applyFont="1" applyFill="1" applyBorder="1" applyAlignment="1">
      <alignment horizontal="center" vertical="center" textRotation="90"/>
    </xf>
    <xf numFmtId="0" fontId="25" fillId="39" borderId="25" xfId="33" applyFont="1" applyFill="1" applyBorder="1" applyAlignment="1">
      <alignment horizontal="center" vertical="center" textRotation="90"/>
    </xf>
    <xf numFmtId="0" fontId="25" fillId="39" borderId="33" xfId="33" applyFont="1" applyFill="1" applyBorder="1" applyAlignment="1">
      <alignment horizontal="center" vertical="center" textRotation="90"/>
    </xf>
    <xf numFmtId="0" fontId="25" fillId="40" borderId="30" xfId="33" applyFont="1" applyFill="1" applyBorder="1" applyAlignment="1">
      <alignment horizontal="center"/>
    </xf>
    <xf numFmtId="0" fontId="25" fillId="29" borderId="21" xfId="33" applyFont="1" applyFill="1" applyBorder="1" applyAlignment="1">
      <alignment horizontal="center" vertical="center" textRotation="90" wrapText="1"/>
    </xf>
    <xf numFmtId="10" fontId="43" fillId="32" borderId="21" xfId="35" applyNumberFormat="1" applyFont="1" applyFill="1" applyBorder="1" applyAlignment="1">
      <alignment horizontal="center" vertical="center" textRotation="90" wrapText="1"/>
    </xf>
    <xf numFmtId="4" fontId="25" fillId="40" borderId="29" xfId="33" applyNumberFormat="1" applyFont="1" applyFill="1" applyBorder="1" applyAlignment="1">
      <alignment horizontal="center"/>
    </xf>
    <xf numFmtId="4" fontId="25" fillId="40" borderId="31" xfId="33" applyNumberFormat="1" applyFont="1" applyFill="1" applyBorder="1" applyAlignment="1">
      <alignment horizontal="center"/>
    </xf>
    <xf numFmtId="0" fontId="25" fillId="40" borderId="29" xfId="46" applyNumberFormat="1" applyFont="1" applyFill="1" applyBorder="1" applyAlignment="1">
      <alignment horizontal="center"/>
    </xf>
    <xf numFmtId="0" fontId="25" fillId="40" borderId="31" xfId="46" applyNumberFormat="1" applyFont="1" applyFill="1" applyBorder="1" applyAlignment="1">
      <alignment horizontal="center"/>
    </xf>
    <xf numFmtId="0" fontId="25" fillId="57" borderId="17" xfId="33" applyFont="1" applyFill="1" applyBorder="1" applyAlignment="1">
      <alignment horizontal="center" vertical="center"/>
    </xf>
    <xf numFmtId="0" fontId="25" fillId="57" borderId="19" xfId="33" applyFont="1" applyFill="1" applyBorder="1" applyAlignment="1">
      <alignment horizontal="center" vertical="center"/>
    </xf>
    <xf numFmtId="0" fontId="25" fillId="35" borderId="17" xfId="33" applyFont="1" applyFill="1" applyBorder="1" applyAlignment="1">
      <alignment horizontal="center" vertical="center"/>
    </xf>
    <xf numFmtId="0" fontId="25" fillId="35" borderId="19" xfId="33" applyFont="1" applyFill="1" applyBorder="1" applyAlignment="1">
      <alignment horizontal="center" vertical="center"/>
    </xf>
    <xf numFmtId="0" fontId="56" fillId="38" borderId="0" xfId="0" applyFont="1" applyFill="1" applyAlignment="1">
      <alignment horizontal="center" vertical="center"/>
    </xf>
    <xf numFmtId="0" fontId="25" fillId="51" borderId="17" xfId="33" applyFont="1" applyFill="1" applyBorder="1" applyAlignment="1">
      <alignment horizontal="center" vertical="center"/>
    </xf>
    <xf numFmtId="0" fontId="25" fillId="51" borderId="19" xfId="33" applyFont="1" applyFill="1" applyBorder="1" applyAlignment="1">
      <alignment horizontal="center" vertical="center"/>
    </xf>
    <xf numFmtId="0" fontId="25" fillId="50" borderId="17" xfId="33" applyFont="1" applyFill="1" applyBorder="1" applyAlignment="1">
      <alignment horizontal="center" vertical="center"/>
    </xf>
    <xf numFmtId="0" fontId="25" fillId="50" borderId="19" xfId="33" applyFont="1" applyFill="1" applyBorder="1" applyAlignment="1">
      <alignment horizontal="center" vertical="center"/>
    </xf>
    <xf numFmtId="0" fontId="25" fillId="39" borderId="17" xfId="33" applyFont="1" applyFill="1" applyBorder="1" applyAlignment="1">
      <alignment horizontal="center" vertical="center"/>
    </xf>
    <xf numFmtId="0" fontId="25" fillId="39" borderId="19" xfId="33" applyFont="1" applyFill="1" applyBorder="1" applyAlignment="1">
      <alignment horizontal="center" vertical="center"/>
    </xf>
    <xf numFmtId="0" fontId="25" fillId="52" borderId="17" xfId="33" applyFont="1" applyFill="1" applyBorder="1" applyAlignment="1">
      <alignment horizontal="center" vertical="center"/>
    </xf>
    <xf numFmtId="0" fontId="25" fillId="52" borderId="19" xfId="33" applyFont="1" applyFill="1" applyBorder="1" applyAlignment="1">
      <alignment horizontal="center" vertical="center"/>
    </xf>
    <xf numFmtId="0" fontId="25" fillId="28" borderId="17" xfId="33" applyFont="1" applyFill="1" applyBorder="1" applyAlignment="1">
      <alignment horizontal="center" vertical="center"/>
    </xf>
    <xf numFmtId="0" fontId="25" fillId="28" borderId="19" xfId="33" applyFont="1" applyFill="1" applyBorder="1" applyAlignment="1">
      <alignment horizontal="center" vertical="center"/>
    </xf>
    <xf numFmtId="0" fontId="25" fillId="61" borderId="17" xfId="33" applyFont="1" applyFill="1" applyBorder="1" applyAlignment="1">
      <alignment horizontal="center" vertical="center"/>
    </xf>
    <xf numFmtId="0" fontId="25" fillId="61" borderId="19" xfId="33" applyFont="1" applyFill="1" applyBorder="1" applyAlignment="1">
      <alignment horizontal="center" vertical="center"/>
    </xf>
    <xf numFmtId="0" fontId="9" fillId="41" borderId="17" xfId="33" applyFill="1" applyBorder="1" applyAlignment="1">
      <alignment horizontal="center"/>
    </xf>
    <xf numFmtId="0" fontId="9" fillId="41" borderId="19" xfId="33" applyFill="1" applyBorder="1" applyAlignment="1">
      <alignment horizontal="center"/>
    </xf>
    <xf numFmtId="0" fontId="25" fillId="39" borderId="29" xfId="33" applyFont="1" applyFill="1" applyBorder="1" applyAlignment="1">
      <alignment horizontal="center"/>
    </xf>
    <xf numFmtId="0" fontId="25" fillId="39" borderId="31" xfId="33" applyFont="1" applyFill="1" applyBorder="1" applyAlignment="1">
      <alignment horizontal="center"/>
    </xf>
    <xf numFmtId="0" fontId="25" fillId="39" borderId="30" xfId="33" applyFont="1" applyFill="1" applyBorder="1" applyAlignment="1">
      <alignment horizontal="center"/>
    </xf>
    <xf numFmtId="0" fontId="87" fillId="59" borderId="0" xfId="0" applyFont="1" applyFill="1" applyAlignment="1">
      <alignment horizontal="center"/>
    </xf>
    <xf numFmtId="0" fontId="25" fillId="53" borderId="29" xfId="33" applyFont="1" applyFill="1" applyBorder="1" applyAlignment="1">
      <alignment horizontal="center"/>
    </xf>
    <xf numFmtId="0" fontId="25" fillId="53" borderId="30" xfId="33" applyFont="1" applyFill="1" applyBorder="1" applyAlignment="1">
      <alignment horizontal="center"/>
    </xf>
    <xf numFmtId="0" fontId="25" fillId="47" borderId="30" xfId="33" applyFont="1" applyFill="1" applyBorder="1" applyAlignment="1">
      <alignment horizontal="center"/>
    </xf>
    <xf numFmtId="0" fontId="25" fillId="47" borderId="29" xfId="33" applyFont="1" applyFill="1" applyBorder="1" applyAlignment="1">
      <alignment horizontal="center"/>
    </xf>
    <xf numFmtId="0" fontId="25" fillId="47" borderId="31" xfId="33" applyFont="1" applyFill="1" applyBorder="1" applyAlignment="1">
      <alignment horizontal="center"/>
    </xf>
    <xf numFmtId="0" fontId="70" fillId="48" borderId="41" xfId="33" applyFont="1" applyFill="1" applyBorder="1" applyAlignment="1">
      <alignment horizontal="center" vertical="center" textRotation="90"/>
    </xf>
    <xf numFmtId="0" fontId="70" fillId="48" borderId="25" xfId="33" applyFont="1" applyFill="1" applyBorder="1" applyAlignment="1">
      <alignment horizontal="center" vertical="center" textRotation="90"/>
    </xf>
    <xf numFmtId="0" fontId="70" fillId="48" borderId="33" xfId="33" applyFont="1" applyFill="1" applyBorder="1" applyAlignment="1">
      <alignment horizontal="center" vertical="center" textRotation="90"/>
    </xf>
    <xf numFmtId="0" fontId="25" fillId="42" borderId="27" xfId="33" applyFont="1" applyFill="1" applyBorder="1" applyAlignment="1">
      <alignment horizontal="center" vertical="center" textRotation="90" wrapText="1"/>
    </xf>
    <xf numFmtId="0" fontId="20" fillId="44" borderId="29" xfId="33" applyFont="1" applyFill="1" applyBorder="1" applyAlignment="1">
      <alignment horizontal="center"/>
    </xf>
    <xf numFmtId="0" fontId="20" fillId="44" borderId="31" xfId="33" applyFont="1" applyFill="1" applyBorder="1" applyAlignment="1">
      <alignment horizontal="center"/>
    </xf>
    <xf numFmtId="0" fontId="9" fillId="41" borderId="17" xfId="46" applyNumberFormat="1" applyFont="1" applyFill="1" applyBorder="1" applyAlignment="1">
      <alignment horizontal="center"/>
    </xf>
    <xf numFmtId="0" fontId="9" fillId="41" borderId="19" xfId="46" applyNumberFormat="1" applyFont="1" applyFill="1" applyBorder="1" applyAlignment="1">
      <alignment horizontal="center"/>
    </xf>
    <xf numFmtId="4" fontId="9" fillId="41" borderId="17" xfId="33" applyNumberFormat="1" applyFill="1" applyBorder="1" applyAlignment="1">
      <alignment horizontal="center"/>
    </xf>
    <xf numFmtId="4" fontId="9" fillId="41" borderId="19" xfId="33" applyNumberFormat="1" applyFill="1" applyBorder="1" applyAlignment="1">
      <alignment horizontal="center"/>
    </xf>
    <xf numFmtId="0" fontId="25" fillId="35" borderId="41" xfId="33" applyFont="1" applyFill="1" applyBorder="1" applyAlignment="1">
      <alignment horizontal="center" vertical="center" textRotation="90"/>
    </xf>
    <xf numFmtId="0" fontId="25" fillId="35" borderId="25" xfId="33" applyFont="1" applyFill="1" applyBorder="1" applyAlignment="1">
      <alignment horizontal="center" vertical="center" textRotation="90"/>
    </xf>
    <xf numFmtId="0" fontId="25" fillId="35" borderId="33" xfId="33" applyFont="1" applyFill="1" applyBorder="1" applyAlignment="1">
      <alignment horizontal="center" vertical="center" textRotation="90"/>
    </xf>
    <xf numFmtId="0" fontId="25" fillId="44" borderId="41" xfId="33" applyFont="1" applyFill="1" applyBorder="1" applyAlignment="1">
      <alignment horizontal="center" vertical="center" textRotation="90"/>
    </xf>
    <xf numFmtId="0" fontId="25" fillId="44" borderId="25" xfId="33" applyFont="1" applyFill="1" applyBorder="1" applyAlignment="1">
      <alignment horizontal="center" vertical="center" textRotation="90"/>
    </xf>
    <xf numFmtId="0" fontId="25" fillId="44" borderId="33" xfId="33" applyFont="1" applyFill="1" applyBorder="1" applyAlignment="1">
      <alignment horizontal="center" vertical="center" textRotation="90"/>
    </xf>
    <xf numFmtId="0" fontId="70" fillId="57" borderId="41" xfId="33" applyFont="1" applyFill="1" applyBorder="1" applyAlignment="1">
      <alignment horizontal="center" vertical="center" textRotation="90"/>
    </xf>
    <xf numFmtId="0" fontId="70" fillId="57" borderId="25" xfId="33" applyFont="1" applyFill="1" applyBorder="1" applyAlignment="1">
      <alignment horizontal="center" vertical="center" textRotation="90"/>
    </xf>
    <xf numFmtId="0" fontId="70" fillId="57" borderId="33" xfId="33" applyFont="1" applyFill="1" applyBorder="1" applyAlignment="1">
      <alignment horizontal="center" vertical="center" textRotation="90"/>
    </xf>
    <xf numFmtId="0" fontId="91" fillId="0" borderId="18" xfId="33" applyFont="1" applyBorder="1" applyAlignment="1">
      <alignment horizontal="center" vertical="center"/>
    </xf>
    <xf numFmtId="0" fontId="91" fillId="0" borderId="19" xfId="33" applyFont="1" applyBorder="1" applyAlignment="1">
      <alignment horizontal="center" vertical="center"/>
    </xf>
    <xf numFmtId="0" fontId="90" fillId="39" borderId="27" xfId="33" applyFont="1" applyFill="1" applyBorder="1" applyAlignment="1">
      <alignment horizontal="center" vertical="center" textRotation="90"/>
    </xf>
    <xf numFmtId="0" fontId="25" fillId="31" borderId="12" xfId="33" applyFont="1" applyFill="1" applyBorder="1" applyAlignment="1">
      <alignment horizontal="center" vertical="center" textRotation="90" wrapText="1"/>
    </xf>
    <xf numFmtId="0" fontId="25" fillId="31" borderId="36" xfId="33" applyFont="1" applyFill="1" applyBorder="1" applyAlignment="1">
      <alignment horizontal="center" vertical="center" textRotation="90" wrapText="1"/>
    </xf>
    <xf numFmtId="0" fontId="25" fillId="31" borderId="13" xfId="33" applyFont="1" applyFill="1" applyBorder="1" applyAlignment="1">
      <alignment horizontal="center" vertical="center" textRotation="90" wrapText="1"/>
    </xf>
    <xf numFmtId="0" fontId="25" fillId="29" borderId="12" xfId="33" applyFont="1" applyFill="1" applyBorder="1" applyAlignment="1">
      <alignment horizontal="center" vertical="center" textRotation="90" wrapText="1"/>
    </xf>
    <xf numFmtId="0" fontId="25" fillId="29" borderId="36" xfId="33" applyFont="1" applyFill="1" applyBorder="1" applyAlignment="1">
      <alignment horizontal="center" vertical="center" textRotation="90" wrapText="1"/>
    </xf>
    <xf numFmtId="0" fontId="25" fillId="29" borderId="13" xfId="33" applyFont="1" applyFill="1" applyBorder="1" applyAlignment="1">
      <alignment horizontal="center" vertical="center" textRotation="90" wrapText="1"/>
    </xf>
    <xf numFmtId="0" fontId="43" fillId="32" borderId="12" xfId="33" applyFont="1" applyFill="1" applyBorder="1" applyAlignment="1">
      <alignment horizontal="center" vertical="center" textRotation="90"/>
    </xf>
    <xf numFmtId="0" fontId="43" fillId="32" borderId="36" xfId="33" applyFont="1" applyFill="1" applyBorder="1" applyAlignment="1">
      <alignment horizontal="center" vertical="center" textRotation="90"/>
    </xf>
    <xf numFmtId="0" fontId="43" fillId="32" borderId="13" xfId="33" applyFont="1" applyFill="1" applyBorder="1" applyAlignment="1">
      <alignment horizontal="center" vertical="center" textRotation="90"/>
    </xf>
    <xf numFmtId="0" fontId="25" fillId="33" borderId="35" xfId="33" applyFont="1" applyFill="1" applyBorder="1" applyAlignment="1">
      <alignment horizontal="center" vertical="center" textRotation="90"/>
    </xf>
    <xf numFmtId="0" fontId="25" fillId="33" borderId="27" xfId="33" applyFont="1" applyFill="1" applyBorder="1" applyAlignment="1">
      <alignment horizontal="center" vertical="center" textRotation="90"/>
    </xf>
    <xf numFmtId="0" fontId="25" fillId="33" borderId="37" xfId="33" applyFont="1" applyFill="1" applyBorder="1" applyAlignment="1">
      <alignment horizontal="center" vertical="center" textRotation="90"/>
    </xf>
    <xf numFmtId="0" fontId="25" fillId="28" borderId="27" xfId="33" applyFont="1" applyFill="1" applyBorder="1" applyAlignment="1">
      <alignment horizontal="center" vertical="center" textRotation="90"/>
    </xf>
    <xf numFmtId="0" fontId="44" fillId="30" borderId="27" xfId="33" applyFont="1" applyFill="1" applyBorder="1" applyAlignment="1">
      <alignment horizontal="center" vertical="center" textRotation="90"/>
    </xf>
    <xf numFmtId="0" fontId="77" fillId="57" borderId="27" xfId="33" applyFont="1" applyFill="1" applyBorder="1" applyAlignment="1">
      <alignment horizontal="center" vertical="center"/>
    </xf>
    <xf numFmtId="0" fontId="90" fillId="35" borderId="27" xfId="33" applyFont="1" applyFill="1" applyBorder="1" applyAlignment="1">
      <alignment horizontal="center" vertical="center" textRotation="90"/>
    </xf>
    <xf numFmtId="0" fontId="90" fillId="44" borderId="27" xfId="33" applyFont="1" applyFill="1" applyBorder="1" applyAlignment="1">
      <alignment horizontal="center" vertical="center" textRotation="90"/>
    </xf>
    <xf numFmtId="0" fontId="44" fillId="39" borderId="27" xfId="33" applyFont="1" applyFill="1" applyBorder="1" applyAlignment="1">
      <alignment horizontal="center" vertical="center" textRotation="90"/>
    </xf>
    <xf numFmtId="0" fontId="70" fillId="38" borderId="27" xfId="33" applyFont="1" applyFill="1" applyBorder="1" applyAlignment="1">
      <alignment horizontal="center" vertical="center" textRotation="90"/>
    </xf>
    <xf numFmtId="0" fontId="25" fillId="48" borderId="27" xfId="33" applyFont="1" applyFill="1" applyBorder="1" applyAlignment="1">
      <alignment horizontal="center" vertical="center"/>
    </xf>
    <xf numFmtId="0" fontId="70" fillId="38" borderId="21" xfId="33" applyFont="1" applyFill="1" applyBorder="1" applyAlignment="1">
      <alignment horizontal="center" vertical="center" textRotation="90"/>
    </xf>
    <xf numFmtId="10" fontId="25" fillId="28" borderId="21" xfId="35" applyNumberFormat="1" applyFont="1" applyFill="1" applyBorder="1" applyAlignment="1">
      <alignment horizontal="center" vertical="center" textRotation="90" wrapText="1"/>
    </xf>
    <xf numFmtId="10" fontId="44" fillId="30" borderId="21" xfId="35" applyNumberFormat="1" applyFont="1" applyFill="1" applyBorder="1" applyAlignment="1">
      <alignment horizontal="center" vertical="center" textRotation="90" wrapText="1"/>
    </xf>
    <xf numFmtId="0" fontId="70" fillId="39" borderId="21" xfId="33" applyFont="1" applyFill="1" applyBorder="1" applyAlignment="1">
      <alignment horizontal="center" vertical="center" textRotation="90" wrapText="1"/>
    </xf>
    <xf numFmtId="10" fontId="25" fillId="33" borderId="21" xfId="35" applyNumberFormat="1" applyFont="1" applyFill="1" applyBorder="1" applyAlignment="1">
      <alignment horizontal="center" vertical="center" textRotation="90" wrapText="1"/>
    </xf>
    <xf numFmtId="167" fontId="20" fillId="0" borderId="28" xfId="31" applyFont="1" applyBorder="1"/>
    <xf numFmtId="167" fontId="20" fillId="24" borderId="11" xfId="31" applyFont="1" applyFill="1" applyBorder="1" applyAlignment="1">
      <alignment horizontal="center" vertical="center"/>
    </xf>
    <xf numFmtId="0" fontId="20" fillId="24" borderId="11" xfId="31" applyNumberFormat="1" applyFont="1" applyFill="1" applyBorder="1" applyAlignment="1">
      <alignment horizontal="center" vertical="center"/>
    </xf>
    <xf numFmtId="0" fontId="25" fillId="0" borderId="0" xfId="33" applyFont="1" applyAlignment="1">
      <alignment horizontal="center" vertical="center"/>
    </xf>
    <xf numFmtId="1" fontId="20" fillId="24" borderId="10" xfId="33" applyNumberFormat="1" applyFont="1" applyFill="1" applyBorder="1" applyAlignment="1">
      <alignment horizontal="center" vertical="center"/>
    </xf>
    <xf numFmtId="167" fontId="20" fillId="24" borderId="10" xfId="31" applyFont="1" applyFill="1" applyBorder="1" applyAlignment="1">
      <alignment horizontal="center" vertical="center"/>
    </xf>
    <xf numFmtId="167" fontId="20" fillId="24" borderId="50" xfId="31" applyFont="1" applyFill="1" applyBorder="1" applyAlignment="1">
      <alignment horizontal="center" vertical="center"/>
    </xf>
    <xf numFmtId="0" fontId="20" fillId="0" borderId="0" xfId="33" applyFont="1" applyAlignment="1">
      <alignment horizontal="center" vertical="center"/>
    </xf>
    <xf numFmtId="167" fontId="20" fillId="24" borderId="79" xfId="31" applyFont="1" applyFill="1" applyBorder="1" applyAlignment="1">
      <alignment horizontal="center" vertical="center"/>
    </xf>
    <xf numFmtId="167" fontId="20" fillId="24" borderId="79" xfId="31" applyFont="1" applyFill="1" applyBorder="1" applyAlignment="1">
      <alignment horizontal="left"/>
    </xf>
    <xf numFmtId="167" fontId="37" fillId="34" borderId="79" xfId="31" applyFont="1" applyFill="1" applyBorder="1"/>
    <xf numFmtId="167" fontId="37" fillId="34" borderId="80" xfId="31" applyFont="1" applyFill="1" applyBorder="1"/>
    <xf numFmtId="168" fontId="37" fillId="34" borderId="81" xfId="31" applyNumberFormat="1" applyFont="1" applyFill="1" applyBorder="1"/>
    <xf numFmtId="167" fontId="38" fillId="34" borderId="82" xfId="31" applyFont="1" applyFill="1" applyBorder="1"/>
    <xf numFmtId="167" fontId="38" fillId="34" borderId="79" xfId="31" applyFont="1" applyFill="1" applyBorder="1"/>
    <xf numFmtId="167" fontId="38" fillId="34" borderId="80" xfId="31" applyFont="1" applyFill="1" applyBorder="1"/>
    <xf numFmtId="168" fontId="38" fillId="34" borderId="81" xfId="31" applyNumberFormat="1" applyFont="1" applyFill="1" applyBorder="1"/>
    <xf numFmtId="167" fontId="21" fillId="34" borderId="82" xfId="31" applyFont="1" applyFill="1" applyBorder="1"/>
    <xf numFmtId="167" fontId="21" fillId="34" borderId="79" xfId="31" applyFont="1" applyFill="1" applyBorder="1"/>
    <xf numFmtId="167" fontId="21" fillId="34" borderId="80" xfId="31" applyFont="1" applyFill="1" applyBorder="1"/>
    <xf numFmtId="167" fontId="21" fillId="34" borderId="81" xfId="31" applyNumberFormat="1" applyFont="1" applyFill="1" applyBorder="1" applyAlignment="1">
      <alignment horizontal="center"/>
    </xf>
    <xf numFmtId="167" fontId="22" fillId="34" borderId="79" xfId="31" applyFont="1" applyFill="1" applyBorder="1"/>
    <xf numFmtId="167" fontId="81" fillId="34" borderId="79" xfId="31" applyFont="1" applyFill="1" applyBorder="1"/>
    <xf numFmtId="167" fontId="22" fillId="34" borderId="80" xfId="31" applyFont="1" applyFill="1" applyBorder="1"/>
    <xf numFmtId="167" fontId="22" fillId="34" borderId="81" xfId="31" applyNumberFormat="1" applyFont="1" applyFill="1" applyBorder="1" applyAlignment="1">
      <alignment horizontal="center"/>
    </xf>
    <xf numFmtId="167" fontId="23" fillId="34" borderId="81" xfId="31" applyNumberFormat="1" applyFont="1" applyFill="1" applyBorder="1" applyAlignment="1">
      <alignment horizontal="center"/>
    </xf>
    <xf numFmtId="167" fontId="24" fillId="0" borderId="81" xfId="31" applyNumberFormat="1" applyFont="1" applyFill="1" applyBorder="1" applyAlignment="1">
      <alignment horizontal="center"/>
    </xf>
    <xf numFmtId="167" fontId="60" fillId="0" borderId="81" xfId="31" applyNumberFormat="1" applyFont="1" applyFill="1" applyBorder="1" applyAlignment="1">
      <alignment horizontal="center"/>
    </xf>
    <xf numFmtId="167" fontId="71" fillId="0" borderId="81" xfId="31" applyNumberFormat="1" applyFont="1" applyFill="1" applyBorder="1" applyAlignment="1">
      <alignment horizontal="center"/>
    </xf>
    <xf numFmtId="167" fontId="76" fillId="0" borderId="81" xfId="31" applyNumberFormat="1" applyFont="1" applyFill="1" applyBorder="1" applyAlignment="1">
      <alignment horizontal="center"/>
    </xf>
    <xf numFmtId="9" fontId="23" fillId="34" borderId="79" xfId="35" applyFont="1" applyFill="1" applyBorder="1"/>
    <xf numFmtId="9" fontId="58" fillId="0" borderId="79" xfId="35" applyFont="1" applyBorder="1"/>
    <xf numFmtId="9" fontId="58" fillId="34" borderId="79" xfId="35" applyFont="1" applyFill="1" applyBorder="1"/>
    <xf numFmtId="9" fontId="58" fillId="36" borderId="79" xfId="35" applyFont="1" applyFill="1" applyBorder="1"/>
    <xf numFmtId="9" fontId="60" fillId="34" borderId="79" xfId="35" applyFont="1" applyFill="1" applyBorder="1"/>
    <xf numFmtId="9" fontId="60" fillId="0" borderId="79" xfId="35" applyFont="1" applyBorder="1"/>
    <xf numFmtId="9" fontId="71" fillId="35" borderId="79" xfId="35" applyFont="1" applyFill="1" applyBorder="1"/>
    <xf numFmtId="9" fontId="71" fillId="49" borderId="79" xfId="35" applyFont="1" applyFill="1" applyBorder="1"/>
    <xf numFmtId="9" fontId="71" fillId="0" borderId="79" xfId="35" applyFont="1" applyBorder="1"/>
    <xf numFmtId="9" fontId="76" fillId="62" borderId="79" xfId="35" applyFont="1" applyFill="1" applyBorder="1"/>
    <xf numFmtId="9" fontId="76" fillId="35" borderId="79" xfId="35" applyFont="1" applyFill="1" applyBorder="1"/>
    <xf numFmtId="9" fontId="76" fillId="0" borderId="79" xfId="35" applyFont="1" applyBorder="1"/>
    <xf numFmtId="9" fontId="76" fillId="49" borderId="79" xfId="35" applyFont="1" applyFill="1" applyBorder="1"/>
    <xf numFmtId="9" fontId="76" fillId="58" borderId="79" xfId="35" applyFont="1" applyFill="1" applyBorder="1"/>
    <xf numFmtId="9" fontId="23" fillId="36" borderId="79" xfId="35" applyFont="1" applyFill="1" applyBorder="1"/>
    <xf numFmtId="9" fontId="23" fillId="34" borderId="80" xfId="35" applyFont="1" applyFill="1" applyBorder="1"/>
    <xf numFmtId="193" fontId="76" fillId="35" borderId="79" xfId="35" applyNumberFormat="1" applyFont="1" applyFill="1" applyBorder="1"/>
    <xf numFmtId="167" fontId="37" fillId="34" borderId="21" xfId="31" applyFont="1" applyFill="1" applyBorder="1" applyAlignment="1">
      <alignment horizontal="center"/>
    </xf>
    <xf numFmtId="167" fontId="30" fillId="34" borderId="12" xfId="31" applyFont="1" applyFill="1" applyBorder="1" applyAlignment="1">
      <alignment horizontal="center"/>
    </xf>
    <xf numFmtId="167" fontId="37" fillId="0" borderId="21" xfId="31" applyFont="1" applyBorder="1" applyAlignment="1">
      <alignment horizontal="center"/>
    </xf>
    <xf numFmtId="0" fontId="56" fillId="0" borderId="0" xfId="0" applyFont="1"/>
    <xf numFmtId="0" fontId="20" fillId="36" borderId="0" xfId="33" applyFont="1" applyFill="1"/>
    <xf numFmtId="0" fontId="81" fillId="24" borderId="10" xfId="33" applyFont="1" applyFill="1" applyBorder="1" applyAlignment="1">
      <alignment horizontal="center" vertical="center"/>
    </xf>
    <xf numFmtId="0" fontId="81" fillId="24" borderId="10" xfId="33" applyFont="1" applyFill="1" applyBorder="1" applyAlignment="1">
      <alignment horizontal="center"/>
    </xf>
    <xf numFmtId="0" fontId="41" fillId="36" borderId="10" xfId="33" applyFont="1" applyFill="1" applyBorder="1"/>
    <xf numFmtId="0" fontId="41" fillId="34" borderId="10" xfId="33" applyFont="1" applyFill="1" applyBorder="1"/>
    <xf numFmtId="0" fontId="81" fillId="34" borderId="10" xfId="33" applyFont="1" applyFill="1" applyBorder="1"/>
    <xf numFmtId="0" fontId="81" fillId="36" borderId="15" xfId="33" applyFont="1" applyFill="1" applyBorder="1"/>
    <xf numFmtId="0" fontId="81" fillId="36" borderId="10" xfId="33" applyFont="1" applyFill="1" applyBorder="1"/>
    <xf numFmtId="0" fontId="81" fillId="51" borderId="10" xfId="33" applyFont="1" applyFill="1" applyBorder="1"/>
    <xf numFmtId="0" fontId="81" fillId="49" borderId="10" xfId="33" applyFont="1" applyFill="1" applyBorder="1"/>
    <xf numFmtId="0" fontId="41" fillId="49" borderId="10" xfId="33" applyFont="1" applyFill="1" applyBorder="1"/>
    <xf numFmtId="0" fontId="81" fillId="62" borderId="10" xfId="33" applyFont="1" applyFill="1" applyBorder="1"/>
    <xf numFmtId="0" fontId="41" fillId="58" borderId="10" xfId="33" applyFont="1" applyFill="1" applyBorder="1"/>
    <xf numFmtId="0" fontId="41" fillId="62" borderId="10" xfId="33" applyFont="1" applyFill="1" applyBorder="1"/>
    <xf numFmtId="0" fontId="9" fillId="36" borderId="10" xfId="33" applyFont="1" applyFill="1" applyBorder="1"/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20" fillId="0" borderId="11" xfId="33" applyFon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6" fillId="0" borderId="11" xfId="0" applyNumberFormat="1" applyFont="1" applyBorder="1" applyAlignment="1">
      <alignment horizontal="center"/>
    </xf>
    <xf numFmtId="3" fontId="6" fillId="36" borderId="11" xfId="0" applyNumberFormat="1" applyFont="1" applyFill="1" applyBorder="1" applyAlignment="1">
      <alignment horizontal="center"/>
    </xf>
    <xf numFmtId="3" fontId="56" fillId="0" borderId="11" xfId="0" applyNumberFormat="1" applyFont="1" applyFill="1" applyBorder="1" applyAlignment="1">
      <alignment horizontal="center"/>
    </xf>
    <xf numFmtId="0" fontId="95" fillId="0" borderId="11" xfId="0" applyFont="1" applyBorder="1" applyAlignment="1">
      <alignment horizontal="center"/>
    </xf>
    <xf numFmtId="0" fontId="69" fillId="0" borderId="11" xfId="0" applyFont="1" applyBorder="1" applyAlignment="1">
      <alignment horizontal="center"/>
    </xf>
    <xf numFmtId="0" fontId="96" fillId="62" borderId="11" xfId="0" applyFont="1" applyFill="1" applyBorder="1" applyAlignment="1">
      <alignment horizontal="center"/>
    </xf>
    <xf numFmtId="0" fontId="78" fillId="0" borderId="11" xfId="0" applyFont="1" applyBorder="1" applyAlignment="1">
      <alignment horizontal="center"/>
    </xf>
    <xf numFmtId="0" fontId="97" fillId="0" borderId="11" xfId="0" applyFont="1" applyBorder="1" applyAlignment="1">
      <alignment horizontal="center"/>
    </xf>
    <xf numFmtId="9" fontId="95" fillId="0" borderId="11" xfId="35" applyFont="1" applyBorder="1" applyAlignment="1">
      <alignment horizontal="center"/>
    </xf>
    <xf numFmtId="0" fontId="93" fillId="62" borderId="11" xfId="0" applyFont="1" applyFill="1" applyBorder="1" applyAlignment="1">
      <alignment horizontal="center"/>
    </xf>
    <xf numFmtId="0" fontId="6" fillId="36" borderId="11" xfId="0" applyFont="1" applyFill="1" applyBorder="1" applyAlignment="1">
      <alignment horizontal="center"/>
    </xf>
    <xf numFmtId="0" fontId="81" fillId="36" borderId="38" xfId="33" applyFont="1" applyFill="1" applyBorder="1"/>
    <xf numFmtId="0" fontId="81" fillId="36" borderId="34" xfId="33" applyFont="1" applyFill="1" applyBorder="1"/>
    <xf numFmtId="0" fontId="78" fillId="0" borderId="34" xfId="0" applyFont="1" applyBorder="1" applyAlignment="1">
      <alignment horizontal="center"/>
    </xf>
    <xf numFmtId="0" fontId="92" fillId="0" borderId="38" xfId="0" applyFont="1" applyBorder="1"/>
    <xf numFmtId="0" fontId="92" fillId="0" borderId="34" xfId="0" applyFont="1" applyBorder="1"/>
    <xf numFmtId="0" fontId="0" fillId="0" borderId="34" xfId="0" applyBorder="1" applyAlignment="1">
      <alignment horizontal="center"/>
    </xf>
    <xf numFmtId="0" fontId="61" fillId="0" borderId="34" xfId="0" applyFont="1" applyBorder="1" applyAlignment="1">
      <alignment horizontal="center"/>
    </xf>
    <xf numFmtId="0" fontId="41" fillId="36" borderId="38" xfId="33" applyFont="1" applyFill="1" applyBorder="1"/>
    <xf numFmtId="0" fontId="41" fillId="36" borderId="34" xfId="33" applyFont="1" applyFill="1" applyBorder="1"/>
    <xf numFmtId="0" fontId="81" fillId="34" borderId="38" xfId="33" applyFont="1" applyFill="1" applyBorder="1"/>
    <xf numFmtId="0" fontId="81" fillId="34" borderId="34" xfId="33" applyFont="1" applyFill="1" applyBorder="1"/>
    <xf numFmtId="3" fontId="0" fillId="0" borderId="34" xfId="0" applyNumberFormat="1" applyBorder="1" applyAlignment="1">
      <alignment horizontal="center"/>
    </xf>
  </cellXfs>
  <cellStyles count="5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Milliers" xfId="46" builtinId="3"/>
    <cellStyle name="Milliers 2" xfId="57" xr:uid="{5442E174-C2C2-496C-965B-9D8E0745E8BE}"/>
    <cellStyle name="Milliers_Prévisionnel HONO PAC 2012 V4 fev 2012" xfId="31" xr:uid="{00000000-0005-0000-0000-000026000000}"/>
    <cellStyle name="Neutre" xfId="32" builtinId="28" customBuiltin="1"/>
    <cellStyle name="Normal" xfId="0" builtinId="0"/>
    <cellStyle name="Normal 4" xfId="55" xr:uid="{00000000-0005-0000-0000-000029000000}"/>
    <cellStyle name="Normal_Liste programmation logts PCA NBL v2014" xfId="33" xr:uid="{00000000-0005-0000-0000-00002A000000}"/>
    <cellStyle name="Normal_Prévisionnel HONO PAC 2012 V4 fev 2012" xfId="34" xr:uid="{00000000-0005-0000-0000-00002B000000}"/>
    <cellStyle name="Note" xfId="28" builtinId="10" customBuiltin="1"/>
    <cellStyle name="Pourcentage" xfId="35" builtinId="5"/>
    <cellStyle name="Pourcentage 2" xfId="56" xr:uid="{00000000-0005-0000-0000-00002E000000}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25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FFBC9B"/>
      <color rgb="FF00FF00"/>
      <color rgb="FF006600"/>
      <color rgb="FF00FF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A%20REMETTRE%20SUR%20BUREAU/PERSONNEL/A%20TRAVAILLER/WE/Tableau%20suivi%20financement%20r&#233;cap%20-%20macr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9\0205-VEFA%20MIAMI\3.%20Budget\4.%20APS\19_01_14%20v2\BUDGET%20VEFA%20MIAMI%20140119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HONORAIRES%20PAC\Pr&#233;visionnel%20HONO%202019\Avancement%20HON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ds propres"/>
      <sheetName val="SYNTHESE"/>
      <sheetName val="CGLLS"/>
      <sheetName val="Données initiales"/>
      <sheetName val="REHAB"/>
      <sheetName val="STAT REHAB"/>
      <sheetName val="Prix VEFA"/>
      <sheetName val="PROG par bassin et type"/>
      <sheetName val="Prospections  abandons"/>
      <sheetName val="Evolution LBU"/>
      <sheetName val="TCD REHAB"/>
      <sheetName val="Structure plan financement"/>
      <sheetName val="Evolution des OS"/>
      <sheetName val="Evolution des livraisons"/>
      <sheetName val="Structure PRP"/>
      <sheetName val="St Jo"/>
      <sheetName val="Répartition commune"/>
      <sheetName val="avant 2011"/>
    </sheetNames>
    <sheetDataSet>
      <sheetData sheetId="0"/>
      <sheetData sheetId="1"/>
      <sheetData sheetId="2"/>
      <sheetData sheetId="3">
        <row r="2">
          <cell r="C2" t="str">
            <v>Petite-Ile</v>
          </cell>
          <cell r="E2">
            <v>2010</v>
          </cell>
          <cell r="G2" t="str">
            <v>FHO</v>
          </cell>
          <cell r="I2" t="str">
            <v>patrimoine</v>
          </cell>
          <cell r="P2">
            <v>9556</v>
          </cell>
          <cell r="Q2">
            <v>407560.68000000005</v>
          </cell>
          <cell r="AD2" t="str">
            <v>LLTS</v>
          </cell>
          <cell r="AE2">
            <v>27</v>
          </cell>
          <cell r="AF2">
            <v>27</v>
          </cell>
          <cell r="AN2">
            <v>81.943703703703676</v>
          </cell>
          <cell r="DZ2" t="str">
            <v>0</v>
          </cell>
          <cell r="GX2">
            <v>2306000</v>
          </cell>
        </row>
        <row r="3">
          <cell r="C3" t="str">
            <v>Petite-Ile</v>
          </cell>
          <cell r="E3">
            <v>2010</v>
          </cell>
          <cell r="G3" t="str">
            <v>FMA</v>
          </cell>
          <cell r="H3" t="str">
            <v>SRI</v>
          </cell>
          <cell r="I3" t="str">
            <v>patrimoine</v>
          </cell>
          <cell r="P3">
            <v>9462</v>
          </cell>
          <cell r="Q3">
            <v>874165.66</v>
          </cell>
          <cell r="AD3" t="str">
            <v>LLTS</v>
          </cell>
          <cell r="AE3">
            <v>30</v>
          </cell>
          <cell r="AF3">
            <v>30</v>
          </cell>
          <cell r="AN3">
            <v>74.601333333333329</v>
          </cell>
          <cell r="DZ3" t="str">
            <v>0</v>
          </cell>
          <cell r="GX3">
            <v>2481000</v>
          </cell>
        </row>
        <row r="4">
          <cell r="C4" t="str">
            <v>Tampon</v>
          </cell>
          <cell r="E4">
            <v>2011</v>
          </cell>
          <cell r="G4" t="str">
            <v>FMA</v>
          </cell>
          <cell r="H4" t="str">
            <v>SRI</v>
          </cell>
          <cell r="I4" t="str">
            <v>patrimoine</v>
          </cell>
          <cell r="P4">
            <v>3280</v>
          </cell>
          <cell r="Q4">
            <v>700000</v>
          </cell>
          <cell r="AD4" t="str">
            <v>LLS</v>
          </cell>
          <cell r="AE4">
            <v>20</v>
          </cell>
          <cell r="AF4">
            <v>20</v>
          </cell>
          <cell r="AN4">
            <v>85.367499999999993</v>
          </cell>
          <cell r="DZ4" t="str">
            <v>0</v>
          </cell>
          <cell r="GW4">
            <v>54504.5</v>
          </cell>
          <cell r="GX4">
            <v>2287466</v>
          </cell>
        </row>
        <row r="5">
          <cell r="C5" t="str">
            <v>Tampon</v>
          </cell>
          <cell r="E5">
            <v>2011</v>
          </cell>
          <cell r="I5" t="str">
            <v>patrimoine</v>
          </cell>
          <cell r="P5">
            <v>5169</v>
          </cell>
          <cell r="Q5">
            <v>830607</v>
          </cell>
          <cell r="AD5" t="str">
            <v>LLS</v>
          </cell>
          <cell r="AE5">
            <v>51</v>
          </cell>
          <cell r="AF5">
            <v>51</v>
          </cell>
          <cell r="AN5">
            <v>94.850196078431367</v>
          </cell>
          <cell r="DZ5" t="str">
            <v>0</v>
          </cell>
          <cell r="GW5">
            <v>57503.294117647056</v>
          </cell>
          <cell r="GX5">
            <v>6290107</v>
          </cell>
        </row>
        <row r="6">
          <cell r="C6" t="str">
            <v>St Leu</v>
          </cell>
          <cell r="E6">
            <v>2011</v>
          </cell>
          <cell r="I6" t="str">
            <v>patrimoine</v>
          </cell>
          <cell r="AD6" t="str">
            <v>LLTS</v>
          </cell>
          <cell r="AE6">
            <v>16</v>
          </cell>
          <cell r="AF6">
            <v>16</v>
          </cell>
          <cell r="AN6">
            <v>89.548124999999999</v>
          </cell>
          <cell r="DZ6" t="str">
            <v>0</v>
          </cell>
          <cell r="GW6">
            <v>53339</v>
          </cell>
          <cell r="GX6">
            <v>1530227</v>
          </cell>
        </row>
        <row r="7">
          <cell r="C7" t="str">
            <v>St Pierre</v>
          </cell>
          <cell r="E7">
            <v>2011</v>
          </cell>
          <cell r="G7" t="str">
            <v>NBL</v>
          </cell>
          <cell r="I7" t="str">
            <v>patrimoine</v>
          </cell>
          <cell r="P7">
            <v>4531</v>
          </cell>
          <cell r="Q7">
            <v>799078</v>
          </cell>
          <cell r="AD7" t="str">
            <v>LLS</v>
          </cell>
          <cell r="AE7">
            <v>23</v>
          </cell>
          <cell r="AF7">
            <v>23</v>
          </cell>
          <cell r="AN7">
            <v>83.325217391304349</v>
          </cell>
          <cell r="DZ7" t="str">
            <v>0</v>
          </cell>
          <cell r="GW7">
            <v>51798.521739130432</v>
          </cell>
          <cell r="GX7">
            <v>2593661</v>
          </cell>
        </row>
        <row r="8">
          <cell r="C8" t="str">
            <v>St Leu</v>
          </cell>
          <cell r="E8">
            <v>2011</v>
          </cell>
          <cell r="I8" t="str">
            <v>patrimoine</v>
          </cell>
          <cell r="P8">
            <v>8131</v>
          </cell>
          <cell r="Q8">
            <v>227747.25</v>
          </cell>
          <cell r="AD8" t="str">
            <v>LLS</v>
          </cell>
          <cell r="AE8">
            <v>4</v>
          </cell>
          <cell r="AF8">
            <v>4</v>
          </cell>
          <cell r="AN8">
            <v>79.44</v>
          </cell>
          <cell r="DZ8" t="str">
            <v>0</v>
          </cell>
          <cell r="GW8">
            <v>18750</v>
          </cell>
          <cell r="GX8">
            <v>335412</v>
          </cell>
        </row>
        <row r="9">
          <cell r="C9" t="str">
            <v>Tampon</v>
          </cell>
          <cell r="E9">
            <v>2011</v>
          </cell>
          <cell r="I9" t="str">
            <v>patrimoine</v>
          </cell>
          <cell r="AD9" t="str">
            <v>LLTS</v>
          </cell>
          <cell r="AE9">
            <v>6</v>
          </cell>
          <cell r="AF9">
            <v>6</v>
          </cell>
          <cell r="AN9">
            <v>78.476666666666674</v>
          </cell>
          <cell r="DZ9" t="str">
            <v>0</v>
          </cell>
          <cell r="GW9">
            <v>56687.333333333336</v>
          </cell>
          <cell r="GX9">
            <v>486159</v>
          </cell>
        </row>
        <row r="10">
          <cell r="C10" t="str">
            <v>St Leu</v>
          </cell>
          <cell r="E10">
            <v>2011</v>
          </cell>
          <cell r="G10" t="str">
            <v>YFR</v>
          </cell>
          <cell r="H10" t="str">
            <v>NLE</v>
          </cell>
          <cell r="I10" t="str">
            <v>patrimoine</v>
          </cell>
          <cell r="P10">
            <v>2405</v>
          </cell>
          <cell r="Q10">
            <v>133800</v>
          </cell>
          <cell r="AD10" t="str">
            <v>LLTS</v>
          </cell>
          <cell r="AE10">
            <v>14</v>
          </cell>
          <cell r="AF10">
            <v>14</v>
          </cell>
          <cell r="AN10">
            <v>84.554999999999993</v>
          </cell>
          <cell r="DZ10" t="str">
            <v>0</v>
          </cell>
          <cell r="GW10">
            <v>0</v>
          </cell>
          <cell r="GX10">
            <v>1285412</v>
          </cell>
        </row>
        <row r="11">
          <cell r="C11" t="str">
            <v>Tampon</v>
          </cell>
          <cell r="E11">
            <v>2012</v>
          </cell>
          <cell r="G11" t="str">
            <v>FMA</v>
          </cell>
          <cell r="I11" t="str">
            <v>patrimoine</v>
          </cell>
          <cell r="P11">
            <v>3735</v>
          </cell>
          <cell r="Q11">
            <v>860000</v>
          </cell>
          <cell r="AD11" t="str">
            <v>LLS</v>
          </cell>
          <cell r="AE11">
            <v>29</v>
          </cell>
          <cell r="AF11">
            <v>29</v>
          </cell>
          <cell r="AN11">
            <v>82.355862068965521</v>
          </cell>
          <cell r="DZ11" t="str">
            <v>0</v>
          </cell>
          <cell r="GW11">
            <v>50819.28896551724</v>
          </cell>
          <cell r="GX11">
            <v>3186090</v>
          </cell>
        </row>
        <row r="12">
          <cell r="C12" t="str">
            <v>Tampon</v>
          </cell>
          <cell r="E12">
            <v>2012</v>
          </cell>
          <cell r="G12" t="str">
            <v>FMA</v>
          </cell>
          <cell r="I12" t="str">
            <v>patrimoine</v>
          </cell>
          <cell r="AD12" t="str">
            <v>LLTS</v>
          </cell>
          <cell r="AE12">
            <v>13</v>
          </cell>
          <cell r="AF12">
            <v>13</v>
          </cell>
          <cell r="AN12">
            <v>71.277692307692305</v>
          </cell>
          <cell r="DZ12" t="str">
            <v>0</v>
          </cell>
          <cell r="GW12">
            <v>54338.345384615386</v>
          </cell>
          <cell r="GX12">
            <v>1041347.98</v>
          </cell>
        </row>
        <row r="13">
          <cell r="C13" t="str">
            <v>Tampon</v>
          </cell>
          <cell r="E13">
            <v>2012</v>
          </cell>
          <cell r="G13" t="str">
            <v>FVA</v>
          </cell>
          <cell r="I13" t="str">
            <v>patrimoine</v>
          </cell>
          <cell r="P13">
            <v>12495</v>
          </cell>
          <cell r="Q13">
            <v>825000</v>
          </cell>
          <cell r="AD13" t="str">
            <v>LLTS</v>
          </cell>
          <cell r="AE13">
            <v>65</v>
          </cell>
          <cell r="AF13">
            <v>65</v>
          </cell>
          <cell r="AN13">
            <v>82.197923076923146</v>
          </cell>
          <cell r="DZ13" t="str">
            <v>0</v>
          </cell>
          <cell r="GW13">
            <v>49166.630769230767</v>
          </cell>
          <cell r="GX13">
            <v>6112292.5499999998</v>
          </cell>
        </row>
        <row r="14">
          <cell r="C14" t="str">
            <v>Tampon</v>
          </cell>
          <cell r="E14">
            <v>2012</v>
          </cell>
          <cell r="G14" t="str">
            <v>FHO</v>
          </cell>
          <cell r="H14" t="str">
            <v>MMA</v>
          </cell>
          <cell r="I14" t="str">
            <v>patrimoine</v>
          </cell>
          <cell r="P14">
            <v>8821</v>
          </cell>
          <cell r="Q14">
            <v>530000</v>
          </cell>
          <cell r="AD14" t="str">
            <v>LLTS</v>
          </cell>
          <cell r="AE14">
            <v>40</v>
          </cell>
          <cell r="AF14">
            <v>40</v>
          </cell>
          <cell r="AN14">
            <v>64.791250000000005</v>
          </cell>
          <cell r="DZ14" t="str">
            <v>0</v>
          </cell>
          <cell r="GW14">
            <v>37013.425000000003</v>
          </cell>
          <cell r="GX14">
            <v>2895140.53</v>
          </cell>
        </row>
        <row r="15">
          <cell r="C15" t="str">
            <v>Tampon</v>
          </cell>
          <cell r="E15">
            <v>2012</v>
          </cell>
          <cell r="G15" t="str">
            <v>SGM</v>
          </cell>
          <cell r="I15" t="str">
            <v>patrimoine</v>
          </cell>
          <cell r="P15">
            <v>5530</v>
          </cell>
          <cell r="Q15">
            <v>1300000</v>
          </cell>
          <cell r="AD15" t="str">
            <v>LLTS</v>
          </cell>
          <cell r="AE15">
            <v>75</v>
          </cell>
          <cell r="AF15">
            <v>75</v>
          </cell>
          <cell r="AN15">
            <v>87.451466666666661</v>
          </cell>
          <cell r="DZ15" t="str">
            <v>0</v>
          </cell>
          <cell r="GW15">
            <v>50880.303999999996</v>
          </cell>
          <cell r="GX15">
            <v>7538525.5099999998</v>
          </cell>
        </row>
        <row r="16">
          <cell r="C16" t="str">
            <v>Tampon</v>
          </cell>
          <cell r="E16">
            <v>2012</v>
          </cell>
          <cell r="H16" t="str">
            <v>DBE</v>
          </cell>
          <cell r="I16" t="str">
            <v>patrimoine</v>
          </cell>
          <cell r="P16">
            <v>7275</v>
          </cell>
          <cell r="Q16">
            <v>773000</v>
          </cell>
          <cell r="AD16" t="str">
            <v>LLS</v>
          </cell>
          <cell r="AE16">
            <v>84</v>
          </cell>
          <cell r="AF16">
            <v>84</v>
          </cell>
          <cell r="AN16">
            <v>54.469761904761903</v>
          </cell>
          <cell r="DZ16" t="str">
            <v>0</v>
          </cell>
          <cell r="GW16">
            <v>38852.892857142855</v>
          </cell>
          <cell r="GX16">
            <v>6429606.3699999992</v>
          </cell>
        </row>
        <row r="17">
          <cell r="C17" t="str">
            <v>Etang-Salé</v>
          </cell>
          <cell r="E17">
            <v>2012</v>
          </cell>
          <cell r="G17" t="str">
            <v>FHO</v>
          </cell>
          <cell r="I17" t="str">
            <v>patrimoine</v>
          </cell>
          <cell r="P17">
            <v>2671</v>
          </cell>
          <cell r="Q17">
            <v>176000</v>
          </cell>
          <cell r="AD17" t="str">
            <v>LLTS</v>
          </cell>
          <cell r="AE17">
            <v>14</v>
          </cell>
          <cell r="AF17">
            <v>14</v>
          </cell>
          <cell r="AN17">
            <v>79.085714285714303</v>
          </cell>
          <cell r="DZ17" t="str">
            <v>0</v>
          </cell>
          <cell r="GW17">
            <v>53221.071428571428</v>
          </cell>
          <cell r="GX17">
            <v>1240121</v>
          </cell>
        </row>
        <row r="18">
          <cell r="C18" t="str">
            <v>St Leu</v>
          </cell>
          <cell r="E18">
            <v>2012</v>
          </cell>
          <cell r="G18" t="str">
            <v>YFR</v>
          </cell>
          <cell r="H18" t="str">
            <v>VAF</v>
          </cell>
          <cell r="I18" t="str">
            <v>patrimoine</v>
          </cell>
          <cell r="P18">
            <v>7382</v>
          </cell>
          <cell r="Q18">
            <v>243429</v>
          </cell>
          <cell r="AD18" t="str">
            <v>LLTS</v>
          </cell>
          <cell r="AE18">
            <v>24</v>
          </cell>
          <cell r="AF18">
            <v>24</v>
          </cell>
          <cell r="AN18">
            <v>85.274999999999991</v>
          </cell>
          <cell r="DZ18" t="str">
            <v>0</v>
          </cell>
          <cell r="FM18">
            <v>44803.79</v>
          </cell>
          <cell r="GW18">
            <v>49868.791666666664</v>
          </cell>
          <cell r="GX18">
            <v>2362522</v>
          </cell>
        </row>
        <row r="19">
          <cell r="C19" t="str">
            <v>Tampon</v>
          </cell>
          <cell r="E19">
            <v>2012</v>
          </cell>
          <cell r="I19" t="str">
            <v>patrimoine</v>
          </cell>
          <cell r="P19">
            <v>2666</v>
          </cell>
          <cell r="Q19">
            <v>209000</v>
          </cell>
          <cell r="AD19" t="str">
            <v>LLTS</v>
          </cell>
          <cell r="AE19">
            <v>17</v>
          </cell>
          <cell r="AF19">
            <v>17</v>
          </cell>
          <cell r="AN19">
            <v>72.952941176470588</v>
          </cell>
          <cell r="DZ19" t="str">
            <v>0</v>
          </cell>
          <cell r="GW19">
            <v>44132.23529411765</v>
          </cell>
          <cell r="GX19">
            <v>1395754</v>
          </cell>
        </row>
        <row r="20">
          <cell r="C20" t="str">
            <v>Petite-Ile</v>
          </cell>
          <cell r="E20">
            <v>2012</v>
          </cell>
          <cell r="G20" t="str">
            <v>YFR</v>
          </cell>
          <cell r="I20" t="str">
            <v>patrimoine</v>
          </cell>
          <cell r="P20">
            <v>606</v>
          </cell>
          <cell r="Q20">
            <v>89040</v>
          </cell>
          <cell r="AD20" t="str">
            <v>LLTS</v>
          </cell>
          <cell r="AE20">
            <v>7</v>
          </cell>
          <cell r="AF20">
            <v>7</v>
          </cell>
          <cell r="AN20">
            <v>76.297142857142859</v>
          </cell>
          <cell r="DZ20" t="str">
            <v>0</v>
          </cell>
          <cell r="GW20">
            <v>42042.428571428572</v>
          </cell>
          <cell r="GX20">
            <v>604971</v>
          </cell>
        </row>
        <row r="21">
          <cell r="C21" t="str">
            <v>St Leu</v>
          </cell>
          <cell r="E21">
            <v>2012</v>
          </cell>
          <cell r="H21" t="str">
            <v>GGO</v>
          </cell>
          <cell r="I21" t="str">
            <v>patrimoine</v>
          </cell>
          <cell r="P21">
            <v>6156.15</v>
          </cell>
          <cell r="Q21">
            <v>164070</v>
          </cell>
          <cell r="AD21" t="str">
            <v>LLTS</v>
          </cell>
          <cell r="AE21">
            <v>22</v>
          </cell>
          <cell r="AF21">
            <v>22</v>
          </cell>
          <cell r="AN21">
            <v>76.75</v>
          </cell>
          <cell r="DZ21" t="str">
            <v>0</v>
          </cell>
          <cell r="FK21">
            <v>125069</v>
          </cell>
          <cell r="GW21">
            <v>42264.5</v>
          </cell>
          <cell r="GX21">
            <v>1895079</v>
          </cell>
        </row>
        <row r="22">
          <cell r="C22" t="str">
            <v>St Leu</v>
          </cell>
          <cell r="E22">
            <v>2012</v>
          </cell>
          <cell r="G22" t="str">
            <v>YFR</v>
          </cell>
          <cell r="H22" t="str">
            <v>VAF</v>
          </cell>
          <cell r="I22" t="str">
            <v>patrimoine</v>
          </cell>
          <cell r="P22">
            <v>3000</v>
          </cell>
          <cell r="Q22">
            <v>200500</v>
          </cell>
          <cell r="AD22" t="str">
            <v>LLTS</v>
          </cell>
          <cell r="AE22">
            <v>10</v>
          </cell>
          <cell r="AF22">
            <v>10</v>
          </cell>
          <cell r="AN22">
            <v>93.558000000000007</v>
          </cell>
          <cell r="DZ22" t="str">
            <v>0</v>
          </cell>
          <cell r="GW22">
            <v>55344.1</v>
          </cell>
          <cell r="GX22">
            <v>1110259</v>
          </cell>
        </row>
        <row r="23">
          <cell r="C23" t="str">
            <v>Tampon</v>
          </cell>
          <cell r="E23">
            <v>2013</v>
          </cell>
          <cell r="H23" t="str">
            <v>MMA</v>
          </cell>
          <cell r="I23" t="str">
            <v>patrimoine</v>
          </cell>
          <cell r="P23">
            <v>2330</v>
          </cell>
          <cell r="Q23">
            <v>800000</v>
          </cell>
          <cell r="AD23" t="str">
            <v>LLS</v>
          </cell>
          <cell r="AE23">
            <v>44</v>
          </cell>
          <cell r="AF23">
            <v>44</v>
          </cell>
          <cell r="AN23">
            <v>82.687727272727258</v>
          </cell>
          <cell r="DZ23" t="str">
            <v>0</v>
          </cell>
          <cell r="FK23">
            <v>285000</v>
          </cell>
          <cell r="FM23">
            <v>194031.93247</v>
          </cell>
          <cell r="GW23">
            <v>55430.63636363636</v>
          </cell>
          <cell r="GX23">
            <v>4693223</v>
          </cell>
        </row>
        <row r="24">
          <cell r="C24" t="str">
            <v>St Paul</v>
          </cell>
          <cell r="E24">
            <v>2013</v>
          </cell>
          <cell r="G24" t="str">
            <v>BBL</v>
          </cell>
          <cell r="H24" t="str">
            <v>SRI</v>
          </cell>
          <cell r="I24" t="str">
            <v>GPA</v>
          </cell>
          <cell r="AD24" t="str">
            <v>LLTS</v>
          </cell>
          <cell r="AE24">
            <v>83</v>
          </cell>
          <cell r="AF24">
            <v>83</v>
          </cell>
          <cell r="AN24">
            <v>88.766987951807224</v>
          </cell>
          <cell r="DZ24" t="str">
            <v>0</v>
          </cell>
          <cell r="GW24">
            <v>53283.240963855424</v>
          </cell>
          <cell r="GX24">
            <v>8282245</v>
          </cell>
        </row>
        <row r="25">
          <cell r="C25" t="str">
            <v>Entre-Deux</v>
          </cell>
          <cell r="E25">
            <v>2013</v>
          </cell>
          <cell r="H25" t="str">
            <v>DAM</v>
          </cell>
          <cell r="I25" t="str">
            <v>patrimoine</v>
          </cell>
          <cell r="P25">
            <v>1547</v>
          </cell>
          <cell r="Q25">
            <v>259906</v>
          </cell>
          <cell r="AD25" t="str">
            <v>LLTS</v>
          </cell>
          <cell r="AE25">
            <v>18</v>
          </cell>
          <cell r="AF25">
            <v>18</v>
          </cell>
          <cell r="AN25">
            <v>73.276666666666671</v>
          </cell>
          <cell r="CS25">
            <v>41184</v>
          </cell>
          <cell r="DA25">
            <v>41375</v>
          </cell>
          <cell r="DX25">
            <v>41880</v>
          </cell>
          <cell r="DY25">
            <v>42153</v>
          </cell>
          <cell r="DZ25">
            <v>273</v>
          </cell>
          <cell r="FM25">
            <v>110247.29</v>
          </cell>
          <cell r="FO25" t="str">
            <v>JFO / BBL / FHO / AGA / APU</v>
          </cell>
          <cell r="GW25">
            <v>40940.222222222219</v>
          </cell>
          <cell r="GX25">
            <v>1490303</v>
          </cell>
        </row>
        <row r="26">
          <cell r="C26" t="str">
            <v>St Leu</v>
          </cell>
          <cell r="E26">
            <v>2013</v>
          </cell>
          <cell r="G26" t="str">
            <v>TQU</v>
          </cell>
          <cell r="I26" t="str">
            <v>patrimoine</v>
          </cell>
          <cell r="AD26" t="str">
            <v>LLTS</v>
          </cell>
          <cell r="AE26">
            <v>44</v>
          </cell>
          <cell r="AF26">
            <v>44</v>
          </cell>
          <cell r="AN26">
            <v>80.552045454545478</v>
          </cell>
          <cell r="DZ26" t="str">
            <v>0</v>
          </cell>
          <cell r="GW26">
            <v>43298.454545454544</v>
          </cell>
          <cell r="GX26">
            <v>3678947</v>
          </cell>
        </row>
        <row r="27">
          <cell r="C27" t="str">
            <v>Tampon</v>
          </cell>
          <cell r="E27">
            <v>2013</v>
          </cell>
          <cell r="G27" t="str">
            <v>YFR</v>
          </cell>
          <cell r="H27" t="str">
            <v>DAM</v>
          </cell>
          <cell r="I27" t="str">
            <v>patrimoine</v>
          </cell>
          <cell r="P27">
            <v>5146</v>
          </cell>
          <cell r="Q27">
            <v>1069200</v>
          </cell>
          <cell r="AD27" t="str">
            <v>LLS</v>
          </cell>
          <cell r="AE27">
            <v>54</v>
          </cell>
          <cell r="AF27">
            <v>54</v>
          </cell>
          <cell r="AN27">
            <v>84.940153198653221</v>
          </cell>
          <cell r="DZ27" t="str">
            <v>0</v>
          </cell>
          <cell r="FM27">
            <v>173911.66743999999</v>
          </cell>
          <cell r="GW27">
            <v>60877.777777777781</v>
          </cell>
          <cell r="GX27">
            <v>5918673</v>
          </cell>
        </row>
        <row r="28">
          <cell r="C28" t="str">
            <v>St Joseph</v>
          </cell>
          <cell r="E28">
            <v>2013</v>
          </cell>
          <cell r="G28" t="str">
            <v>YFR</v>
          </cell>
          <cell r="H28" t="str">
            <v>DBA</v>
          </cell>
          <cell r="I28" t="str">
            <v>patrimoine</v>
          </cell>
          <cell r="P28">
            <v>11354</v>
          </cell>
          <cell r="Q28">
            <v>444858</v>
          </cell>
          <cell r="AD28" t="str">
            <v>LLTS</v>
          </cell>
          <cell r="AE28">
            <v>34</v>
          </cell>
          <cell r="AF28">
            <v>34</v>
          </cell>
          <cell r="AN28">
            <v>77.924411764705866</v>
          </cell>
          <cell r="DZ28" t="str">
            <v>0</v>
          </cell>
          <cell r="FK28">
            <v>30629.999999999996</v>
          </cell>
          <cell r="FM28">
            <v>127571.90799999998</v>
          </cell>
          <cell r="GW28">
            <v>47063.87</v>
          </cell>
          <cell r="GX28">
            <v>3023907</v>
          </cell>
        </row>
        <row r="29">
          <cell r="C29" t="str">
            <v>Tampon</v>
          </cell>
          <cell r="E29">
            <v>2013</v>
          </cell>
          <cell r="H29" t="str">
            <v>MMA</v>
          </cell>
          <cell r="I29" t="str">
            <v>patrimoine</v>
          </cell>
          <cell r="P29">
            <v>2250</v>
          </cell>
          <cell r="Q29">
            <v>102507</v>
          </cell>
          <cell r="AD29" t="str">
            <v>LLTS</v>
          </cell>
          <cell r="AE29">
            <v>9</v>
          </cell>
          <cell r="AF29">
            <v>9</v>
          </cell>
          <cell r="AN29">
            <v>78.203333333333333</v>
          </cell>
          <cell r="DZ29" t="str">
            <v>0</v>
          </cell>
          <cell r="FM29">
            <v>40210.961899999995</v>
          </cell>
          <cell r="GW29">
            <v>47378.777777777781</v>
          </cell>
          <cell r="GX29">
            <v>864010</v>
          </cell>
        </row>
        <row r="30">
          <cell r="C30" t="str">
            <v>St Paul</v>
          </cell>
          <cell r="E30">
            <v>2013</v>
          </cell>
          <cell r="G30" t="str">
            <v>BBL</v>
          </cell>
          <cell r="I30" t="str">
            <v>GPA</v>
          </cell>
          <cell r="P30">
            <v>20161</v>
          </cell>
          <cell r="Q30">
            <v>1550000</v>
          </cell>
          <cell r="AD30" t="str">
            <v>LLS</v>
          </cell>
          <cell r="AE30">
            <v>27</v>
          </cell>
          <cell r="AF30">
            <v>27</v>
          </cell>
          <cell r="AN30">
            <v>104.25703703703704</v>
          </cell>
          <cell r="DZ30" t="str">
            <v>0</v>
          </cell>
          <cell r="FM30">
            <v>713667.76899999997</v>
          </cell>
          <cell r="GW30">
            <v>70976.629629629635</v>
          </cell>
          <cell r="GX30">
            <v>3571759.95</v>
          </cell>
        </row>
        <row r="31">
          <cell r="C31" t="str">
            <v>St Leu</v>
          </cell>
          <cell r="E31">
            <v>2013</v>
          </cell>
          <cell r="G31" t="str">
            <v>TQU</v>
          </cell>
          <cell r="H31" t="str">
            <v>VAF</v>
          </cell>
          <cell r="I31" t="str">
            <v>patrimoine</v>
          </cell>
          <cell r="P31">
            <v>18523</v>
          </cell>
          <cell r="Q31">
            <v>492000</v>
          </cell>
          <cell r="AD31" t="str">
            <v>LLS</v>
          </cell>
          <cell r="AE31">
            <v>37</v>
          </cell>
          <cell r="AF31">
            <v>37</v>
          </cell>
          <cell r="AN31">
            <v>96.989189189189176</v>
          </cell>
          <cell r="DZ31" t="str">
            <v>0</v>
          </cell>
          <cell r="FM31">
            <v>131109.67299999998</v>
          </cell>
          <cell r="GW31">
            <v>66317.16216216216</v>
          </cell>
          <cell r="GX31">
            <v>4684224</v>
          </cell>
        </row>
        <row r="32">
          <cell r="C32" t="str">
            <v>St Philippe</v>
          </cell>
          <cell r="E32">
            <v>2013</v>
          </cell>
          <cell r="G32" t="str">
            <v>FHO</v>
          </cell>
          <cell r="H32" t="str">
            <v>VAF</v>
          </cell>
          <cell r="I32" t="str">
            <v>patrimoine</v>
          </cell>
          <cell r="P32">
            <v>4625</v>
          </cell>
          <cell r="Q32">
            <v>215000</v>
          </cell>
          <cell r="AD32" t="str">
            <v>LLTS</v>
          </cell>
          <cell r="AE32">
            <v>14</v>
          </cell>
          <cell r="AF32">
            <v>14</v>
          </cell>
          <cell r="AN32">
            <v>83.024642857142837</v>
          </cell>
          <cell r="DZ32" t="str">
            <v>0</v>
          </cell>
          <cell r="FM32">
            <v>66160.799999999988</v>
          </cell>
          <cell r="GW32">
            <v>45897.5</v>
          </cell>
          <cell r="GX32">
            <v>1260196</v>
          </cell>
        </row>
        <row r="33">
          <cell r="C33" t="str">
            <v>Trois Bassins</v>
          </cell>
          <cell r="E33">
            <v>2013</v>
          </cell>
          <cell r="G33" t="str">
            <v>FVA</v>
          </cell>
          <cell r="H33" t="str">
            <v>DAM</v>
          </cell>
          <cell r="I33" t="str">
            <v>cloture</v>
          </cell>
          <cell r="P33">
            <v>15520</v>
          </cell>
          <cell r="Q33">
            <v>130195</v>
          </cell>
          <cell r="AD33" t="str">
            <v>LLTS</v>
          </cell>
          <cell r="AE33">
            <v>24</v>
          </cell>
          <cell r="AF33">
            <v>24</v>
          </cell>
          <cell r="AN33">
            <v>77.122500000000002</v>
          </cell>
          <cell r="DZ33" t="str">
            <v>0</v>
          </cell>
          <cell r="FM33">
            <v>59499.795999999995</v>
          </cell>
          <cell r="GW33">
            <v>43444.708333333336</v>
          </cell>
          <cell r="GX33">
            <v>2051712</v>
          </cell>
        </row>
        <row r="34">
          <cell r="C34" t="str">
            <v>St Joseph</v>
          </cell>
          <cell r="E34">
            <v>2013</v>
          </cell>
          <cell r="G34" t="str">
            <v>FHO</v>
          </cell>
          <cell r="H34" t="str">
            <v>DAM</v>
          </cell>
          <cell r="I34" t="str">
            <v>patrimoine</v>
          </cell>
          <cell r="P34">
            <v>4550</v>
          </cell>
          <cell r="Q34">
            <v>298500</v>
          </cell>
          <cell r="AD34" t="str">
            <v>LLTS</v>
          </cell>
          <cell r="AE34">
            <v>15</v>
          </cell>
          <cell r="AF34">
            <v>15</v>
          </cell>
          <cell r="AN34">
            <v>78.694666666666663</v>
          </cell>
          <cell r="DZ34" t="str">
            <v>0</v>
          </cell>
          <cell r="FM34">
            <v>0</v>
          </cell>
          <cell r="GW34">
            <v>55731.133333333331</v>
          </cell>
          <cell r="GX34">
            <v>1314229</v>
          </cell>
        </row>
        <row r="35">
          <cell r="C35" t="str">
            <v>Etang-Salé</v>
          </cell>
          <cell r="E35">
            <v>2014</v>
          </cell>
          <cell r="G35" t="str">
            <v>FVA</v>
          </cell>
          <cell r="H35" t="str">
            <v>DBE</v>
          </cell>
          <cell r="I35" t="str">
            <v>patrimoine</v>
          </cell>
          <cell r="P35">
            <v>1750</v>
          </cell>
          <cell r="Q35">
            <v>325000</v>
          </cell>
          <cell r="AD35" t="str">
            <v>LLS</v>
          </cell>
          <cell r="AE35">
            <v>9</v>
          </cell>
          <cell r="AF35">
            <v>9</v>
          </cell>
          <cell r="AN35">
            <v>92.61388888888888</v>
          </cell>
          <cell r="CS35">
            <v>41548</v>
          </cell>
          <cell r="DA35">
            <v>41688</v>
          </cell>
          <cell r="DX35">
            <v>42615</v>
          </cell>
          <cell r="DY35">
            <v>42604</v>
          </cell>
          <cell r="DZ35">
            <v>-11</v>
          </cell>
          <cell r="FK35">
            <v>3439.7489999999998</v>
          </cell>
          <cell r="FM35">
            <v>27474.088999999996</v>
          </cell>
          <cell r="FO35" t="str">
            <v>SFE / AGA / FVA</v>
          </cell>
          <cell r="GW35">
            <v>68247.222222222219</v>
          </cell>
          <cell r="GX35">
            <v>1199946</v>
          </cell>
        </row>
        <row r="36">
          <cell r="C36" t="str">
            <v>Tampon</v>
          </cell>
          <cell r="E36">
            <v>2014</v>
          </cell>
          <cell r="I36" t="str">
            <v>patrimoine</v>
          </cell>
          <cell r="P36">
            <v>2671</v>
          </cell>
          <cell r="Q36">
            <v>637295</v>
          </cell>
          <cell r="AD36" t="str">
            <v>LLTS</v>
          </cell>
          <cell r="AE36">
            <v>47</v>
          </cell>
          <cell r="AF36">
            <v>47</v>
          </cell>
          <cell r="AN36">
            <v>81.40425531914893</v>
          </cell>
          <cell r="DZ36" t="str">
            <v>0</v>
          </cell>
          <cell r="FM36">
            <v>0</v>
          </cell>
          <cell r="GW36">
            <v>47546.829787234041</v>
          </cell>
          <cell r="GX36">
            <v>4540907.43</v>
          </cell>
        </row>
        <row r="37">
          <cell r="C37" t="str">
            <v>St Joseph</v>
          </cell>
          <cell r="E37">
            <v>2014</v>
          </cell>
          <cell r="G37" t="str">
            <v>FHO</v>
          </cell>
          <cell r="H37" t="str">
            <v>VAF</v>
          </cell>
          <cell r="I37" t="str">
            <v>GPA</v>
          </cell>
          <cell r="P37">
            <v>7020</v>
          </cell>
          <cell r="Q37">
            <v>577000</v>
          </cell>
          <cell r="AD37" t="str">
            <v>LLTS</v>
          </cell>
          <cell r="AE37">
            <v>21</v>
          </cell>
          <cell r="AF37">
            <v>21</v>
          </cell>
          <cell r="AN37">
            <v>72.47999999999999</v>
          </cell>
          <cell r="DX37">
            <v>43266</v>
          </cell>
          <cell r="DY37">
            <v>43284</v>
          </cell>
          <cell r="DZ37">
            <v>18</v>
          </cell>
          <cell r="FK37" t="str">
            <v>80659
31 478 FRAFU</v>
          </cell>
          <cell r="FL37">
            <v>0</v>
          </cell>
          <cell r="FM37">
            <v>0</v>
          </cell>
          <cell r="FO37" t="str">
            <v>FHO</v>
          </cell>
          <cell r="GW37">
            <v>60659.587142857148</v>
          </cell>
          <cell r="GX37">
            <v>1784577</v>
          </cell>
        </row>
        <row r="38">
          <cell r="C38" t="str">
            <v>Tampon</v>
          </cell>
          <cell r="E38">
            <v>2014</v>
          </cell>
          <cell r="G38" t="str">
            <v>YFR</v>
          </cell>
          <cell r="H38" t="str">
            <v>DBA</v>
          </cell>
          <cell r="I38" t="str">
            <v>patrimoine</v>
          </cell>
          <cell r="P38">
            <v>3512</v>
          </cell>
          <cell r="Q38">
            <v>977347</v>
          </cell>
          <cell r="AD38" t="str">
            <v>LLTS</v>
          </cell>
          <cell r="AE38">
            <v>50</v>
          </cell>
          <cell r="AF38">
            <v>50</v>
          </cell>
          <cell r="AN38">
            <v>89.848799999999997</v>
          </cell>
          <cell r="DY38">
            <v>42606</v>
          </cell>
          <cell r="DZ38" t="str">
            <v>0</v>
          </cell>
          <cell r="FM38">
            <v>0</v>
          </cell>
          <cell r="FO38" t="str">
            <v>FMA / YFR</v>
          </cell>
          <cell r="GW38">
            <v>51448.520799999998</v>
          </cell>
          <cell r="GX38">
            <v>5272823.875</v>
          </cell>
        </row>
        <row r="39">
          <cell r="C39" t="str">
            <v>Etang-Salé</v>
          </cell>
          <cell r="E39">
            <v>2014</v>
          </cell>
          <cell r="G39" t="str">
            <v>FHO</v>
          </cell>
          <cell r="H39" t="str">
            <v>VAF</v>
          </cell>
          <cell r="I39" t="str">
            <v>GPA</v>
          </cell>
          <cell r="P39">
            <v>2529</v>
          </cell>
          <cell r="Q39">
            <v>217810</v>
          </cell>
          <cell r="AD39" t="str">
            <v>LLTS</v>
          </cell>
          <cell r="AE39">
            <v>30</v>
          </cell>
          <cell r="AF39">
            <v>30</v>
          </cell>
          <cell r="AN39">
            <v>85.464999999999989</v>
          </cell>
          <cell r="CS39">
            <v>41543</v>
          </cell>
          <cell r="DA39">
            <v>41708</v>
          </cell>
          <cell r="DX39">
            <v>42908</v>
          </cell>
          <cell r="DY39">
            <v>42907</v>
          </cell>
          <cell r="DZ39">
            <v>-1</v>
          </cell>
          <cell r="FK39">
            <v>101278.04394999999</v>
          </cell>
          <cell r="FM39">
            <v>84397</v>
          </cell>
          <cell r="FO39" t="str">
            <v>FMA / FHO</v>
          </cell>
          <cell r="GW39">
            <v>48754.066666666666</v>
          </cell>
          <cell r="GX39">
            <v>2706086</v>
          </cell>
        </row>
        <row r="40">
          <cell r="C40" t="str">
            <v>Etang-Salé</v>
          </cell>
          <cell r="E40">
            <v>2014</v>
          </cell>
          <cell r="G40" t="str">
            <v>YFR</v>
          </cell>
          <cell r="H40" t="str">
            <v>DBE</v>
          </cell>
          <cell r="I40" t="str">
            <v>patrimoine</v>
          </cell>
          <cell r="P40">
            <v>1500</v>
          </cell>
          <cell r="Q40">
            <v>128915</v>
          </cell>
          <cell r="AD40" t="str">
            <v>LLTS</v>
          </cell>
          <cell r="AE40">
            <v>16</v>
          </cell>
          <cell r="AF40">
            <v>16</v>
          </cell>
          <cell r="AN40">
            <v>88.41</v>
          </cell>
          <cell r="DZ40" t="str">
            <v>0</v>
          </cell>
          <cell r="FM40">
            <v>12993.96</v>
          </cell>
          <cell r="GW40">
            <v>53939</v>
          </cell>
          <cell r="GX40">
            <v>1596953.37</v>
          </cell>
        </row>
        <row r="41">
          <cell r="C41" t="str">
            <v>St Philippe</v>
          </cell>
          <cell r="E41">
            <v>2015</v>
          </cell>
          <cell r="G41" t="str">
            <v>FHO</v>
          </cell>
          <cell r="H41" t="str">
            <v>MMA</v>
          </cell>
          <cell r="I41" t="str">
            <v>GPA</v>
          </cell>
          <cell r="P41">
            <v>3547</v>
          </cell>
          <cell r="Q41">
            <v>319230</v>
          </cell>
          <cell r="AD41" t="str">
            <v>LLTS</v>
          </cell>
          <cell r="AE41">
            <v>19</v>
          </cell>
          <cell r="AF41">
            <v>19</v>
          </cell>
          <cell r="AN41">
            <v>63.241052631578945</v>
          </cell>
          <cell r="DX41">
            <v>43059</v>
          </cell>
          <cell r="DY41">
            <v>43144</v>
          </cell>
          <cell r="DZ41">
            <v>85</v>
          </cell>
          <cell r="FK41">
            <v>99692.481999999989</v>
          </cell>
          <cell r="FM41">
            <v>1791.7937399999998</v>
          </cell>
          <cell r="FO41" t="str">
            <v>FHO</v>
          </cell>
          <cell r="GW41">
            <v>40586.368421052633</v>
          </cell>
          <cell r="GX41">
            <v>0</v>
          </cell>
        </row>
        <row r="42">
          <cell r="C42" t="str">
            <v>St Joseph</v>
          </cell>
          <cell r="E42">
            <v>2015</v>
          </cell>
          <cell r="G42" t="str">
            <v>TQU</v>
          </cell>
          <cell r="H42" t="str">
            <v>DAM</v>
          </cell>
          <cell r="I42" t="str">
            <v>GPA</v>
          </cell>
          <cell r="P42">
            <v>779</v>
          </cell>
          <cell r="Q42">
            <v>195000</v>
          </cell>
          <cell r="AD42" t="str">
            <v>LLTS</v>
          </cell>
          <cell r="AE42">
            <v>20</v>
          </cell>
          <cell r="AF42">
            <v>20</v>
          </cell>
          <cell r="AN42">
            <v>64.975499999999997</v>
          </cell>
          <cell r="CS42">
            <v>41828</v>
          </cell>
          <cell r="DA42">
            <v>42027</v>
          </cell>
          <cell r="DX42">
            <v>42899</v>
          </cell>
          <cell r="DY42">
            <v>42978</v>
          </cell>
          <cell r="DZ42">
            <v>79</v>
          </cell>
          <cell r="FK42">
            <v>11509.23</v>
          </cell>
          <cell r="FL42">
            <v>0</v>
          </cell>
          <cell r="FM42">
            <v>31941.984999999997</v>
          </cell>
          <cell r="FO42" t="str">
            <v>JMO / NBL / FBR</v>
          </cell>
          <cell r="GW42">
            <v>40154.9</v>
          </cell>
          <cell r="GX42">
            <v>1544668</v>
          </cell>
        </row>
        <row r="43">
          <cell r="C43" t="str">
            <v>Etang-Salé</v>
          </cell>
          <cell r="E43">
            <v>2015</v>
          </cell>
          <cell r="G43" t="str">
            <v>FVA</v>
          </cell>
          <cell r="H43" t="str">
            <v>DBE</v>
          </cell>
          <cell r="I43" t="str">
            <v>GPA</v>
          </cell>
          <cell r="P43">
            <v>1263</v>
          </cell>
          <cell r="Q43">
            <v>126500</v>
          </cell>
          <cell r="AD43" t="str">
            <v>LLTS</v>
          </cell>
          <cell r="AE43">
            <v>18</v>
          </cell>
          <cell r="AF43">
            <v>18</v>
          </cell>
          <cell r="AN43">
            <v>81.286666666666676</v>
          </cell>
          <cell r="CS43">
            <v>41963</v>
          </cell>
          <cell r="DA43">
            <v>42033</v>
          </cell>
          <cell r="DY43">
            <v>43222</v>
          </cell>
          <cell r="DZ43" t="str">
            <v>0</v>
          </cell>
          <cell r="FK43">
            <v>115573</v>
          </cell>
          <cell r="FL43">
            <v>96000</v>
          </cell>
          <cell r="FO43" t="str">
            <v>JMO / AGA / FVA</v>
          </cell>
          <cell r="GW43">
            <v>48683.093675939657</v>
          </cell>
          <cell r="GX43">
            <v>1657979</v>
          </cell>
        </row>
        <row r="44">
          <cell r="C44" t="str">
            <v>St Louis</v>
          </cell>
          <cell r="E44">
            <v>2015</v>
          </cell>
          <cell r="G44" t="str">
            <v>EMO</v>
          </cell>
          <cell r="I44" t="str">
            <v>GPA</v>
          </cell>
          <cell r="P44">
            <v>10371.413793103447</v>
          </cell>
          <cell r="Q44">
            <v>468089.65517241386</v>
          </cell>
          <cell r="AD44" t="str">
            <v>LLS</v>
          </cell>
          <cell r="AE44">
            <v>46</v>
          </cell>
          <cell r="AF44">
            <v>46</v>
          </cell>
          <cell r="AN44">
            <v>87.731847826086991</v>
          </cell>
          <cell r="DX44">
            <v>42942</v>
          </cell>
          <cell r="DY44">
            <v>43160</v>
          </cell>
          <cell r="DZ44">
            <v>218</v>
          </cell>
          <cell r="FK44">
            <v>491714.43721999996</v>
          </cell>
          <cell r="FL44">
            <v>345197.8408103516</v>
          </cell>
          <cell r="FM44">
            <v>77194.093559999994</v>
          </cell>
          <cell r="FO44" t="str">
            <v>SFE / APU</v>
          </cell>
          <cell r="GW44">
            <v>57449.67391304348</v>
          </cell>
          <cell r="GX44">
            <v>5285874</v>
          </cell>
        </row>
        <row r="45">
          <cell r="C45" t="str">
            <v>St Louis</v>
          </cell>
          <cell r="E45">
            <v>2015</v>
          </cell>
          <cell r="G45" t="str">
            <v>EMO</v>
          </cell>
          <cell r="H45" t="str">
            <v>VAF</v>
          </cell>
          <cell r="I45" t="str">
            <v>GPA</v>
          </cell>
          <cell r="P45">
            <v>2705.5862068965516</v>
          </cell>
          <cell r="Q45">
            <v>122110.34482758622</v>
          </cell>
          <cell r="AD45" t="str">
            <v>LLTS</v>
          </cell>
          <cell r="AE45">
            <v>12</v>
          </cell>
          <cell r="AF45">
            <v>12</v>
          </cell>
          <cell r="AN45">
            <v>56.438333333333333</v>
          </cell>
          <cell r="DZ45" t="str">
            <v>0</v>
          </cell>
          <cell r="FK45" t="str">
            <v>-</v>
          </cell>
          <cell r="GW45">
            <v>36957.657500000001</v>
          </cell>
          <cell r="GX45">
            <v>771556</v>
          </cell>
        </row>
        <row r="46">
          <cell r="C46" t="str">
            <v>St Paul</v>
          </cell>
          <cell r="E46">
            <v>2015</v>
          </cell>
          <cell r="G46" t="str">
            <v>BBL</v>
          </cell>
          <cell r="H46" t="str">
            <v>DBE</v>
          </cell>
          <cell r="I46" t="str">
            <v>GPA</v>
          </cell>
          <cell r="P46">
            <v>1767</v>
          </cell>
          <cell r="Q46">
            <v>210000</v>
          </cell>
          <cell r="AD46" t="str">
            <v>LLTS</v>
          </cell>
          <cell r="AE46">
            <v>18</v>
          </cell>
          <cell r="AF46">
            <v>18</v>
          </cell>
          <cell r="AN46">
            <v>94.928333333333342</v>
          </cell>
          <cell r="CS46">
            <v>41813</v>
          </cell>
          <cell r="DA46">
            <v>42038</v>
          </cell>
          <cell r="DX46">
            <v>42899</v>
          </cell>
          <cell r="DY46">
            <v>42923</v>
          </cell>
          <cell r="DZ46">
            <v>24</v>
          </cell>
          <cell r="FK46">
            <v>177717.03653999997</v>
          </cell>
          <cell r="FL46">
            <v>128189</v>
          </cell>
          <cell r="FM46">
            <v>8425.6391399999993</v>
          </cell>
          <cell r="FO46" t="str">
            <v>JMO / NBL / FBR / BBL</v>
          </cell>
          <cell r="GW46">
            <v>54598.888888888891</v>
          </cell>
          <cell r="GX46">
            <v>0</v>
          </cell>
        </row>
        <row r="47">
          <cell r="C47" t="str">
            <v>St Joseph</v>
          </cell>
          <cell r="E47">
            <v>2015</v>
          </cell>
          <cell r="G47" t="str">
            <v>FHO</v>
          </cell>
          <cell r="H47" t="str">
            <v>VAF</v>
          </cell>
          <cell r="I47" t="str">
            <v>GPA</v>
          </cell>
          <cell r="P47">
            <v>3038</v>
          </cell>
          <cell r="Q47">
            <v>690000</v>
          </cell>
          <cell r="AD47" t="str">
            <v>LLTS</v>
          </cell>
          <cell r="AE47">
            <v>55</v>
          </cell>
          <cell r="AF47">
            <v>55</v>
          </cell>
          <cell r="AN47">
            <v>58.805454545454538</v>
          </cell>
          <cell r="DX47">
            <v>42946</v>
          </cell>
          <cell r="DY47">
            <v>42895</v>
          </cell>
          <cell r="DZ47">
            <v>-51</v>
          </cell>
          <cell r="FK47">
            <v>0</v>
          </cell>
          <cell r="FM47">
            <v>0</v>
          </cell>
          <cell r="FO47" t="str">
            <v>FHO</v>
          </cell>
          <cell r="GW47">
            <v>35061.345454545452</v>
          </cell>
          <cell r="GX47">
            <v>3865450</v>
          </cell>
        </row>
        <row r="48">
          <cell r="C48" t="str">
            <v>Tampon</v>
          </cell>
          <cell r="E48">
            <v>2015</v>
          </cell>
          <cell r="G48" t="str">
            <v>BBL</v>
          </cell>
          <cell r="H48" t="str">
            <v>SRI</v>
          </cell>
          <cell r="I48" t="str">
            <v>Tvx</v>
          </cell>
          <cell r="P48">
            <v>8838</v>
          </cell>
          <cell r="Q48">
            <v>652080</v>
          </cell>
          <cell r="AD48" t="str">
            <v>LLS</v>
          </cell>
          <cell r="AE48">
            <v>20</v>
          </cell>
          <cell r="AF48">
            <v>20</v>
          </cell>
          <cell r="AN48">
            <v>97.031999999999982</v>
          </cell>
          <cell r="DX48">
            <v>43315</v>
          </cell>
          <cell r="DY48">
            <v>43446</v>
          </cell>
          <cell r="DZ48">
            <v>131</v>
          </cell>
          <cell r="FK48">
            <v>485791.79999999993</v>
          </cell>
          <cell r="FM48">
            <v>0</v>
          </cell>
          <cell r="FO48" t="str">
            <v>JMO / FBR</v>
          </cell>
          <cell r="GW48">
            <v>61031.4</v>
          </cell>
          <cell r="GX48">
            <v>2066681</v>
          </cell>
        </row>
        <row r="49">
          <cell r="C49" t="str">
            <v>Tampon</v>
          </cell>
          <cell r="E49">
            <v>2016</v>
          </cell>
          <cell r="G49" t="str">
            <v>BBL</v>
          </cell>
          <cell r="I49" t="str">
            <v>Tvx</v>
          </cell>
          <cell r="P49">
            <v>8838</v>
          </cell>
          <cell r="Q49">
            <v>652080</v>
          </cell>
          <cell r="AD49" t="str">
            <v>LLTS</v>
          </cell>
          <cell r="AE49">
            <v>69</v>
          </cell>
          <cell r="AF49">
            <v>69</v>
          </cell>
          <cell r="AN49">
            <v>72.319999999999993</v>
          </cell>
          <cell r="DX49">
            <v>43315</v>
          </cell>
          <cell r="DY49">
            <v>43446</v>
          </cell>
          <cell r="DZ49">
            <v>131</v>
          </cell>
          <cell r="FM49">
            <v>0</v>
          </cell>
          <cell r="GW49">
            <v>44386.768115942032</v>
          </cell>
          <cell r="GX49">
            <v>5336445</v>
          </cell>
        </row>
        <row r="50">
          <cell r="C50" t="str">
            <v>Avirons</v>
          </cell>
          <cell r="E50">
            <v>2016</v>
          </cell>
          <cell r="G50" t="str">
            <v>YFR</v>
          </cell>
          <cell r="H50" t="str">
            <v>DAM</v>
          </cell>
          <cell r="I50" t="str">
            <v>patrimoine</v>
          </cell>
          <cell r="P50">
            <v>807</v>
          </cell>
          <cell r="Q50">
            <v>250272</v>
          </cell>
          <cell r="AD50" t="str">
            <v>LLTS</v>
          </cell>
          <cell r="AE50">
            <v>23</v>
          </cell>
          <cell r="AF50">
            <v>23</v>
          </cell>
          <cell r="AN50">
            <v>66.787391304347821</v>
          </cell>
          <cell r="DX50">
            <v>42712</v>
          </cell>
          <cell r="DY50">
            <v>42712</v>
          </cell>
          <cell r="DZ50">
            <v>0</v>
          </cell>
          <cell r="FK50">
            <v>0</v>
          </cell>
          <cell r="FM50">
            <v>0</v>
          </cell>
          <cell r="FO50" t="str">
            <v>MFL / ADE</v>
          </cell>
          <cell r="GW50">
            <v>39203.956521739128</v>
          </cell>
          <cell r="GX50">
            <v>1772076</v>
          </cell>
        </row>
        <row r="51">
          <cell r="C51" t="str">
            <v>Etang-Salé</v>
          </cell>
          <cell r="E51">
            <v>2016</v>
          </cell>
          <cell r="G51" t="str">
            <v>TQU</v>
          </cell>
          <cell r="H51" t="str">
            <v>MMA</v>
          </cell>
          <cell r="I51" t="str">
            <v>GPA</v>
          </cell>
          <cell r="P51">
            <v>3126</v>
          </cell>
          <cell r="Q51">
            <v>268450</v>
          </cell>
          <cell r="AD51" t="str">
            <v>LLS</v>
          </cell>
          <cell r="AE51">
            <v>30</v>
          </cell>
          <cell r="AF51">
            <v>30</v>
          </cell>
          <cell r="AN51">
            <v>89.279666666666657</v>
          </cell>
          <cell r="CS51">
            <v>41548</v>
          </cell>
          <cell r="DA51">
            <v>41697</v>
          </cell>
          <cell r="DX51">
            <v>42916</v>
          </cell>
          <cell r="DY51">
            <v>42936</v>
          </cell>
          <cell r="DZ51">
            <v>20</v>
          </cell>
          <cell r="FK51">
            <v>316521.23099999997</v>
          </cell>
          <cell r="FM51">
            <v>0</v>
          </cell>
          <cell r="FO51" t="str">
            <v>JDC / NBL / MFL / ADE</v>
          </cell>
          <cell r="GW51">
            <v>54631.871333333329</v>
          </cell>
          <cell r="GX51">
            <v>3296474.06</v>
          </cell>
        </row>
        <row r="52">
          <cell r="C52" t="str">
            <v>Petite-Ile</v>
          </cell>
          <cell r="E52">
            <v>2016</v>
          </cell>
          <cell r="G52" t="str">
            <v>FHO</v>
          </cell>
          <cell r="H52" t="str">
            <v>DAM</v>
          </cell>
          <cell r="I52" t="str">
            <v>Tvx</v>
          </cell>
          <cell r="P52">
            <v>5130</v>
          </cell>
          <cell r="Q52">
            <v>425624</v>
          </cell>
          <cell r="AD52" t="str">
            <v>LLTS</v>
          </cell>
          <cell r="AE52">
            <v>28</v>
          </cell>
          <cell r="AF52">
            <v>28</v>
          </cell>
          <cell r="AN52">
            <v>67.352499999999992</v>
          </cell>
          <cell r="DX52">
            <v>43484</v>
          </cell>
          <cell r="DY52">
            <v>43453</v>
          </cell>
          <cell r="DZ52">
            <v>-31</v>
          </cell>
          <cell r="FK52">
            <v>134399.71276999998</v>
          </cell>
          <cell r="FL52">
            <v>131635.37</v>
          </cell>
          <cell r="FM52">
            <v>0</v>
          </cell>
          <cell r="GW52">
            <v>41581.392857142855</v>
          </cell>
          <cell r="GX52">
            <v>2105582</v>
          </cell>
        </row>
        <row r="53">
          <cell r="C53" t="str">
            <v>Tampon</v>
          </cell>
          <cell r="E53" t="str">
            <v>abandon</v>
          </cell>
          <cell r="H53" t="str">
            <v>DBE</v>
          </cell>
          <cell r="I53" t="str">
            <v>annulée</v>
          </cell>
          <cell r="P53">
            <v>785</v>
          </cell>
          <cell r="Q53">
            <v>550000</v>
          </cell>
          <cell r="AD53" t="str">
            <v>LLTS</v>
          </cell>
          <cell r="AE53">
            <v>22</v>
          </cell>
          <cell r="AF53">
            <v>22</v>
          </cell>
          <cell r="AN53">
            <v>76.766818181818181</v>
          </cell>
          <cell r="DX53">
            <v>43776</v>
          </cell>
          <cell r="DY53">
            <v>43776</v>
          </cell>
          <cell r="DZ53">
            <v>0</v>
          </cell>
          <cell r="GW53">
            <v>0</v>
          </cell>
          <cell r="GX53">
            <v>0</v>
          </cell>
        </row>
        <row r="54">
          <cell r="C54" t="str">
            <v>Entre-Deux</v>
          </cell>
          <cell r="E54">
            <v>2016</v>
          </cell>
          <cell r="G54" t="str">
            <v>TQU</v>
          </cell>
          <cell r="H54" t="str">
            <v>VAF</v>
          </cell>
          <cell r="I54" t="str">
            <v>DCE</v>
          </cell>
          <cell r="P54">
            <v>2307</v>
          </cell>
          <cell r="Q54">
            <v>184560</v>
          </cell>
          <cell r="AD54" t="str">
            <v>LLTS</v>
          </cell>
          <cell r="AE54">
            <v>18</v>
          </cell>
          <cell r="AF54">
            <v>18</v>
          </cell>
          <cell r="AN54">
            <v>77.175000000000011</v>
          </cell>
          <cell r="DX54">
            <v>43845</v>
          </cell>
          <cell r="DY54">
            <v>43845</v>
          </cell>
          <cell r="DZ54">
            <v>0</v>
          </cell>
          <cell r="GW54">
            <v>60978</v>
          </cell>
          <cell r="GX54">
            <v>1611685</v>
          </cell>
        </row>
        <row r="55">
          <cell r="C55" t="str">
            <v>St Louis</v>
          </cell>
          <cell r="E55">
            <v>2018</v>
          </cell>
          <cell r="G55" t="str">
            <v>YFR</v>
          </cell>
          <cell r="H55" t="str">
            <v>MMA</v>
          </cell>
          <cell r="I55" t="str">
            <v>DCE</v>
          </cell>
          <cell r="P55">
            <v>7382</v>
          </cell>
          <cell r="Q55">
            <v>1016540</v>
          </cell>
          <cell r="AD55" t="str">
            <v>LLS</v>
          </cell>
          <cell r="AE55">
            <v>39</v>
          </cell>
          <cell r="AF55">
            <v>39</v>
          </cell>
          <cell r="AN55">
            <v>73.192307692307708</v>
          </cell>
          <cell r="CS55">
            <v>43012</v>
          </cell>
          <cell r="DA55">
            <v>43189</v>
          </cell>
          <cell r="DX55">
            <v>43804</v>
          </cell>
          <cell r="DY55">
            <v>43804</v>
          </cell>
          <cell r="DZ55">
            <v>0</v>
          </cell>
          <cell r="GW55">
            <v>58207.656924890507</v>
          </cell>
          <cell r="GX55">
            <v>3759574.2570932982</v>
          </cell>
        </row>
        <row r="56">
          <cell r="C56" t="str">
            <v>St Joseph</v>
          </cell>
          <cell r="E56">
            <v>2016</v>
          </cell>
          <cell r="G56" t="str">
            <v>FHO</v>
          </cell>
          <cell r="H56" t="str">
            <v>SRI</v>
          </cell>
          <cell r="I56" t="str">
            <v>OS</v>
          </cell>
          <cell r="P56">
            <v>2872</v>
          </cell>
          <cell r="Q56">
            <v>516960</v>
          </cell>
          <cell r="AD56" t="str">
            <v>LLTS</v>
          </cell>
          <cell r="AE56">
            <v>40</v>
          </cell>
          <cell r="AF56">
            <v>40</v>
          </cell>
          <cell r="AN56">
            <v>58.558500000000002</v>
          </cell>
          <cell r="DX56">
            <v>43739</v>
          </cell>
          <cell r="DY56">
            <v>43739</v>
          </cell>
          <cell r="DZ56">
            <v>0</v>
          </cell>
          <cell r="GW56">
            <v>40883.199999999997</v>
          </cell>
          <cell r="GX56">
            <v>2754467</v>
          </cell>
        </row>
        <row r="57">
          <cell r="C57" t="str">
            <v>Entre-Deux</v>
          </cell>
          <cell r="E57">
            <v>2016</v>
          </cell>
          <cell r="G57" t="str">
            <v>FHO</v>
          </cell>
          <cell r="H57" t="str">
            <v>DBE</v>
          </cell>
          <cell r="I57" t="str">
            <v>Tvx</v>
          </cell>
          <cell r="P57">
            <v>8111</v>
          </cell>
          <cell r="Q57">
            <v>405550</v>
          </cell>
          <cell r="AD57" t="str">
            <v>LLTS</v>
          </cell>
          <cell r="AE57">
            <v>35</v>
          </cell>
          <cell r="AF57">
            <v>35</v>
          </cell>
          <cell r="AN57">
            <v>66.181142857142859</v>
          </cell>
          <cell r="CS57">
            <v>42296</v>
          </cell>
          <cell r="DA57">
            <v>42593</v>
          </cell>
          <cell r="DX57">
            <v>43287</v>
          </cell>
          <cell r="DY57">
            <v>43355</v>
          </cell>
          <cell r="DZ57">
            <v>68</v>
          </cell>
          <cell r="FK57">
            <v>124561.99999999999</v>
          </cell>
          <cell r="FM57">
            <v>0</v>
          </cell>
          <cell r="GW57">
            <v>44360.714285714283</v>
          </cell>
          <cell r="GX57">
            <v>2760459</v>
          </cell>
        </row>
        <row r="58">
          <cell r="C58" t="str">
            <v>St Pierre</v>
          </cell>
          <cell r="E58">
            <v>2017</v>
          </cell>
          <cell r="G58" t="str">
            <v>YFR</v>
          </cell>
          <cell r="H58" t="str">
            <v>VAF</v>
          </cell>
          <cell r="I58" t="str">
            <v>Tvx</v>
          </cell>
          <cell r="P58">
            <v>4801</v>
          </cell>
          <cell r="Q58">
            <v>473822</v>
          </cell>
          <cell r="AD58" t="str">
            <v>LLTS</v>
          </cell>
          <cell r="AE58">
            <v>30</v>
          </cell>
          <cell r="AF58">
            <v>30</v>
          </cell>
          <cell r="AN58">
            <v>56.943666666666665</v>
          </cell>
          <cell r="DY58">
            <v>43145</v>
          </cell>
          <cell r="DZ58" t="str">
            <v>0</v>
          </cell>
          <cell r="FK58">
            <v>0</v>
          </cell>
          <cell r="FM58">
            <v>0</v>
          </cell>
          <cell r="GW58">
            <v>37771.155666666666</v>
          </cell>
          <cell r="GX58">
            <v>2100287</v>
          </cell>
        </row>
        <row r="59">
          <cell r="C59" t="str">
            <v>Tampon</v>
          </cell>
          <cell r="E59">
            <v>2017</v>
          </cell>
          <cell r="G59" t="str">
            <v>YFR</v>
          </cell>
          <cell r="H59" t="str">
            <v>DBA</v>
          </cell>
          <cell r="I59" t="str">
            <v>Tvx</v>
          </cell>
          <cell r="P59">
            <v>1976</v>
          </cell>
          <cell r="Q59">
            <v>300000</v>
          </cell>
          <cell r="AD59" t="str">
            <v>LLTS</v>
          </cell>
          <cell r="AE59">
            <v>24</v>
          </cell>
          <cell r="AF59">
            <v>24</v>
          </cell>
          <cell r="AN59">
            <v>74.856666666666669</v>
          </cell>
          <cell r="CS59">
            <v>42583</v>
          </cell>
          <cell r="DA59">
            <v>42751</v>
          </cell>
          <cell r="DX59">
            <v>43710</v>
          </cell>
          <cell r="DY59">
            <v>43710</v>
          </cell>
          <cell r="DZ59">
            <v>0</v>
          </cell>
          <cell r="FK59">
            <v>197331.09</v>
          </cell>
          <cell r="GW59">
            <v>50346.928076154443</v>
          </cell>
          <cell r="GX59">
            <v>2207104</v>
          </cell>
        </row>
        <row r="60">
          <cell r="C60" t="str">
            <v>Tampon</v>
          </cell>
          <cell r="E60">
            <v>2017</v>
          </cell>
          <cell r="G60" t="str">
            <v>TQU</v>
          </cell>
          <cell r="H60" t="str">
            <v>DAM</v>
          </cell>
          <cell r="I60" t="str">
            <v>AO</v>
          </cell>
          <cell r="P60">
            <v>1953</v>
          </cell>
          <cell r="Q60">
            <v>452000</v>
          </cell>
          <cell r="AD60" t="str">
            <v>LLTS</v>
          </cell>
          <cell r="AE60">
            <v>26</v>
          </cell>
          <cell r="AF60">
            <v>26</v>
          </cell>
          <cell r="AN60">
            <v>66.144038461538457</v>
          </cell>
          <cell r="DX60">
            <v>43800</v>
          </cell>
          <cell r="DY60">
            <v>43800</v>
          </cell>
          <cell r="DZ60">
            <v>0</v>
          </cell>
          <cell r="GW60">
            <v>55010.5</v>
          </cell>
          <cell r="GX60">
            <v>2432335</v>
          </cell>
        </row>
        <row r="61">
          <cell r="C61" t="str">
            <v>St Leu</v>
          </cell>
          <cell r="E61">
            <v>2018</v>
          </cell>
          <cell r="G61" t="str">
            <v>EMO</v>
          </cell>
          <cell r="H61" t="str">
            <v>DBE</v>
          </cell>
          <cell r="I61" t="str">
            <v>DCE</v>
          </cell>
          <cell r="P61">
            <v>4783.68</v>
          </cell>
          <cell r="Q61">
            <v>230090</v>
          </cell>
          <cell r="AD61" t="str">
            <v>LLS</v>
          </cell>
          <cell r="AE61">
            <v>22</v>
          </cell>
          <cell r="AF61">
            <v>22</v>
          </cell>
          <cell r="AN61">
            <v>94.526818181818186</v>
          </cell>
          <cell r="DX61">
            <v>43854</v>
          </cell>
          <cell r="DY61">
            <v>43854</v>
          </cell>
          <cell r="DZ61">
            <v>0</v>
          </cell>
          <cell r="GW61">
            <v>59603.350269829527</v>
          </cell>
          <cell r="GX61">
            <v>2162113.8846824975</v>
          </cell>
        </row>
        <row r="62">
          <cell r="C62" t="str">
            <v>St Joseph</v>
          </cell>
          <cell r="E62">
            <v>2017</v>
          </cell>
          <cell r="G62" t="str">
            <v>YFR</v>
          </cell>
          <cell r="H62" t="str">
            <v>DBA</v>
          </cell>
          <cell r="I62" t="str">
            <v>stand by</v>
          </cell>
          <cell r="P62">
            <v>10895</v>
          </cell>
          <cell r="Q62">
            <v>949780</v>
          </cell>
          <cell r="AD62" t="str">
            <v>LLTS</v>
          </cell>
          <cell r="AE62">
            <v>37</v>
          </cell>
          <cell r="AF62">
            <v>37</v>
          </cell>
          <cell r="AN62">
            <v>86.431891891891894</v>
          </cell>
          <cell r="DY62">
            <v>43658</v>
          </cell>
          <cell r="DZ62" t="str">
            <v>0</v>
          </cell>
          <cell r="GW62">
            <v>61398.351351351354</v>
          </cell>
          <cell r="GX62">
            <v>3931799.2</v>
          </cell>
        </row>
        <row r="63">
          <cell r="C63" t="str">
            <v>St Joseph</v>
          </cell>
          <cell r="E63">
            <v>2017</v>
          </cell>
          <cell r="G63" t="str">
            <v>JER</v>
          </cell>
          <cell r="H63" t="str">
            <v>DBA</v>
          </cell>
          <cell r="I63" t="str">
            <v>Tvx</v>
          </cell>
          <cell r="AD63" t="str">
            <v>Rehab</v>
          </cell>
          <cell r="AE63">
            <v>10</v>
          </cell>
          <cell r="AF63">
            <v>0</v>
          </cell>
          <cell r="AN63">
            <v>0</v>
          </cell>
          <cell r="CS63">
            <v>42773</v>
          </cell>
          <cell r="DA63">
            <v>42853</v>
          </cell>
          <cell r="DY63">
            <v>43658</v>
          </cell>
          <cell r="DZ63" t="str">
            <v>0</v>
          </cell>
          <cell r="FK63">
            <v>17638</v>
          </cell>
          <cell r="FL63">
            <v>14427</v>
          </cell>
          <cell r="GW63" t="e">
            <v>#REF!</v>
          </cell>
          <cell r="GX63">
            <v>177156</v>
          </cell>
        </row>
        <row r="64">
          <cell r="C64" t="str">
            <v>St Joseph</v>
          </cell>
          <cell r="E64">
            <v>2017</v>
          </cell>
          <cell r="G64" t="str">
            <v>JER</v>
          </cell>
          <cell r="H64" t="str">
            <v>DAM</v>
          </cell>
          <cell r="I64" t="str">
            <v>Tvx</v>
          </cell>
          <cell r="AD64" t="str">
            <v>Rehab</v>
          </cell>
          <cell r="AE64">
            <v>26</v>
          </cell>
          <cell r="AF64">
            <v>0</v>
          </cell>
          <cell r="AN64">
            <v>0</v>
          </cell>
          <cell r="CS64">
            <v>42649</v>
          </cell>
          <cell r="DA64">
            <v>42793</v>
          </cell>
          <cell r="DY64">
            <v>43658</v>
          </cell>
          <cell r="DZ64" t="str">
            <v>0</v>
          </cell>
          <cell r="GW64" t="e">
            <v>#REF!</v>
          </cell>
          <cell r="GX64">
            <v>827340</v>
          </cell>
        </row>
        <row r="65">
          <cell r="C65" t="str">
            <v>Entre-Deux</v>
          </cell>
          <cell r="E65">
            <v>2017</v>
          </cell>
          <cell r="G65" t="str">
            <v>EMO</v>
          </cell>
          <cell r="H65" t="str">
            <v>VAF</v>
          </cell>
          <cell r="I65" t="str">
            <v>Tvx</v>
          </cell>
          <cell r="AD65" t="str">
            <v>Rehab</v>
          </cell>
          <cell r="AE65">
            <v>6</v>
          </cell>
          <cell r="AF65">
            <v>0</v>
          </cell>
          <cell r="AN65">
            <v>0</v>
          </cell>
          <cell r="CS65">
            <v>42649</v>
          </cell>
          <cell r="DA65">
            <v>42881</v>
          </cell>
          <cell r="DY65">
            <v>43658</v>
          </cell>
          <cell r="DZ65" t="str">
            <v>0</v>
          </cell>
          <cell r="GW65" t="e">
            <v>#REF!</v>
          </cell>
          <cell r="GX65">
            <v>82610</v>
          </cell>
        </row>
        <row r="66">
          <cell r="C66" t="str">
            <v>Avirons</v>
          </cell>
          <cell r="E66">
            <v>2017</v>
          </cell>
          <cell r="G66" t="str">
            <v>FVA</v>
          </cell>
          <cell r="H66" t="str">
            <v>MMA</v>
          </cell>
          <cell r="I66" t="str">
            <v>Tvx</v>
          </cell>
          <cell r="P66">
            <v>5443</v>
          </cell>
          <cell r="Q66">
            <v>381010</v>
          </cell>
          <cell r="AD66" t="str">
            <v>LLTS</v>
          </cell>
          <cell r="AE66">
            <v>21</v>
          </cell>
          <cell r="AF66">
            <v>21</v>
          </cell>
          <cell r="AN66">
            <v>76.001904761904754</v>
          </cell>
          <cell r="DX66">
            <v>43747</v>
          </cell>
          <cell r="DY66">
            <v>43747</v>
          </cell>
          <cell r="DZ66">
            <v>0</v>
          </cell>
          <cell r="GW66">
            <v>56692.884157926375</v>
          </cell>
          <cell r="GX66">
            <v>2029899</v>
          </cell>
        </row>
        <row r="67">
          <cell r="C67" t="str">
            <v>St Pierre</v>
          </cell>
          <cell r="E67">
            <v>2017</v>
          </cell>
          <cell r="G67" t="str">
            <v>FVA</v>
          </cell>
          <cell r="H67" t="str">
            <v>VAF</v>
          </cell>
          <cell r="I67" t="str">
            <v>Tvx</v>
          </cell>
          <cell r="P67">
            <v>3474</v>
          </cell>
          <cell r="Q67">
            <v>1</v>
          </cell>
          <cell r="AD67" t="str">
            <v>PLS</v>
          </cell>
          <cell r="AE67">
            <v>200</v>
          </cell>
          <cell r="AF67">
            <v>200</v>
          </cell>
          <cell r="AN67">
            <v>20.254749999999998</v>
          </cell>
          <cell r="DY67">
            <v>43251</v>
          </cell>
          <cell r="DZ67" t="str">
            <v>0</v>
          </cell>
          <cell r="GW67">
            <v>17038.298862835098</v>
          </cell>
          <cell r="GX67">
            <v>5854059</v>
          </cell>
        </row>
        <row r="68">
          <cell r="C68" t="str">
            <v>Tampon</v>
          </cell>
          <cell r="E68">
            <v>2017</v>
          </cell>
          <cell r="G68" t="str">
            <v>JER</v>
          </cell>
          <cell r="H68" t="str">
            <v>NLE</v>
          </cell>
          <cell r="I68" t="str">
            <v>AO</v>
          </cell>
          <cell r="AD68" t="str">
            <v>Rehab</v>
          </cell>
          <cell r="AE68">
            <v>45</v>
          </cell>
          <cell r="AF68">
            <v>0</v>
          </cell>
          <cell r="AN68">
            <v>0</v>
          </cell>
          <cell r="CS68">
            <v>42649</v>
          </cell>
          <cell r="DA68">
            <v>42853</v>
          </cell>
          <cell r="DY68">
            <v>43658</v>
          </cell>
          <cell r="DZ68" t="str">
            <v>0</v>
          </cell>
          <cell r="GW68" t="e">
            <v>#REF!</v>
          </cell>
          <cell r="GX68">
            <v>1348508</v>
          </cell>
        </row>
        <row r="69">
          <cell r="C69" t="str">
            <v>Cilaos</v>
          </cell>
          <cell r="E69">
            <v>2017</v>
          </cell>
          <cell r="G69" t="str">
            <v>EMO</v>
          </cell>
          <cell r="H69" t="str">
            <v>NLE</v>
          </cell>
          <cell r="I69" t="str">
            <v>Tvx</v>
          </cell>
          <cell r="AD69" t="str">
            <v>Rehab</v>
          </cell>
          <cell r="AE69">
            <v>31</v>
          </cell>
          <cell r="AF69">
            <v>0</v>
          </cell>
          <cell r="AN69">
            <v>0</v>
          </cell>
          <cell r="CS69">
            <v>42632</v>
          </cell>
          <cell r="DA69">
            <v>42893</v>
          </cell>
          <cell r="DY69">
            <v>43658</v>
          </cell>
          <cell r="DZ69" t="str">
            <v>0</v>
          </cell>
          <cell r="GW69" t="e">
            <v>#REF!</v>
          </cell>
          <cell r="GX69">
            <v>989127</v>
          </cell>
        </row>
        <row r="70">
          <cell r="C70" t="str">
            <v>Tampon</v>
          </cell>
          <cell r="E70">
            <v>2017</v>
          </cell>
          <cell r="G70" t="str">
            <v>EMO</v>
          </cell>
          <cell r="H70" t="str">
            <v>NLE</v>
          </cell>
          <cell r="I70" t="str">
            <v>Tvx</v>
          </cell>
          <cell r="AD70" t="str">
            <v>Rehab</v>
          </cell>
          <cell r="AE70">
            <v>74</v>
          </cell>
          <cell r="AF70">
            <v>0</v>
          </cell>
          <cell r="AN70">
            <v>0</v>
          </cell>
          <cell r="CS70">
            <v>42632</v>
          </cell>
          <cell r="DA70">
            <v>42851</v>
          </cell>
          <cell r="DY70">
            <v>43658</v>
          </cell>
          <cell r="DZ70" t="str">
            <v>0</v>
          </cell>
          <cell r="FK70">
            <v>111598</v>
          </cell>
          <cell r="GW70" t="e">
            <v>#REF!</v>
          </cell>
          <cell r="GX70">
            <v>2214755</v>
          </cell>
        </row>
        <row r="71">
          <cell r="C71" t="str">
            <v>Tampon</v>
          </cell>
          <cell r="E71">
            <v>2018</v>
          </cell>
          <cell r="G71" t="str">
            <v>FVA</v>
          </cell>
          <cell r="H71" t="str">
            <v>VAF</v>
          </cell>
          <cell r="I71" t="str">
            <v>Tvx</v>
          </cell>
          <cell r="P71">
            <v>1952</v>
          </cell>
          <cell r="Q71">
            <v>1</v>
          </cell>
          <cell r="AD71" t="str">
            <v>PLS</v>
          </cell>
          <cell r="AE71">
            <v>100</v>
          </cell>
          <cell r="AF71">
            <v>100</v>
          </cell>
          <cell r="AN71">
            <v>19.2347</v>
          </cell>
          <cell r="DY71">
            <v>43348</v>
          </cell>
          <cell r="DZ71" t="str">
            <v>0</v>
          </cell>
          <cell r="GW71">
            <v>17369.93</v>
          </cell>
          <cell r="GX71">
            <v>3189669</v>
          </cell>
        </row>
        <row r="72">
          <cell r="C72" t="str">
            <v>Etang-Salé</v>
          </cell>
          <cell r="E72">
            <v>2018</v>
          </cell>
          <cell r="H72" t="str">
            <v>DBA</v>
          </cell>
          <cell r="I72" t="str">
            <v>stand by</v>
          </cell>
          <cell r="P72">
            <v>3040</v>
          </cell>
          <cell r="Q72">
            <v>205275</v>
          </cell>
          <cell r="AD72" t="str">
            <v>LLTS</v>
          </cell>
          <cell r="AE72">
            <v>30</v>
          </cell>
          <cell r="AF72">
            <v>30</v>
          </cell>
          <cell r="AN72">
            <v>74.674500000000009</v>
          </cell>
          <cell r="DY72">
            <v>43658</v>
          </cell>
          <cell r="DZ72" t="str">
            <v>0</v>
          </cell>
          <cell r="GW72">
            <v>49830.933333333334</v>
          </cell>
          <cell r="GX72">
            <v>2692427</v>
          </cell>
        </row>
        <row r="73">
          <cell r="C73" t="str">
            <v>St Leu</v>
          </cell>
          <cell r="E73">
            <v>2018</v>
          </cell>
          <cell r="G73" t="str">
            <v>EMO</v>
          </cell>
          <cell r="I73" t="str">
            <v>DCE</v>
          </cell>
          <cell r="P73">
            <v>6088.3200000000006</v>
          </cell>
          <cell r="Q73">
            <v>290092</v>
          </cell>
          <cell r="AD73" t="str">
            <v>LLTS</v>
          </cell>
          <cell r="AE73">
            <v>34</v>
          </cell>
          <cell r="AF73">
            <v>34</v>
          </cell>
          <cell r="AN73">
            <v>77.160294117647055</v>
          </cell>
          <cell r="DX73">
            <v>43854</v>
          </cell>
          <cell r="DY73">
            <v>43854</v>
          </cell>
          <cell r="DZ73">
            <v>0</v>
          </cell>
          <cell r="GW73">
            <v>46860.826970625334</v>
          </cell>
          <cell r="GX73">
            <v>2719535.7093663453</v>
          </cell>
        </row>
        <row r="74">
          <cell r="C74" t="str">
            <v>Etang-Salé</v>
          </cell>
          <cell r="E74">
            <v>2018</v>
          </cell>
          <cell r="G74" t="str">
            <v>BBL</v>
          </cell>
          <cell r="I74" t="str">
            <v>stand by</v>
          </cell>
          <cell r="P74">
            <v>2641</v>
          </cell>
          <cell r="Q74">
            <v>313500</v>
          </cell>
          <cell r="AD74" t="str">
            <v>LLS</v>
          </cell>
          <cell r="AE74">
            <v>33</v>
          </cell>
          <cell r="AF74">
            <v>33</v>
          </cell>
          <cell r="AN74">
            <v>78.654242424242426</v>
          </cell>
          <cell r="DY74">
            <v>43658</v>
          </cell>
          <cell r="DZ74" t="str">
            <v>0</v>
          </cell>
          <cell r="GW74">
            <v>53681.242424242424</v>
          </cell>
          <cell r="GX74">
            <v>3149217</v>
          </cell>
        </row>
        <row r="75">
          <cell r="C75" t="str">
            <v>Etang-Salé</v>
          </cell>
          <cell r="E75">
            <v>2018</v>
          </cell>
          <cell r="G75" t="str">
            <v>FVA</v>
          </cell>
          <cell r="H75" t="str">
            <v>DBE</v>
          </cell>
          <cell r="I75" t="str">
            <v>OS</v>
          </cell>
          <cell r="P75">
            <v>1627</v>
          </cell>
          <cell r="Q75">
            <v>154050</v>
          </cell>
          <cell r="AD75" t="str">
            <v>LLS</v>
          </cell>
          <cell r="AE75">
            <v>17</v>
          </cell>
          <cell r="AF75">
            <v>17</v>
          </cell>
          <cell r="AN75">
            <v>91.74382352941177</v>
          </cell>
          <cell r="DX75">
            <v>43793</v>
          </cell>
          <cell r="DY75">
            <v>43793</v>
          </cell>
          <cell r="DZ75">
            <v>0</v>
          </cell>
          <cell r="GW75">
            <v>61064.882352941175</v>
          </cell>
          <cell r="GX75">
            <v>1806096</v>
          </cell>
        </row>
        <row r="76">
          <cell r="C76" t="str">
            <v>St Leu</v>
          </cell>
          <cell r="E76">
            <v>2017</v>
          </cell>
          <cell r="G76" t="str">
            <v>EMO</v>
          </cell>
          <cell r="H76" t="str">
            <v>DBE</v>
          </cell>
          <cell r="I76" t="str">
            <v>DCE</v>
          </cell>
          <cell r="P76">
            <v>11037</v>
          </cell>
          <cell r="Q76">
            <v>705655.44208162103</v>
          </cell>
          <cell r="AD76" t="str">
            <v>LLTS</v>
          </cell>
          <cell r="AE76">
            <v>84</v>
          </cell>
          <cell r="AF76">
            <v>84</v>
          </cell>
          <cell r="AN76">
            <v>77.410476190476189</v>
          </cell>
          <cell r="DX76">
            <v>43854</v>
          </cell>
          <cell r="DY76">
            <v>43854</v>
          </cell>
          <cell r="DZ76">
            <v>0</v>
          </cell>
          <cell r="GW76">
            <v>46555.009088713494</v>
          </cell>
          <cell r="GX76">
            <v>7205057.8443256905</v>
          </cell>
        </row>
        <row r="77">
          <cell r="C77" t="str">
            <v>St Joseph</v>
          </cell>
          <cell r="E77">
            <v>2018</v>
          </cell>
          <cell r="G77" t="str">
            <v>JER</v>
          </cell>
          <cell r="H77" t="str">
            <v>DBE</v>
          </cell>
          <cell r="I77" t="str">
            <v>AO</v>
          </cell>
          <cell r="AD77" t="str">
            <v>Rehab</v>
          </cell>
          <cell r="AE77">
            <v>23</v>
          </cell>
          <cell r="AF77">
            <v>0</v>
          </cell>
          <cell r="AN77">
            <v>0</v>
          </cell>
          <cell r="DA77">
            <v>43658</v>
          </cell>
          <cell r="DY77">
            <v>43658</v>
          </cell>
          <cell r="DZ77" t="str">
            <v>0</v>
          </cell>
          <cell r="GW77">
            <v>0</v>
          </cell>
          <cell r="GX77">
            <v>784792.94</v>
          </cell>
        </row>
        <row r="78">
          <cell r="C78" t="str">
            <v>St Joseph</v>
          </cell>
          <cell r="E78">
            <v>2018</v>
          </cell>
          <cell r="G78" t="str">
            <v>JER</v>
          </cell>
          <cell r="H78" t="str">
            <v>NLE</v>
          </cell>
          <cell r="I78" t="str">
            <v>AO</v>
          </cell>
          <cell r="AD78" t="str">
            <v>Rehab</v>
          </cell>
          <cell r="AE78">
            <v>30</v>
          </cell>
          <cell r="AF78">
            <v>0</v>
          </cell>
          <cell r="AN78">
            <v>0</v>
          </cell>
          <cell r="DA78">
            <v>43658</v>
          </cell>
          <cell r="DY78">
            <v>43658</v>
          </cell>
          <cell r="DZ78" t="str">
            <v>0</v>
          </cell>
          <cell r="GW78">
            <v>0</v>
          </cell>
          <cell r="GX78">
            <v>617569.68000000005</v>
          </cell>
        </row>
        <row r="79">
          <cell r="C79" t="str">
            <v>Entre-Deux</v>
          </cell>
          <cell r="E79">
            <v>2018</v>
          </cell>
          <cell r="G79" t="str">
            <v>EMO</v>
          </cell>
          <cell r="H79" t="str">
            <v>NLE</v>
          </cell>
          <cell r="I79" t="str">
            <v>AO</v>
          </cell>
          <cell r="AD79" t="str">
            <v>Rehab</v>
          </cell>
          <cell r="AE79">
            <v>34</v>
          </cell>
          <cell r="AF79">
            <v>0</v>
          </cell>
          <cell r="AN79">
            <v>0</v>
          </cell>
          <cell r="CS79">
            <v>42927</v>
          </cell>
          <cell r="DA79">
            <v>43658</v>
          </cell>
          <cell r="DY79">
            <v>43658</v>
          </cell>
          <cell r="DZ79" t="str">
            <v>0</v>
          </cell>
          <cell r="FK79">
            <v>251577</v>
          </cell>
          <cell r="GW79">
            <v>0</v>
          </cell>
          <cell r="GX79">
            <v>555110.19999999995</v>
          </cell>
        </row>
        <row r="80">
          <cell r="C80" t="str">
            <v>Tampon</v>
          </cell>
          <cell r="E80">
            <v>2016</v>
          </cell>
          <cell r="G80" t="str">
            <v>YFR</v>
          </cell>
          <cell r="H80" t="str">
            <v>VAF</v>
          </cell>
          <cell r="I80" t="str">
            <v>DCE</v>
          </cell>
          <cell r="P80">
            <v>2433</v>
          </cell>
          <cell r="Q80">
            <v>487212</v>
          </cell>
          <cell r="AD80" t="str">
            <v>LLS</v>
          </cell>
          <cell r="AE80">
            <v>30</v>
          </cell>
          <cell r="AF80">
            <v>30</v>
          </cell>
          <cell r="AN80">
            <v>84.811333333333337</v>
          </cell>
          <cell r="DX80">
            <v>43753</v>
          </cell>
          <cell r="DY80">
            <v>43753</v>
          </cell>
          <cell r="DZ80">
            <v>0</v>
          </cell>
          <cell r="GW80">
            <v>60874.710934228897</v>
          </cell>
          <cell r="GX80">
            <v>3241933</v>
          </cell>
        </row>
        <row r="81">
          <cell r="C81" t="str">
            <v>Tampon</v>
          </cell>
          <cell r="E81">
            <v>2018</v>
          </cell>
          <cell r="G81" t="str">
            <v>EMO</v>
          </cell>
          <cell r="H81" t="str">
            <v>NLE</v>
          </cell>
          <cell r="I81" t="str">
            <v>AO</v>
          </cell>
          <cell r="AD81" t="str">
            <v>Rehab</v>
          </cell>
          <cell r="AE81">
            <v>128</v>
          </cell>
          <cell r="AF81">
            <v>0</v>
          </cell>
          <cell r="AN81">
            <v>0</v>
          </cell>
          <cell r="CS81">
            <v>42935</v>
          </cell>
          <cell r="DA81">
            <v>43658</v>
          </cell>
          <cell r="DY81">
            <v>43658</v>
          </cell>
          <cell r="DZ81" t="str">
            <v>0</v>
          </cell>
          <cell r="GW81">
            <v>0</v>
          </cell>
          <cell r="GX81">
            <v>2287412.2400000002</v>
          </cell>
        </row>
        <row r="82">
          <cell r="C82" t="str">
            <v>Tampon</v>
          </cell>
          <cell r="E82">
            <v>2019</v>
          </cell>
          <cell r="G82" t="str">
            <v>FVA</v>
          </cell>
          <cell r="H82" t="str">
            <v>VAF</v>
          </cell>
          <cell r="I82" t="str">
            <v>ESQ</v>
          </cell>
          <cell r="P82">
            <v>808.55172413793105</v>
          </cell>
          <cell r="Q82">
            <v>445600</v>
          </cell>
          <cell r="AD82" t="str">
            <v>PLS</v>
          </cell>
          <cell r="AE82">
            <v>24</v>
          </cell>
          <cell r="AF82">
            <v>24</v>
          </cell>
          <cell r="AN82">
            <v>93.379166666666663</v>
          </cell>
          <cell r="DY82">
            <v>43658</v>
          </cell>
          <cell r="DZ82" t="str">
            <v>0</v>
          </cell>
          <cell r="GW82">
            <v>74170.559981473416</v>
          </cell>
          <cell r="GX82">
            <v>3116861.2472038409</v>
          </cell>
        </row>
        <row r="83">
          <cell r="C83" t="str">
            <v>La Possession</v>
          </cell>
          <cell r="E83">
            <v>2019</v>
          </cell>
          <cell r="H83" t="str">
            <v>MMA</v>
          </cell>
          <cell r="I83" t="str">
            <v>APS</v>
          </cell>
          <cell r="P83">
            <v>6860</v>
          </cell>
          <cell r="Q83">
            <v>1500000</v>
          </cell>
          <cell r="AD83" t="str">
            <v>PLS</v>
          </cell>
          <cell r="AE83">
            <v>60</v>
          </cell>
          <cell r="AF83">
            <v>60</v>
          </cell>
          <cell r="AN83">
            <v>88.766833333333338</v>
          </cell>
          <cell r="DY83">
            <v>43658</v>
          </cell>
          <cell r="DZ83" t="str">
            <v>0</v>
          </cell>
          <cell r="GW83">
            <v>69123.68366668286</v>
          </cell>
          <cell r="GX83">
            <v>7341819.4354348741</v>
          </cell>
        </row>
        <row r="84">
          <cell r="C84" t="str">
            <v>Tampon</v>
          </cell>
          <cell r="E84">
            <v>2019</v>
          </cell>
          <cell r="G84" t="str">
            <v>FVA</v>
          </cell>
          <cell r="H84" t="str">
            <v>DAM</v>
          </cell>
          <cell r="I84" t="str">
            <v>ESQ</v>
          </cell>
          <cell r="P84">
            <v>1048</v>
          </cell>
          <cell r="AD84" t="str">
            <v>LLS</v>
          </cell>
          <cell r="AE84">
            <v>22</v>
          </cell>
          <cell r="AF84">
            <v>22</v>
          </cell>
          <cell r="AN84">
            <v>85.421363636363637</v>
          </cell>
          <cell r="DY84">
            <v>43658</v>
          </cell>
          <cell r="DZ84" t="str">
            <v>0</v>
          </cell>
          <cell r="GW84">
            <v>57911.318181818184</v>
          </cell>
          <cell r="GX84">
            <v>2288349</v>
          </cell>
        </row>
        <row r="85">
          <cell r="C85" t="str">
            <v>Tampon</v>
          </cell>
          <cell r="E85">
            <v>2019</v>
          </cell>
          <cell r="G85" t="str">
            <v>YFR</v>
          </cell>
          <cell r="H85" t="str">
            <v>DBE</v>
          </cell>
          <cell r="I85" t="str">
            <v>APS</v>
          </cell>
          <cell r="P85">
            <v>3320.3636363636365</v>
          </cell>
          <cell r="Q85">
            <v>599393.93939393933</v>
          </cell>
          <cell r="AD85" t="str">
            <v>LLS</v>
          </cell>
          <cell r="AE85">
            <v>46</v>
          </cell>
          <cell r="AF85">
            <v>46</v>
          </cell>
          <cell r="AN85">
            <v>90.109565217391307</v>
          </cell>
          <cell r="DY85">
            <v>43658</v>
          </cell>
          <cell r="DZ85" t="str">
            <v>0</v>
          </cell>
          <cell r="GW85">
            <v>58773.923507530315</v>
          </cell>
          <cell r="GX85">
            <v>5041502.8694703858</v>
          </cell>
        </row>
        <row r="86">
          <cell r="C86" t="str">
            <v>Tampon</v>
          </cell>
          <cell r="E86">
            <v>2019</v>
          </cell>
          <cell r="I86" t="str">
            <v>ESQ</v>
          </cell>
          <cell r="P86">
            <v>1145.4482758620691</v>
          </cell>
          <cell r="Q86">
            <v>533000</v>
          </cell>
          <cell r="AD86" t="str">
            <v>LLS</v>
          </cell>
          <cell r="AE86">
            <v>34</v>
          </cell>
          <cell r="AF86">
            <v>34</v>
          </cell>
          <cell r="AN86">
            <v>78.348235294117657</v>
          </cell>
          <cell r="DY86">
            <v>43658</v>
          </cell>
          <cell r="DZ86" t="str">
            <v>0</v>
          </cell>
          <cell r="GW86">
            <v>55316.698994037091</v>
          </cell>
          <cell r="GX86">
            <v>3305901.538129135</v>
          </cell>
        </row>
        <row r="87">
          <cell r="C87" t="str">
            <v>Etang-Salé</v>
          </cell>
          <cell r="E87">
            <v>2020</v>
          </cell>
          <cell r="G87" t="str">
            <v>FHO</v>
          </cell>
          <cell r="H87" t="str">
            <v>MMA</v>
          </cell>
          <cell r="I87" t="str">
            <v>Faisa</v>
          </cell>
          <cell r="AD87" t="str">
            <v>LLS</v>
          </cell>
          <cell r="AE87">
            <v>25</v>
          </cell>
          <cell r="AF87">
            <v>25</v>
          </cell>
          <cell r="AN87">
            <v>0</v>
          </cell>
          <cell r="DZ87" t="str">
            <v>0</v>
          </cell>
          <cell r="GW87">
            <v>51233.282190668331</v>
          </cell>
          <cell r="GX87">
            <v>2262364.2519721426</v>
          </cell>
        </row>
        <row r="88">
          <cell r="C88" t="str">
            <v>Tampon</v>
          </cell>
          <cell r="E88">
            <v>2020</v>
          </cell>
          <cell r="G88" t="str">
            <v>BBL</v>
          </cell>
          <cell r="H88" t="str">
            <v>MMA</v>
          </cell>
          <cell r="I88" t="str">
            <v>Faisa</v>
          </cell>
          <cell r="AD88" t="str">
            <v>LLS</v>
          </cell>
          <cell r="AE88">
            <v>123</v>
          </cell>
          <cell r="AF88">
            <v>123</v>
          </cell>
          <cell r="AN88">
            <v>0</v>
          </cell>
          <cell r="DZ88" t="str">
            <v>0</v>
          </cell>
          <cell r="GW88">
            <v>55587.182232797917</v>
          </cell>
          <cell r="GX88">
            <v>12018057.418599648</v>
          </cell>
        </row>
        <row r="89">
          <cell r="C89" t="str">
            <v>St Louis</v>
          </cell>
          <cell r="E89">
            <v>2020</v>
          </cell>
          <cell r="G89" t="str">
            <v>TQU</v>
          </cell>
          <cell r="H89" t="str">
            <v>DBA</v>
          </cell>
          <cell r="I89" t="str">
            <v>Faisa</v>
          </cell>
          <cell r="P89">
            <v>4000</v>
          </cell>
          <cell r="Q89">
            <v>394000</v>
          </cell>
          <cell r="AD89" t="str">
            <v>LLS</v>
          </cell>
          <cell r="AE89">
            <v>24</v>
          </cell>
          <cell r="AF89">
            <v>24</v>
          </cell>
          <cell r="AN89">
            <v>0</v>
          </cell>
          <cell r="DA89">
            <v>43658</v>
          </cell>
          <cell r="DY89">
            <v>43658</v>
          </cell>
          <cell r="DZ89" t="str">
            <v>0</v>
          </cell>
        </row>
        <row r="90">
          <cell r="C90" t="str">
            <v>St Louis</v>
          </cell>
          <cell r="E90">
            <v>2020</v>
          </cell>
          <cell r="G90" t="str">
            <v>YFR</v>
          </cell>
          <cell r="I90" t="str">
            <v>Faisa</v>
          </cell>
          <cell r="P90">
            <v>6000</v>
          </cell>
          <cell r="Q90">
            <v>1300000</v>
          </cell>
          <cell r="AD90" t="str">
            <v>LLS</v>
          </cell>
          <cell r="AE90">
            <v>36</v>
          </cell>
          <cell r="AF90">
            <v>36</v>
          </cell>
          <cell r="AN90">
            <v>0</v>
          </cell>
        </row>
        <row r="91">
          <cell r="C91" t="str">
            <v>Tampon</v>
          </cell>
          <cell r="E91">
            <v>2022</v>
          </cell>
          <cell r="I91" t="str">
            <v>Prosp</v>
          </cell>
          <cell r="P91">
            <v>2165</v>
          </cell>
          <cell r="Q91">
            <v>866000</v>
          </cell>
          <cell r="AD91" t="str">
            <v>LLS</v>
          </cell>
          <cell r="AE91">
            <v>60</v>
          </cell>
          <cell r="AF91">
            <v>60</v>
          </cell>
          <cell r="AN91">
            <v>0</v>
          </cell>
          <cell r="DY91">
            <v>43658</v>
          </cell>
          <cell r="DZ91" t="str">
            <v>0</v>
          </cell>
          <cell r="GX91">
            <v>0</v>
          </cell>
        </row>
        <row r="92">
          <cell r="C92" t="str">
            <v>Tampon</v>
          </cell>
          <cell r="E92" t="str">
            <v>abandon</v>
          </cell>
          <cell r="I92" t="str">
            <v>ESQ</v>
          </cell>
          <cell r="P92">
            <v>5498</v>
          </cell>
          <cell r="Q92">
            <v>924932</v>
          </cell>
          <cell r="AD92" t="str">
            <v>LLS</v>
          </cell>
          <cell r="AE92">
            <v>42</v>
          </cell>
          <cell r="AF92">
            <v>42</v>
          </cell>
          <cell r="AN92">
            <v>0</v>
          </cell>
          <cell r="DY92">
            <v>43658</v>
          </cell>
          <cell r="DZ92" t="str">
            <v>0</v>
          </cell>
          <cell r="GW92" t="e">
            <v>#REF!</v>
          </cell>
          <cell r="GX92">
            <v>0</v>
          </cell>
        </row>
        <row r="93">
          <cell r="C93" t="str">
            <v>Tampon</v>
          </cell>
          <cell r="E93">
            <v>2019</v>
          </cell>
          <cell r="G93" t="str">
            <v>FHO</v>
          </cell>
          <cell r="H93" t="str">
            <v>DBA</v>
          </cell>
          <cell r="I93" t="str">
            <v>ESQ</v>
          </cell>
          <cell r="P93">
            <v>1278</v>
          </cell>
          <cell r="AD93" t="str">
            <v>LLTS</v>
          </cell>
          <cell r="AE93">
            <v>41</v>
          </cell>
          <cell r="AF93">
            <v>41</v>
          </cell>
          <cell r="AN93">
            <v>76.289512195121944</v>
          </cell>
          <cell r="DY93">
            <v>43658</v>
          </cell>
          <cell r="DZ93" t="str">
            <v>0</v>
          </cell>
          <cell r="GW93">
            <v>44348.557360934683</v>
          </cell>
          <cell r="GX93">
            <v>3440178.8807964772</v>
          </cell>
        </row>
        <row r="94">
          <cell r="C94" t="str">
            <v>Tampon</v>
          </cell>
          <cell r="E94">
            <v>2019</v>
          </cell>
          <cell r="G94" t="str">
            <v>FVA</v>
          </cell>
          <cell r="P94">
            <v>1048</v>
          </cell>
          <cell r="AD94" t="str">
            <v>LLTS</v>
          </cell>
          <cell r="AE94">
            <v>13</v>
          </cell>
          <cell r="AF94">
            <v>13</v>
          </cell>
          <cell r="AN94">
            <v>62.70461538461538</v>
          </cell>
          <cell r="DY94">
            <v>43658</v>
          </cell>
          <cell r="DZ94" t="str">
            <v>0</v>
          </cell>
          <cell r="GW94">
            <v>35988.923076923078</v>
          </cell>
          <cell r="GX94">
            <v>846657</v>
          </cell>
        </row>
        <row r="95">
          <cell r="C95" t="str">
            <v>Tampon</v>
          </cell>
          <cell r="E95">
            <v>2019</v>
          </cell>
          <cell r="G95" t="str">
            <v>YFR</v>
          </cell>
          <cell r="I95" t="str">
            <v>APS</v>
          </cell>
          <cell r="P95">
            <v>1443.6363636363637</v>
          </cell>
          <cell r="Q95">
            <v>260606.06060606061</v>
          </cell>
          <cell r="AD95" t="str">
            <v>LLTS</v>
          </cell>
          <cell r="AE95">
            <v>20</v>
          </cell>
          <cell r="AF95">
            <v>20</v>
          </cell>
          <cell r="AN95">
            <v>62.65</v>
          </cell>
          <cell r="DY95">
            <v>43658</v>
          </cell>
          <cell r="DZ95" t="str">
            <v>0</v>
          </cell>
          <cell r="GW95">
            <v>28243.925057103606</v>
          </cell>
          <cell r="GX95">
            <v>1064198.0946150457</v>
          </cell>
        </row>
        <row r="96">
          <cell r="C96" t="str">
            <v>Tampon</v>
          </cell>
          <cell r="E96">
            <v>2020</v>
          </cell>
          <cell r="G96" t="str">
            <v>FVA</v>
          </cell>
          <cell r="H96" t="str">
            <v>DBE</v>
          </cell>
          <cell r="I96" t="str">
            <v>ESQ</v>
          </cell>
          <cell r="P96">
            <v>33407</v>
          </cell>
          <cell r="AD96" t="str">
            <v>LLTS</v>
          </cell>
          <cell r="AE96">
            <v>178</v>
          </cell>
          <cell r="AF96">
            <v>178</v>
          </cell>
          <cell r="AN96">
            <v>0</v>
          </cell>
          <cell r="DA96">
            <v>43658</v>
          </cell>
          <cell r="DY96">
            <v>43658</v>
          </cell>
          <cell r="DZ96" t="str">
            <v>0</v>
          </cell>
          <cell r="GW96">
            <v>59692.286084701816</v>
          </cell>
          <cell r="GX96">
            <v>20150873.07692308</v>
          </cell>
        </row>
        <row r="97">
          <cell r="C97" t="str">
            <v>Tampon</v>
          </cell>
          <cell r="E97">
            <v>2020</v>
          </cell>
          <cell r="G97" t="str">
            <v>TQU</v>
          </cell>
          <cell r="H97" t="str">
            <v>VAF</v>
          </cell>
          <cell r="I97" t="str">
            <v>ESQ</v>
          </cell>
          <cell r="P97">
            <v>4330</v>
          </cell>
          <cell r="Q97">
            <v>400000</v>
          </cell>
          <cell r="AD97" t="str">
            <v>LLTS</v>
          </cell>
          <cell r="AE97">
            <v>32</v>
          </cell>
          <cell r="AF97">
            <v>32</v>
          </cell>
          <cell r="AN97">
            <v>0</v>
          </cell>
          <cell r="CS97">
            <v>43558</v>
          </cell>
          <cell r="DA97">
            <v>43709</v>
          </cell>
          <cell r="DY97">
            <v>43658</v>
          </cell>
          <cell r="DZ97" t="str">
            <v>0</v>
          </cell>
          <cell r="GW97">
            <v>63764.220197512375</v>
          </cell>
          <cell r="GX97">
            <v>3431435.2913354686</v>
          </cell>
        </row>
        <row r="98">
          <cell r="C98" t="str">
            <v>Tampon</v>
          </cell>
          <cell r="E98">
            <v>2020</v>
          </cell>
          <cell r="G98" t="str">
            <v>TQU</v>
          </cell>
          <cell r="H98" t="str">
            <v>DBA</v>
          </cell>
          <cell r="I98" t="str">
            <v>ESQ</v>
          </cell>
          <cell r="P98">
            <v>20320</v>
          </cell>
          <cell r="AD98" t="str">
            <v>LLTS</v>
          </cell>
          <cell r="AE98">
            <v>70</v>
          </cell>
          <cell r="AF98">
            <v>70</v>
          </cell>
          <cell r="AN98">
            <v>0</v>
          </cell>
          <cell r="DZ98" t="str">
            <v>0</v>
          </cell>
          <cell r="GW98">
            <v>53979.72754285713</v>
          </cell>
          <cell r="GX98">
            <v>6796867.8956317324</v>
          </cell>
        </row>
        <row r="99">
          <cell r="C99" t="str">
            <v>Etang-Salé</v>
          </cell>
          <cell r="E99">
            <v>2020</v>
          </cell>
          <cell r="I99" t="str">
            <v>Faisa</v>
          </cell>
          <cell r="AD99" t="str">
            <v>LLTS</v>
          </cell>
          <cell r="AE99">
            <v>15</v>
          </cell>
          <cell r="AF99">
            <v>15</v>
          </cell>
          <cell r="AN99">
            <v>0</v>
          </cell>
          <cell r="DZ99" t="str">
            <v>0</v>
          </cell>
          <cell r="GW99">
            <v>25722.109913404427</v>
          </cell>
          <cell r="GX99">
            <v>694232.06475108338</v>
          </cell>
        </row>
        <row r="100">
          <cell r="C100" t="str">
            <v>Tampon</v>
          </cell>
          <cell r="E100">
            <v>2020</v>
          </cell>
          <cell r="G100" t="str">
            <v>FVA</v>
          </cell>
          <cell r="H100" t="str">
            <v>DBA</v>
          </cell>
          <cell r="I100" t="str">
            <v>Faisa</v>
          </cell>
          <cell r="P100">
            <v>4088</v>
          </cell>
          <cell r="Q100">
            <v>550000</v>
          </cell>
          <cell r="AD100" t="str">
            <v>LLTS</v>
          </cell>
          <cell r="AE100">
            <v>50</v>
          </cell>
          <cell r="AF100">
            <v>50</v>
          </cell>
          <cell r="AN100">
            <v>0</v>
          </cell>
        </row>
        <row r="101">
          <cell r="C101" t="str">
            <v>Tampon</v>
          </cell>
          <cell r="E101">
            <v>2021</v>
          </cell>
          <cell r="G101" t="str">
            <v>FVA</v>
          </cell>
          <cell r="H101" t="str">
            <v>DBE</v>
          </cell>
          <cell r="I101" t="str">
            <v>Faisa</v>
          </cell>
          <cell r="P101">
            <v>33407</v>
          </cell>
          <cell r="AD101" t="str">
            <v>LLTS</v>
          </cell>
          <cell r="AE101">
            <v>205</v>
          </cell>
          <cell r="AF101">
            <v>205</v>
          </cell>
          <cell r="AN101">
            <v>0</v>
          </cell>
          <cell r="DY101">
            <v>43658</v>
          </cell>
          <cell r="DZ101" t="str">
            <v>0</v>
          </cell>
          <cell r="GX101">
            <v>0</v>
          </cell>
        </row>
        <row r="102">
          <cell r="C102" t="str">
            <v>Tampon</v>
          </cell>
          <cell r="E102">
            <v>2021</v>
          </cell>
          <cell r="I102" t="str">
            <v>Faisa</v>
          </cell>
          <cell r="P102">
            <v>3115</v>
          </cell>
          <cell r="AD102" t="str">
            <v>LLTS</v>
          </cell>
          <cell r="AE102">
            <v>40</v>
          </cell>
          <cell r="AF102">
            <v>40</v>
          </cell>
          <cell r="AN102">
            <v>0</v>
          </cell>
          <cell r="DY102">
            <v>43658</v>
          </cell>
          <cell r="DZ102" t="str">
            <v>0</v>
          </cell>
          <cell r="GX102">
            <v>0</v>
          </cell>
        </row>
        <row r="103">
          <cell r="C103" t="str">
            <v>Tampon</v>
          </cell>
          <cell r="E103">
            <v>2021</v>
          </cell>
          <cell r="P103">
            <v>5375</v>
          </cell>
          <cell r="AD103" t="str">
            <v>LLTS</v>
          </cell>
          <cell r="AE103">
            <v>48</v>
          </cell>
          <cell r="AF103">
            <v>48</v>
          </cell>
          <cell r="AN103">
            <v>0</v>
          </cell>
          <cell r="GX103">
            <v>0</v>
          </cell>
        </row>
        <row r="104">
          <cell r="C104" t="str">
            <v>Etang-Salé</v>
          </cell>
          <cell r="E104">
            <v>2022</v>
          </cell>
          <cell r="I104" t="str">
            <v>Faisa</v>
          </cell>
          <cell r="P104">
            <v>10113</v>
          </cell>
          <cell r="Q104">
            <v>1097000</v>
          </cell>
          <cell r="AD104" t="str">
            <v>LLTS</v>
          </cell>
          <cell r="AE104">
            <v>88</v>
          </cell>
          <cell r="AF104">
            <v>88</v>
          </cell>
          <cell r="AN104">
            <v>0</v>
          </cell>
          <cell r="DY104">
            <v>43658</v>
          </cell>
          <cell r="DZ104" t="str">
            <v>0</v>
          </cell>
          <cell r="GX104">
            <v>0</v>
          </cell>
        </row>
        <row r="105">
          <cell r="C105" t="str">
            <v>St Philippe</v>
          </cell>
          <cell r="E105">
            <v>2022</v>
          </cell>
          <cell r="I105" t="str">
            <v>Faisa</v>
          </cell>
          <cell r="P105">
            <v>19762</v>
          </cell>
          <cell r="AD105" t="str">
            <v>LLTS</v>
          </cell>
          <cell r="AE105">
            <v>60</v>
          </cell>
          <cell r="AF105">
            <v>60</v>
          </cell>
          <cell r="AN105">
            <v>0</v>
          </cell>
          <cell r="GX105">
            <v>0</v>
          </cell>
        </row>
        <row r="106">
          <cell r="C106" t="str">
            <v>Petite-Ile</v>
          </cell>
          <cell r="E106">
            <v>2022</v>
          </cell>
          <cell r="I106" t="str">
            <v>Faisa</v>
          </cell>
          <cell r="P106">
            <v>3252</v>
          </cell>
          <cell r="Q106">
            <v>567840</v>
          </cell>
          <cell r="AD106" t="str">
            <v>LLTS</v>
          </cell>
          <cell r="AE106">
            <v>15</v>
          </cell>
          <cell r="AF106">
            <v>15</v>
          </cell>
          <cell r="AN106">
            <v>0</v>
          </cell>
          <cell r="DY106">
            <v>43658</v>
          </cell>
          <cell r="DZ106" t="str">
            <v>0</v>
          </cell>
          <cell r="GX106">
            <v>0</v>
          </cell>
        </row>
        <row r="107">
          <cell r="C107" t="str">
            <v>St Joseph</v>
          </cell>
          <cell r="E107">
            <v>2022</v>
          </cell>
          <cell r="P107">
            <v>7800</v>
          </cell>
          <cell r="Q107">
            <v>330000</v>
          </cell>
          <cell r="AD107" t="str">
            <v>LLTS</v>
          </cell>
          <cell r="AE107">
            <v>15</v>
          </cell>
          <cell r="AF107">
            <v>15</v>
          </cell>
          <cell r="AN107">
            <v>0</v>
          </cell>
          <cell r="DY107">
            <v>43658</v>
          </cell>
          <cell r="DZ107" t="str">
            <v>0</v>
          </cell>
          <cell r="GX107">
            <v>0</v>
          </cell>
        </row>
        <row r="108">
          <cell r="C108" t="str">
            <v>St Joseph</v>
          </cell>
          <cell r="E108">
            <v>2022</v>
          </cell>
          <cell r="I108" t="str">
            <v>Etude urbaine</v>
          </cell>
          <cell r="P108">
            <v>42374</v>
          </cell>
          <cell r="Q108">
            <v>1330000</v>
          </cell>
          <cell r="AD108" t="str">
            <v>LLTS</v>
          </cell>
          <cell r="AE108">
            <v>120</v>
          </cell>
          <cell r="AF108">
            <v>120</v>
          </cell>
          <cell r="AN108">
            <v>0</v>
          </cell>
          <cell r="DY108">
            <v>43658</v>
          </cell>
          <cell r="DZ108" t="str">
            <v>0</v>
          </cell>
          <cell r="GX108">
            <v>0</v>
          </cell>
        </row>
        <row r="109">
          <cell r="C109" t="str">
            <v>Tampon</v>
          </cell>
          <cell r="E109">
            <v>2022</v>
          </cell>
          <cell r="P109">
            <v>45094</v>
          </cell>
          <cell r="Q109">
            <v>2460000</v>
          </cell>
          <cell r="AD109" t="str">
            <v>LLTS</v>
          </cell>
          <cell r="AE109">
            <v>90</v>
          </cell>
          <cell r="AF109">
            <v>90</v>
          </cell>
          <cell r="AN109">
            <v>0</v>
          </cell>
          <cell r="DY109">
            <v>43658</v>
          </cell>
          <cell r="DZ109" t="str">
            <v>0</v>
          </cell>
          <cell r="GX109">
            <v>0</v>
          </cell>
        </row>
        <row r="110">
          <cell r="C110" t="str">
            <v>St Joseph</v>
          </cell>
          <cell r="E110">
            <v>2022</v>
          </cell>
          <cell r="AD110" t="str">
            <v>LLTS</v>
          </cell>
          <cell r="AE110">
            <v>50</v>
          </cell>
          <cell r="AF110">
            <v>50</v>
          </cell>
          <cell r="AN110">
            <v>0</v>
          </cell>
          <cell r="GX110">
            <v>0</v>
          </cell>
        </row>
        <row r="111">
          <cell r="C111" t="str">
            <v>Tampon</v>
          </cell>
          <cell r="E111" t="str">
            <v>abandon</v>
          </cell>
          <cell r="I111" t="str">
            <v>ESQ</v>
          </cell>
          <cell r="P111">
            <v>5498</v>
          </cell>
          <cell r="Q111">
            <v>1219167</v>
          </cell>
          <cell r="AD111" t="str">
            <v>LLTS</v>
          </cell>
          <cell r="AE111">
            <v>53</v>
          </cell>
          <cell r="AF111">
            <v>53</v>
          </cell>
          <cell r="AN111">
            <v>0</v>
          </cell>
          <cell r="DY111">
            <v>43658</v>
          </cell>
          <cell r="DZ111" t="str">
            <v>0</v>
          </cell>
          <cell r="GW111" t="e">
            <v>#REF!</v>
          </cell>
          <cell r="GX111">
            <v>0</v>
          </cell>
        </row>
        <row r="112">
          <cell r="C112" t="str">
            <v>Tampon</v>
          </cell>
          <cell r="E112" t="str">
            <v>non inscrit</v>
          </cell>
          <cell r="G112" t="str">
            <v>FVA</v>
          </cell>
          <cell r="I112" t="str">
            <v>ESQ</v>
          </cell>
          <cell r="P112">
            <v>12700</v>
          </cell>
          <cell r="Q112">
            <v>787400</v>
          </cell>
          <cell r="AD112" t="str">
            <v>LLTS</v>
          </cell>
          <cell r="AE112">
            <v>60</v>
          </cell>
          <cell r="AF112">
            <v>60</v>
          </cell>
          <cell r="AN112">
            <v>0</v>
          </cell>
          <cell r="DY112">
            <v>43658</v>
          </cell>
          <cell r="DZ112" t="str">
            <v>0</v>
          </cell>
          <cell r="GW112">
            <v>0</v>
          </cell>
          <cell r="GX112">
            <v>0</v>
          </cell>
        </row>
        <row r="113">
          <cell r="C113" t="str">
            <v>Tampon</v>
          </cell>
          <cell r="E113" t="str">
            <v>non inscrit</v>
          </cell>
          <cell r="I113" t="str">
            <v>ESQ</v>
          </cell>
          <cell r="P113">
            <v>6396</v>
          </cell>
          <cell r="Q113">
            <v>703760</v>
          </cell>
          <cell r="AD113" t="str">
            <v>LLTS</v>
          </cell>
          <cell r="AE113">
            <v>37</v>
          </cell>
          <cell r="AF113">
            <v>37</v>
          </cell>
          <cell r="AN113">
            <v>75.064054054054054</v>
          </cell>
          <cell r="DY113">
            <v>43658</v>
          </cell>
          <cell r="DZ113" t="str">
            <v>0</v>
          </cell>
          <cell r="GW113">
            <v>0</v>
          </cell>
          <cell r="GX113">
            <v>0</v>
          </cell>
        </row>
        <row r="114">
          <cell r="C114" t="str">
            <v>St Joseph</v>
          </cell>
          <cell r="E114" t="str">
            <v>non inscrit</v>
          </cell>
          <cell r="P114">
            <v>18000</v>
          </cell>
          <cell r="AD114" t="str">
            <v>LLTS</v>
          </cell>
          <cell r="AE114">
            <v>45</v>
          </cell>
          <cell r="AF114">
            <v>45</v>
          </cell>
          <cell r="AN114">
            <v>0</v>
          </cell>
          <cell r="DY114">
            <v>43658</v>
          </cell>
          <cell r="DZ114" t="str">
            <v>0</v>
          </cell>
          <cell r="GX114">
            <v>0</v>
          </cell>
        </row>
        <row r="115">
          <cell r="C115" t="str">
            <v>St Joseph</v>
          </cell>
          <cell r="E115" t="str">
            <v>non inscrit</v>
          </cell>
          <cell r="P115">
            <v>30000</v>
          </cell>
          <cell r="AD115" t="str">
            <v>LLTS</v>
          </cell>
          <cell r="AE115">
            <v>45</v>
          </cell>
          <cell r="AF115">
            <v>45</v>
          </cell>
          <cell r="AN115">
            <v>0</v>
          </cell>
          <cell r="DY115">
            <v>43658</v>
          </cell>
          <cell r="DZ115" t="str">
            <v>0</v>
          </cell>
          <cell r="GX115">
            <v>0</v>
          </cell>
        </row>
        <row r="116">
          <cell r="C116" t="str">
            <v>St Joseph</v>
          </cell>
          <cell r="E116" t="str">
            <v>non inscrit</v>
          </cell>
          <cell r="P116">
            <v>4900</v>
          </cell>
          <cell r="AD116" t="str">
            <v>LLTS</v>
          </cell>
          <cell r="AE116">
            <v>30</v>
          </cell>
          <cell r="AF116">
            <v>30</v>
          </cell>
          <cell r="AN116">
            <v>0</v>
          </cell>
          <cell r="DY116">
            <v>43658</v>
          </cell>
          <cell r="DZ116" t="str">
            <v>0</v>
          </cell>
          <cell r="GX116">
            <v>0</v>
          </cell>
        </row>
        <row r="117">
          <cell r="C117" t="str">
            <v>St Joseph</v>
          </cell>
          <cell r="E117" t="str">
            <v>non inscrit</v>
          </cell>
          <cell r="P117">
            <v>5900</v>
          </cell>
          <cell r="AD117" t="str">
            <v>LLTS</v>
          </cell>
          <cell r="AE117">
            <v>15</v>
          </cell>
          <cell r="AF117">
            <v>15</v>
          </cell>
          <cell r="AN117">
            <v>0</v>
          </cell>
          <cell r="DY117">
            <v>43658</v>
          </cell>
          <cell r="DZ117" t="str">
            <v>0</v>
          </cell>
          <cell r="GX117">
            <v>0</v>
          </cell>
        </row>
        <row r="118">
          <cell r="C118" t="str">
            <v>St Joseph</v>
          </cell>
          <cell r="E118" t="str">
            <v>non inscrit</v>
          </cell>
          <cell r="P118">
            <v>5300</v>
          </cell>
          <cell r="AD118" t="str">
            <v>LLTS</v>
          </cell>
          <cell r="AE118">
            <v>35</v>
          </cell>
          <cell r="AF118">
            <v>35</v>
          </cell>
          <cell r="AN118">
            <v>0</v>
          </cell>
          <cell r="DY118">
            <v>43658</v>
          </cell>
          <cell r="DZ118" t="str">
            <v>0</v>
          </cell>
          <cell r="GX118">
            <v>0</v>
          </cell>
        </row>
        <row r="119">
          <cell r="C119" t="str">
            <v>St Joseph</v>
          </cell>
          <cell r="E119" t="str">
            <v>non inscrit</v>
          </cell>
          <cell r="P119">
            <v>4000</v>
          </cell>
          <cell r="AD119" t="str">
            <v>LLTS</v>
          </cell>
          <cell r="AE119">
            <v>15</v>
          </cell>
          <cell r="AF119">
            <v>15</v>
          </cell>
          <cell r="AN119">
            <v>0</v>
          </cell>
          <cell r="DY119">
            <v>43658</v>
          </cell>
          <cell r="DZ119" t="str">
            <v>0</v>
          </cell>
          <cell r="GX119">
            <v>0</v>
          </cell>
        </row>
        <row r="120">
          <cell r="C120" t="str">
            <v>St Joseph</v>
          </cell>
          <cell r="E120" t="str">
            <v>non inscrit</v>
          </cell>
          <cell r="P120">
            <v>8400</v>
          </cell>
          <cell r="AD120" t="str">
            <v>LLTS</v>
          </cell>
          <cell r="AE120">
            <v>30</v>
          </cell>
          <cell r="AF120">
            <v>30</v>
          </cell>
          <cell r="AN120">
            <v>0</v>
          </cell>
          <cell r="DY120">
            <v>43658</v>
          </cell>
          <cell r="DZ120" t="str">
            <v>0</v>
          </cell>
          <cell r="GX120">
            <v>0</v>
          </cell>
        </row>
        <row r="121">
          <cell r="C121" t="str">
            <v>St Joseph</v>
          </cell>
          <cell r="E121" t="str">
            <v>non inscrit</v>
          </cell>
          <cell r="AD121" t="str">
            <v>LLTS</v>
          </cell>
          <cell r="AE121">
            <v>60</v>
          </cell>
          <cell r="AF121">
            <v>60</v>
          </cell>
          <cell r="AN121">
            <v>0</v>
          </cell>
          <cell r="DY121">
            <v>43658</v>
          </cell>
          <cell r="DZ121" t="str">
            <v>0</v>
          </cell>
          <cell r="GX121">
            <v>0</v>
          </cell>
        </row>
        <row r="122">
          <cell r="C122" t="str">
            <v>St Joseph</v>
          </cell>
          <cell r="E122" t="str">
            <v>non inscrit</v>
          </cell>
          <cell r="AD122" t="str">
            <v>LLTS</v>
          </cell>
          <cell r="AE122">
            <v>150</v>
          </cell>
          <cell r="AF122">
            <v>150</v>
          </cell>
          <cell r="AN122">
            <v>0</v>
          </cell>
        </row>
        <row r="123">
          <cell r="C123" t="str">
            <v>Entre-Deux</v>
          </cell>
          <cell r="I123" t="str">
            <v>Faisa</v>
          </cell>
          <cell r="P123">
            <v>5468</v>
          </cell>
          <cell r="AD123" t="str">
            <v>LLTS</v>
          </cell>
          <cell r="AE123">
            <v>56</v>
          </cell>
          <cell r="AF123">
            <v>56</v>
          </cell>
          <cell r="AN123">
            <v>0</v>
          </cell>
          <cell r="DA123">
            <v>43658</v>
          </cell>
          <cell r="DY123">
            <v>43658</v>
          </cell>
          <cell r="DZ123" t="str">
            <v>0</v>
          </cell>
          <cell r="GX123">
            <v>0</v>
          </cell>
        </row>
        <row r="124">
          <cell r="C124" t="str">
            <v>Tampon</v>
          </cell>
          <cell r="I124" t="str">
            <v>Faisa</v>
          </cell>
          <cell r="P124">
            <v>1268</v>
          </cell>
          <cell r="Q124">
            <v>317000</v>
          </cell>
          <cell r="AD124" t="str">
            <v>LLTS</v>
          </cell>
          <cell r="AE124">
            <v>35</v>
          </cell>
          <cell r="AF124">
            <v>35</v>
          </cell>
          <cell r="AN124">
            <v>0</v>
          </cell>
          <cell r="DY124">
            <v>43658</v>
          </cell>
          <cell r="DZ124" t="str">
            <v>0</v>
          </cell>
          <cell r="GX124">
            <v>0</v>
          </cell>
        </row>
        <row r="125">
          <cell r="C125" t="str">
            <v>Tampon</v>
          </cell>
          <cell r="P125">
            <v>52241</v>
          </cell>
          <cell r="AD125" t="str">
            <v>LLTS</v>
          </cell>
          <cell r="AE125">
            <v>60</v>
          </cell>
          <cell r="AF125">
            <v>60</v>
          </cell>
          <cell r="AN125">
            <v>0</v>
          </cell>
          <cell r="DY125">
            <v>43658</v>
          </cell>
          <cell r="DZ125" t="str">
            <v>0</v>
          </cell>
          <cell r="GX125">
            <v>0</v>
          </cell>
        </row>
        <row r="126">
          <cell r="C126" t="str">
            <v>Tampon</v>
          </cell>
          <cell r="E126">
            <v>2020</v>
          </cell>
          <cell r="G126" t="str">
            <v>YFR</v>
          </cell>
          <cell r="H126" t="str">
            <v>SRI</v>
          </cell>
          <cell r="I126" t="str">
            <v>ESQ</v>
          </cell>
          <cell r="P126">
            <v>1043</v>
          </cell>
          <cell r="Q126">
            <v>320000</v>
          </cell>
          <cell r="AD126" t="str">
            <v>PLS</v>
          </cell>
          <cell r="AE126">
            <v>31</v>
          </cell>
          <cell r="AF126">
            <v>31</v>
          </cell>
          <cell r="AN126">
            <v>87.464516129032262</v>
          </cell>
          <cell r="CS126">
            <v>43437</v>
          </cell>
          <cell r="DA126">
            <v>43658</v>
          </cell>
          <cell r="DY126">
            <v>43658</v>
          </cell>
          <cell r="DZ126" t="str">
            <v>0</v>
          </cell>
          <cell r="GW126">
            <v>68765.07889995139</v>
          </cell>
          <cell r="GX126">
            <v>3750280.1044237465</v>
          </cell>
        </row>
        <row r="127">
          <cell r="C127" t="str">
            <v>La Possession</v>
          </cell>
          <cell r="E127">
            <v>2021</v>
          </cell>
          <cell r="I127" t="str">
            <v>Faisa</v>
          </cell>
          <cell r="P127">
            <v>1245</v>
          </cell>
          <cell r="Q127">
            <v>747000</v>
          </cell>
          <cell r="AD127" t="str">
            <v>PLS</v>
          </cell>
          <cell r="AE127">
            <v>0</v>
          </cell>
          <cell r="AF127">
            <v>0</v>
          </cell>
          <cell r="AN127" t="e">
            <v>#DIV/0!</v>
          </cell>
        </row>
        <row r="128">
          <cell r="C128" t="str">
            <v>Entre-Deux</v>
          </cell>
          <cell r="E128">
            <v>2020</v>
          </cell>
          <cell r="G128" t="str">
            <v>EMO</v>
          </cell>
          <cell r="H128" t="str">
            <v>NLE</v>
          </cell>
          <cell r="I128" t="str">
            <v>Faisa</v>
          </cell>
          <cell r="AD128" t="str">
            <v>Rehab</v>
          </cell>
          <cell r="AE128">
            <v>16</v>
          </cell>
          <cell r="AF128">
            <v>0</v>
          </cell>
          <cell r="AN128">
            <v>0</v>
          </cell>
          <cell r="DA128">
            <v>43658</v>
          </cell>
          <cell r="DY128">
            <v>43658</v>
          </cell>
          <cell r="DZ128" t="str">
            <v>0</v>
          </cell>
          <cell r="GW128" t="e">
            <v>#REF!</v>
          </cell>
          <cell r="GX128">
            <v>1135531.9985258898</v>
          </cell>
        </row>
        <row r="129">
          <cell r="C129" t="str">
            <v>Tampon</v>
          </cell>
          <cell r="E129">
            <v>2020</v>
          </cell>
          <cell r="G129" t="str">
            <v>JER</v>
          </cell>
          <cell r="H129" t="str">
            <v>NLE</v>
          </cell>
          <cell r="I129" t="str">
            <v>Faisa</v>
          </cell>
          <cell r="AD129" t="str">
            <v>Rehab</v>
          </cell>
          <cell r="AE129">
            <v>38</v>
          </cell>
          <cell r="AF129">
            <v>0</v>
          </cell>
          <cell r="AN129">
            <v>0</v>
          </cell>
          <cell r="DA129">
            <v>43658</v>
          </cell>
          <cell r="DY129">
            <v>43658</v>
          </cell>
          <cell r="DZ129" t="str">
            <v>0</v>
          </cell>
          <cell r="GW129" t="e">
            <v>#REF!</v>
          </cell>
          <cell r="GX129">
            <v>2108899.3492399501</v>
          </cell>
        </row>
        <row r="130">
          <cell r="C130" t="str">
            <v>St Joseph</v>
          </cell>
          <cell r="E130">
            <v>2020</v>
          </cell>
          <cell r="G130" t="str">
            <v>JER</v>
          </cell>
          <cell r="H130" t="str">
            <v>NLE</v>
          </cell>
          <cell r="I130" t="str">
            <v>Faisa</v>
          </cell>
          <cell r="AD130" t="str">
            <v>Rehab</v>
          </cell>
          <cell r="AE130">
            <v>30</v>
          </cell>
          <cell r="AF130">
            <v>0</v>
          </cell>
          <cell r="AN130">
            <v>0</v>
          </cell>
          <cell r="DA130">
            <v>43658</v>
          </cell>
          <cell r="DY130">
            <v>43658</v>
          </cell>
          <cell r="DZ130" t="str">
            <v>0</v>
          </cell>
          <cell r="GW130" t="e">
            <v>#REF!</v>
          </cell>
          <cell r="GX130">
            <v>1559764.5946257999</v>
          </cell>
        </row>
        <row r="131">
          <cell r="C131" t="str">
            <v>St Joseph</v>
          </cell>
          <cell r="E131">
            <v>2020</v>
          </cell>
          <cell r="G131" t="str">
            <v>JER</v>
          </cell>
          <cell r="I131" t="str">
            <v>Faisa</v>
          </cell>
          <cell r="AD131" t="str">
            <v>Rehab</v>
          </cell>
          <cell r="AE131">
            <v>32</v>
          </cell>
          <cell r="AF131">
            <v>0</v>
          </cell>
          <cell r="AN131">
            <v>0</v>
          </cell>
          <cell r="DA131">
            <v>43658</v>
          </cell>
          <cell r="DY131">
            <v>43658</v>
          </cell>
          <cell r="DZ131" t="str">
            <v>0</v>
          </cell>
          <cell r="GW131" t="e">
            <v>#REF!</v>
          </cell>
          <cell r="GX131">
            <v>1655285.8827731796</v>
          </cell>
        </row>
        <row r="132">
          <cell r="C132" t="str">
            <v>St Joseph</v>
          </cell>
          <cell r="E132">
            <v>2020</v>
          </cell>
          <cell r="G132" t="str">
            <v>JER</v>
          </cell>
          <cell r="I132" t="str">
            <v>Faisa</v>
          </cell>
          <cell r="AD132" t="str">
            <v>Rehab</v>
          </cell>
          <cell r="AE132">
            <v>18</v>
          </cell>
          <cell r="AF132">
            <v>0</v>
          </cell>
          <cell r="AN132">
            <v>0</v>
          </cell>
          <cell r="DA132">
            <v>43658</v>
          </cell>
          <cell r="DY132">
            <v>43658</v>
          </cell>
          <cell r="DZ132" t="str">
            <v>0</v>
          </cell>
          <cell r="GW132" t="e">
            <v>#REF!</v>
          </cell>
          <cell r="GX132">
            <v>1042243.66</v>
          </cell>
        </row>
        <row r="133">
          <cell r="C133" t="str">
            <v>St Joseph</v>
          </cell>
          <cell r="E133">
            <v>2020</v>
          </cell>
          <cell r="G133" t="str">
            <v>JER</v>
          </cell>
          <cell r="I133" t="str">
            <v>Faisa</v>
          </cell>
          <cell r="AD133" t="str">
            <v>Rehab</v>
          </cell>
          <cell r="AE133">
            <v>26</v>
          </cell>
          <cell r="AF133">
            <v>0</v>
          </cell>
          <cell r="AN133">
            <v>0</v>
          </cell>
          <cell r="DA133">
            <v>43658</v>
          </cell>
          <cell r="DY133">
            <v>43658</v>
          </cell>
          <cell r="DZ133" t="str">
            <v>0</v>
          </cell>
          <cell r="GW133" t="e">
            <v>#REF!</v>
          </cell>
          <cell r="GX133">
            <v>1159191.79</v>
          </cell>
        </row>
        <row r="134">
          <cell r="C134" t="str">
            <v>Tampon</v>
          </cell>
          <cell r="E134">
            <v>2020</v>
          </cell>
          <cell r="G134" t="str">
            <v>JER</v>
          </cell>
          <cell r="I134" t="str">
            <v>Faisa</v>
          </cell>
          <cell r="AD134" t="str">
            <v>Rehab</v>
          </cell>
          <cell r="AE134">
            <v>83</v>
          </cell>
          <cell r="AF134">
            <v>0</v>
          </cell>
          <cell r="AN134">
            <v>0</v>
          </cell>
          <cell r="DA134">
            <v>43658</v>
          </cell>
          <cell r="DY134">
            <v>43658</v>
          </cell>
          <cell r="DZ134" t="str">
            <v>0</v>
          </cell>
          <cell r="GW134" t="e">
            <v>#REF!</v>
          </cell>
          <cell r="GX134">
            <v>2925263.24244005</v>
          </cell>
        </row>
        <row r="135">
          <cell r="GX135">
            <v>270890984.26735938</v>
          </cell>
          <cell r="HR13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première page"/>
      <sheetName val="Planning VEFA"/>
      <sheetName val="1"/>
      <sheetName val="2"/>
      <sheetName val="3"/>
      <sheetName val="5"/>
      <sheetName val="6"/>
      <sheetName val="7"/>
      <sheetName val="9"/>
      <sheetName val="8"/>
      <sheetName val="Calculs détaillés"/>
      <sheetName val="Notice explicative"/>
      <sheetName val="Test de compensation"/>
      <sheetName val="FFD LLS"/>
      <sheetName val="DPR LLS"/>
      <sheetName val="SF previsio LLS"/>
      <sheetName val="Synthèse LLS"/>
      <sheetName val="DPR LLTS"/>
      <sheetName val="FFD LLTS"/>
      <sheetName val="SF previsio LLTS "/>
      <sheetName val="Synthèse LLTS"/>
      <sheetName val="Base éligible globale"/>
      <sheetName val="Bdgt"/>
      <sheetName val="SYNTHESE DG"/>
      <sheetName val="Prgr. 2018"/>
      <sheetName val="FFD PLS"/>
      <sheetName val="DPR PLS"/>
      <sheetName val="SF previsio PLS"/>
      <sheetName val="Synthèse PLS"/>
      <sheetName val="Loyers Max"/>
      <sheetName val="Base éligible LLS"/>
      <sheetName val="Calcul CIDOM"/>
      <sheetName val="Estim MOE"/>
      <sheetName val="PRD"/>
      <sheetName val="Donnée_d'entrée"/>
      <sheetName val="GUIDE_DEAL"/>
      <sheetName val="première_page"/>
      <sheetName val="Planning_VEFA"/>
      <sheetName val="Calculs_détaillés"/>
      <sheetName val="Notice_explicative"/>
      <sheetName val="Test_de_compensation"/>
      <sheetName val="FFD_LLS"/>
      <sheetName val="DPR_LLS"/>
      <sheetName val="SF_previsio_LLS"/>
      <sheetName val="Synthèse_LLS"/>
      <sheetName val="DPR_LLTS"/>
      <sheetName val="FFD_LLTS"/>
      <sheetName val="SF_previsio_LLTS_"/>
      <sheetName val="Synthèse_LLTS"/>
      <sheetName val="Base_éligible_globale"/>
      <sheetName val="SYNTHESE_DG"/>
      <sheetName val="Prgr__2018"/>
      <sheetName val="FFD_PLS"/>
      <sheetName val="DPR_PLS"/>
      <sheetName val="SF_previsio_PLS"/>
      <sheetName val="Synthèse_PLS"/>
      <sheetName val="Loyers_Max"/>
      <sheetName val="Base_éligible_LLS"/>
      <sheetName val="Calcul_CIDOM"/>
      <sheetName val="Estim_MOE"/>
    </sheetNames>
    <sheetDataSet>
      <sheetData sheetId="0">
        <row r="6">
          <cell r="F6" t="str">
            <v>VEFA MIAMI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8">
          <cell r="E68">
            <v>0</v>
          </cell>
        </row>
      </sheetData>
      <sheetData sheetId="17"/>
      <sheetData sheetId="18"/>
      <sheetData sheetId="19">
        <row r="68">
          <cell r="E68">
            <v>0</v>
          </cell>
        </row>
      </sheetData>
      <sheetData sheetId="20"/>
      <sheetData sheetId="21"/>
      <sheetData sheetId="22"/>
      <sheetData sheetId="23"/>
      <sheetData sheetId="24">
        <row r="12">
          <cell r="R12">
            <v>0</v>
          </cell>
        </row>
      </sheetData>
      <sheetData sheetId="25"/>
      <sheetData sheetId="26">
        <row r="1">
          <cell r="D1" t="str">
            <v>VEFA MIAMI</v>
          </cell>
        </row>
      </sheetData>
      <sheetData sheetId="27"/>
      <sheetData sheetId="28">
        <row r="68">
          <cell r="E68">
            <v>11311598.726738488</v>
          </cell>
        </row>
      </sheetData>
      <sheetData sheetId="29"/>
      <sheetData sheetId="30"/>
      <sheetData sheetId="31">
        <row r="3">
          <cell r="A3" t="str">
            <v>T I Bis a</v>
          </cell>
        </row>
      </sheetData>
      <sheetData sheetId="32"/>
      <sheetData sheetId="33"/>
      <sheetData sheetId="34"/>
      <sheetData sheetId="35"/>
      <sheetData sheetId="36">
        <row r="6">
          <cell r="F6" t="str">
            <v>VEFA MIAMI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>
        <row r="68">
          <cell r="E68">
            <v>0</v>
          </cell>
        </row>
      </sheetData>
      <sheetData sheetId="45"/>
      <sheetData sheetId="46"/>
      <sheetData sheetId="47">
        <row r="68">
          <cell r="E68">
            <v>0</v>
          </cell>
        </row>
      </sheetData>
      <sheetData sheetId="48"/>
      <sheetData sheetId="49"/>
      <sheetData sheetId="50"/>
      <sheetData sheetId="51"/>
      <sheetData sheetId="52"/>
      <sheetData sheetId="53">
        <row r="1">
          <cell r="D1" t="str">
            <v>VEFA MIAMI</v>
          </cell>
        </row>
      </sheetData>
      <sheetData sheetId="54"/>
      <sheetData sheetId="55">
        <row r="68">
          <cell r="E68">
            <v>11311598.726738488</v>
          </cell>
        </row>
      </sheetData>
      <sheetData sheetId="56"/>
      <sheetData sheetId="57"/>
      <sheetData sheetId="58">
        <row r="3">
          <cell r="A3" t="str">
            <v>T I Bis a</v>
          </cell>
        </row>
      </sheetData>
      <sheetData sheetId="59"/>
      <sheetData sheetId="60"/>
      <sheetData sheetId="6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Prév Hono Amgt 2019"/>
      <sheetName val="Prév Hono Construction 2019"/>
      <sheetName val="OPERATION LIVREES 2019"/>
      <sheetName val="Prevision Hono REHAB 2019"/>
      <sheetName val="Mensuel Rem"/>
      <sheetName val="Rem par phase"/>
    </sheetNames>
    <sheetDataSet>
      <sheetData sheetId="0">
        <row r="7">
          <cell r="C7">
            <v>2252991.2806451614</v>
          </cell>
        </row>
      </sheetData>
      <sheetData sheetId="1"/>
      <sheetData sheetId="2">
        <row r="19">
          <cell r="T19">
            <v>6213</v>
          </cell>
        </row>
        <row r="32">
          <cell r="AH32">
            <v>0</v>
          </cell>
        </row>
        <row r="33">
          <cell r="AH33">
            <v>0</v>
          </cell>
        </row>
        <row r="34">
          <cell r="AH34">
            <v>0</v>
          </cell>
        </row>
        <row r="35">
          <cell r="AH35">
            <v>0</v>
          </cell>
        </row>
        <row r="36">
          <cell r="AH36">
            <v>0</v>
          </cell>
        </row>
        <row r="37">
          <cell r="AH37">
            <v>0</v>
          </cell>
        </row>
        <row r="38">
          <cell r="AH38">
            <v>0</v>
          </cell>
        </row>
        <row r="39">
          <cell r="AH39">
            <v>0</v>
          </cell>
        </row>
        <row r="40">
          <cell r="AH40">
            <v>0</v>
          </cell>
        </row>
        <row r="41">
          <cell r="AH41">
            <v>0</v>
          </cell>
        </row>
        <row r="43">
          <cell r="AH43">
            <v>0</v>
          </cell>
        </row>
        <row r="44">
          <cell r="AH44">
            <v>0</v>
          </cell>
        </row>
        <row r="45">
          <cell r="AH45">
            <v>0</v>
          </cell>
        </row>
        <row r="46">
          <cell r="AH46">
            <v>0</v>
          </cell>
        </row>
        <row r="47">
          <cell r="AH47"/>
        </row>
        <row r="48">
          <cell r="AH48">
            <v>0</v>
          </cell>
        </row>
        <row r="49">
          <cell r="AH49">
            <v>0</v>
          </cell>
        </row>
        <row r="51">
          <cell r="AH51">
            <v>0</v>
          </cell>
        </row>
        <row r="52">
          <cell r="AH52">
            <v>0</v>
          </cell>
        </row>
        <row r="53">
          <cell r="AH53">
            <v>0</v>
          </cell>
        </row>
        <row r="54">
          <cell r="AH54">
            <v>0</v>
          </cell>
        </row>
        <row r="55">
          <cell r="AH55">
            <v>0</v>
          </cell>
        </row>
        <row r="56">
          <cell r="AH56">
            <v>0</v>
          </cell>
        </row>
        <row r="57">
          <cell r="AH57">
            <v>0</v>
          </cell>
        </row>
        <row r="59">
          <cell r="AH59">
            <v>0</v>
          </cell>
        </row>
        <row r="60">
          <cell r="AH60">
            <v>0</v>
          </cell>
        </row>
        <row r="61">
          <cell r="AH61">
            <v>0</v>
          </cell>
        </row>
        <row r="62">
          <cell r="AH62">
            <v>0</v>
          </cell>
        </row>
        <row r="63">
          <cell r="AH63">
            <v>0</v>
          </cell>
        </row>
        <row r="64">
          <cell r="AH64">
            <v>0</v>
          </cell>
        </row>
        <row r="65">
          <cell r="AH65">
            <v>0</v>
          </cell>
        </row>
        <row r="66">
          <cell r="AH66">
            <v>0</v>
          </cell>
        </row>
        <row r="68">
          <cell r="AH68">
            <v>0</v>
          </cell>
        </row>
        <row r="69">
          <cell r="AH69">
            <v>0</v>
          </cell>
        </row>
        <row r="70">
          <cell r="AH70">
            <v>0</v>
          </cell>
        </row>
        <row r="71">
          <cell r="AH71">
            <v>0</v>
          </cell>
        </row>
        <row r="72">
          <cell r="AH72">
            <v>0</v>
          </cell>
        </row>
        <row r="73">
          <cell r="AH73">
            <v>0</v>
          </cell>
        </row>
        <row r="74">
          <cell r="AH74">
            <v>0</v>
          </cell>
        </row>
        <row r="75">
          <cell r="AH75"/>
        </row>
        <row r="77">
          <cell r="AH77">
            <v>0</v>
          </cell>
        </row>
        <row r="78">
          <cell r="AH78">
            <v>0</v>
          </cell>
        </row>
        <row r="79">
          <cell r="AH79">
            <v>0</v>
          </cell>
        </row>
        <row r="80">
          <cell r="AH80">
            <v>0</v>
          </cell>
        </row>
        <row r="81">
          <cell r="AH81">
            <v>0</v>
          </cell>
        </row>
        <row r="82">
          <cell r="AH82"/>
        </row>
        <row r="84">
          <cell r="AH84">
            <v>0</v>
          </cell>
        </row>
        <row r="85">
          <cell r="AH85">
            <v>0</v>
          </cell>
        </row>
        <row r="86">
          <cell r="AH86">
            <v>0</v>
          </cell>
        </row>
        <row r="87">
          <cell r="AH87">
            <v>0</v>
          </cell>
        </row>
        <row r="88">
          <cell r="AH88">
            <v>0</v>
          </cell>
        </row>
        <row r="89">
          <cell r="AH89">
            <v>0</v>
          </cell>
        </row>
        <row r="90">
          <cell r="AH90">
            <v>0</v>
          </cell>
        </row>
        <row r="91">
          <cell r="AH91">
            <v>0</v>
          </cell>
        </row>
        <row r="93">
          <cell r="AH93">
            <v>0</v>
          </cell>
        </row>
        <row r="94">
          <cell r="AH94">
            <v>0</v>
          </cell>
        </row>
        <row r="95">
          <cell r="AH95">
            <v>0</v>
          </cell>
        </row>
        <row r="96">
          <cell r="AH96">
            <v>0</v>
          </cell>
        </row>
        <row r="97">
          <cell r="AH97">
            <v>0</v>
          </cell>
        </row>
        <row r="98">
          <cell r="AH98">
            <v>0</v>
          </cell>
        </row>
        <row r="99">
          <cell r="AH99">
            <v>0</v>
          </cell>
        </row>
        <row r="100">
          <cell r="AH100">
            <v>0</v>
          </cell>
        </row>
        <row r="101">
          <cell r="AH101">
            <v>0</v>
          </cell>
        </row>
      </sheetData>
      <sheetData sheetId="3"/>
      <sheetData sheetId="4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AZ306"/>
  <sheetViews>
    <sheetView tabSelected="1" view="pageBreakPreview" zoomScale="85" zoomScaleNormal="130" zoomScaleSheetLayoutView="85" zoomScalePageLayoutView="55" workbookViewId="0">
      <pane xSplit="2" ySplit="1" topLeftCell="AJ67" activePane="bottomRight" state="frozen"/>
      <selection pane="topRight" activeCell="C1" sqref="C1"/>
      <selection pane="bottomLeft" activeCell="A2" sqref="A2"/>
      <selection pane="bottomRight" activeCell="AQ72" sqref="AQ72"/>
    </sheetView>
  </sheetViews>
  <sheetFormatPr baseColWidth="10" defaultColWidth="10" defaultRowHeight="15.6" outlineLevelRow="1" outlineLevelCol="1"/>
  <cols>
    <col min="1" max="1" width="11" style="50" customWidth="1"/>
    <col min="2" max="2" width="25.36328125" style="28" customWidth="1"/>
    <col min="3" max="3" width="13.7265625" style="17" customWidth="1"/>
    <col min="4" max="4" width="11.7265625" style="16" customWidth="1"/>
    <col min="5" max="5" width="13.1796875" style="16" customWidth="1"/>
    <col min="6" max="6" width="12.36328125" style="18" customWidth="1"/>
    <col min="7" max="7" width="16.36328125" style="19" customWidth="1"/>
    <col min="8" max="8" width="19.1796875" style="20" customWidth="1"/>
    <col min="9" max="9" width="17.1796875" style="16" customWidth="1"/>
    <col min="10" max="10" width="20.26953125" style="16" customWidth="1"/>
    <col min="11" max="11" width="17.6328125" style="33" customWidth="1"/>
    <col min="12" max="12" width="13.36328125" style="33" customWidth="1"/>
    <col min="13" max="13" width="20.36328125" style="17" customWidth="1"/>
    <col min="14" max="16" width="18.26953125" style="17" customWidth="1" outlineLevel="1"/>
    <col min="17" max="18" width="22.81640625" style="17" customWidth="1"/>
    <col min="19" max="21" width="19" style="17" customWidth="1"/>
    <col min="22" max="22" width="20.36328125" style="8" customWidth="1"/>
    <col min="23" max="23" width="20.36328125" style="172" customWidth="1"/>
    <col min="24" max="30" width="18.36328125" style="8" customWidth="1"/>
    <col min="31" max="36" width="18.36328125" style="172" customWidth="1"/>
    <col min="37" max="37" width="17.1796875" style="94" customWidth="1"/>
    <col min="38" max="38" width="18.7265625" style="5" customWidth="1"/>
    <col min="39" max="39" width="21.81640625" style="5" customWidth="1" outlineLevel="1"/>
    <col min="40" max="40" width="14.81640625" style="43" bestFit="1" customWidth="1"/>
    <col min="41" max="41" width="16.6328125" style="43" customWidth="1"/>
    <col min="42" max="42" width="18.1796875" style="139" customWidth="1"/>
    <col min="43" max="43" width="15.6328125" style="5" customWidth="1"/>
    <col min="44" max="44" width="26.90625" style="5" customWidth="1"/>
    <col min="45" max="16384" width="10" style="5"/>
  </cols>
  <sheetData>
    <row r="1" spans="1:46" s="1409" customFormat="1" ht="30.6" customHeight="1" thickTop="1">
      <c r="A1" s="1405"/>
      <c r="B1" s="1406" t="s">
        <v>0</v>
      </c>
      <c r="C1" s="1403" t="s">
        <v>1</v>
      </c>
      <c r="D1" s="1404" t="s">
        <v>93</v>
      </c>
      <c r="E1" s="1404" t="s">
        <v>97</v>
      </c>
      <c r="F1" s="1403" t="s">
        <v>7</v>
      </c>
      <c r="G1" s="1403" t="s">
        <v>323</v>
      </c>
      <c r="H1" s="1403" t="s">
        <v>332</v>
      </c>
      <c r="I1" s="1403" t="s">
        <v>4</v>
      </c>
      <c r="J1" s="1407" t="s">
        <v>5</v>
      </c>
      <c r="K1" s="1408" t="s">
        <v>6</v>
      </c>
      <c r="L1" s="1410" t="s">
        <v>364</v>
      </c>
      <c r="M1" s="435" t="s">
        <v>195</v>
      </c>
      <c r="N1" s="392" t="s">
        <v>144</v>
      </c>
      <c r="O1" s="648" t="s">
        <v>83</v>
      </c>
      <c r="P1" s="645" t="s">
        <v>122</v>
      </c>
      <c r="Q1" s="646" t="s">
        <v>143</v>
      </c>
      <c r="R1" s="647" t="s">
        <v>145</v>
      </c>
      <c r="S1" s="631" t="s">
        <v>174</v>
      </c>
      <c r="T1" s="632" t="s">
        <v>173</v>
      </c>
      <c r="U1" s="633" t="s">
        <v>172</v>
      </c>
      <c r="V1" s="634" t="s">
        <v>199</v>
      </c>
      <c r="W1" s="635" t="s">
        <v>200</v>
      </c>
      <c r="X1" s="636" t="s">
        <v>201</v>
      </c>
      <c r="Y1" s="637" t="s">
        <v>233</v>
      </c>
      <c r="Z1" s="638" t="s">
        <v>232</v>
      </c>
      <c r="AA1" s="639" t="s">
        <v>234</v>
      </c>
      <c r="AB1" s="640" t="s">
        <v>269</v>
      </c>
      <c r="AC1" s="641" t="s">
        <v>270</v>
      </c>
      <c r="AD1" s="642" t="s">
        <v>271</v>
      </c>
      <c r="AE1" s="643" t="s">
        <v>272</v>
      </c>
      <c r="AF1" s="644" t="s">
        <v>283</v>
      </c>
      <c r="AG1" s="737" t="s">
        <v>285</v>
      </c>
      <c r="AH1" s="870" t="s">
        <v>284</v>
      </c>
      <c r="AI1" s="871" t="s">
        <v>318</v>
      </c>
      <c r="AJ1" s="982" t="s">
        <v>319</v>
      </c>
      <c r="AK1" s="1032" t="s">
        <v>313</v>
      </c>
      <c r="AL1" s="961" t="s">
        <v>314</v>
      </c>
      <c r="AM1" s="962" t="s">
        <v>315</v>
      </c>
      <c r="AN1" s="963" t="s">
        <v>316</v>
      </c>
      <c r="AO1" s="355" t="s">
        <v>109</v>
      </c>
      <c r="AP1" s="1454" t="s">
        <v>124</v>
      </c>
      <c r="AQ1" s="745" t="s">
        <v>277</v>
      </c>
      <c r="AR1" s="1468" t="s">
        <v>368</v>
      </c>
    </row>
    <row r="2" spans="1:46" s="1" customFormat="1" ht="15" customHeight="1">
      <c r="A2" s="50"/>
      <c r="B2" s="89"/>
      <c r="C2" s="4"/>
      <c r="D2" s="3"/>
      <c r="E2" s="3"/>
      <c r="F2" s="2"/>
      <c r="G2" s="2"/>
      <c r="H2" s="2"/>
      <c r="I2" s="4"/>
      <c r="J2" s="417"/>
      <c r="K2" s="437"/>
      <c r="L2" s="1411"/>
      <c r="M2" s="436">
        <f ca="1">TODAY()</f>
        <v>44172</v>
      </c>
      <c r="N2" s="393"/>
      <c r="O2" s="395" t="s">
        <v>8</v>
      </c>
      <c r="P2" s="692"/>
      <c r="Q2" s="6"/>
      <c r="R2" s="705"/>
      <c r="S2" s="692"/>
      <c r="T2" s="6"/>
      <c r="U2" s="698"/>
      <c r="V2" s="649"/>
      <c r="W2" s="285"/>
      <c r="X2" s="590"/>
      <c r="Y2" s="649"/>
      <c r="Z2" s="285"/>
      <c r="AA2" s="590"/>
      <c r="AB2" s="589"/>
      <c r="AC2" s="574"/>
      <c r="AD2" s="590"/>
      <c r="AE2" s="559"/>
      <c r="AF2" s="574"/>
      <c r="AG2" s="384"/>
      <c r="AH2" s="559"/>
      <c r="AI2" s="574"/>
      <c r="AJ2" s="983">
        <f ca="1">TODAY()</f>
        <v>44172</v>
      </c>
      <c r="AK2" s="774"/>
      <c r="AL2" s="1033"/>
      <c r="AM2" s="852"/>
      <c r="AN2" s="384"/>
      <c r="AO2" s="386"/>
      <c r="AP2" s="1455"/>
      <c r="AQ2" s="746" t="s">
        <v>317</v>
      </c>
      <c r="AR2" s="1469"/>
    </row>
    <row r="3" spans="1:46" s="44" customFormat="1" ht="12.75" hidden="1" customHeight="1" outlineLevel="1">
      <c r="A3" s="1377" t="s">
        <v>9</v>
      </c>
      <c r="B3" s="96" t="s">
        <v>10</v>
      </c>
      <c r="C3" s="46" t="s">
        <v>11</v>
      </c>
      <c r="D3" s="97">
        <v>2008</v>
      </c>
      <c r="E3" s="97">
        <v>84</v>
      </c>
      <c r="F3" s="98" t="s">
        <v>12</v>
      </c>
      <c r="G3" s="98" t="s">
        <v>131</v>
      </c>
      <c r="H3" s="98"/>
      <c r="I3" s="46">
        <v>9484719</v>
      </c>
      <c r="J3" s="418">
        <f>I3/E3</f>
        <v>112913.32142857143</v>
      </c>
      <c r="K3" s="446">
        <v>487450</v>
      </c>
      <c r="L3" s="1412"/>
      <c r="M3" s="374">
        <v>487450</v>
      </c>
      <c r="N3" s="362">
        <f>M3/K3</f>
        <v>1</v>
      </c>
      <c r="O3" s="396">
        <v>32540</v>
      </c>
      <c r="P3" s="374"/>
      <c r="Q3" s="681">
        <v>487450</v>
      </c>
      <c r="R3" s="706">
        <f>Q3/K3</f>
        <v>1</v>
      </c>
      <c r="S3" s="374">
        <v>0</v>
      </c>
      <c r="T3" s="681">
        <v>487450</v>
      </c>
      <c r="U3" s="661">
        <f>T3/K3</f>
        <v>1</v>
      </c>
      <c r="V3" s="374"/>
      <c r="W3" s="681">
        <v>487450</v>
      </c>
      <c r="X3" s="661">
        <f>W3/K3</f>
        <v>1</v>
      </c>
      <c r="Y3" s="356"/>
      <c r="Z3" s="575">
        <v>487450</v>
      </c>
      <c r="AA3" s="592">
        <f>Z3/K3</f>
        <v>1</v>
      </c>
      <c r="AB3" s="591"/>
      <c r="AC3" s="575">
        <v>487450</v>
      </c>
      <c r="AD3" s="592">
        <f>AC3/K3</f>
        <v>1</v>
      </c>
      <c r="AE3" s="356"/>
      <c r="AF3" s="575">
        <v>487450</v>
      </c>
      <c r="AG3" s="362">
        <f>AE3/K3</f>
        <v>0</v>
      </c>
      <c r="AH3" s="356"/>
      <c r="AI3" s="575"/>
      <c r="AJ3" s="984"/>
      <c r="AK3" s="1009"/>
      <c r="AL3" s="1034"/>
      <c r="AM3" s="681">
        <v>0</v>
      </c>
      <c r="AN3" s="362">
        <f>(M3+AM3)/K3</f>
        <v>1</v>
      </c>
      <c r="AO3" s="733">
        <f>K3-M3</f>
        <v>0</v>
      </c>
      <c r="AP3" s="1456"/>
      <c r="AQ3" s="747"/>
      <c r="AR3" s="1469"/>
    </row>
    <row r="4" spans="1:46" s="44" customFormat="1" ht="13.2" hidden="1" outlineLevel="1">
      <c r="A4" s="1378"/>
      <c r="B4" s="96" t="s">
        <v>13</v>
      </c>
      <c r="C4" s="46" t="s">
        <v>14</v>
      </c>
      <c r="D4" s="97">
        <v>2009</v>
      </c>
      <c r="E4" s="97">
        <v>47</v>
      </c>
      <c r="F4" s="98" t="s">
        <v>15</v>
      </c>
      <c r="G4" s="98" t="s">
        <v>131</v>
      </c>
      <c r="H4" s="98"/>
      <c r="I4" s="46">
        <v>6475362</v>
      </c>
      <c r="J4" s="418">
        <f>I4/E4</f>
        <v>137773.6595744681</v>
      </c>
      <c r="K4" s="446">
        <v>323756</v>
      </c>
      <c r="L4" s="1412"/>
      <c r="M4" s="374">
        <v>323756</v>
      </c>
      <c r="N4" s="362">
        <f>M4/K4</f>
        <v>1</v>
      </c>
      <c r="O4" s="396">
        <v>16193</v>
      </c>
      <c r="P4" s="374">
        <v>0</v>
      </c>
      <c r="Q4" s="681">
        <v>307678</v>
      </c>
      <c r="R4" s="706">
        <f>Q4/K4</f>
        <v>0.95033914429385091</v>
      </c>
      <c r="S4" s="374">
        <v>16078</v>
      </c>
      <c r="T4" s="681">
        <v>323756</v>
      </c>
      <c r="U4" s="661">
        <f>T4/K4</f>
        <v>1</v>
      </c>
      <c r="V4" s="374"/>
      <c r="W4" s="681">
        <v>323756</v>
      </c>
      <c r="X4" s="661">
        <f>W4/K4</f>
        <v>1</v>
      </c>
      <c r="Y4" s="356"/>
      <c r="Z4" s="575">
        <v>323756</v>
      </c>
      <c r="AA4" s="592">
        <f>Z4/K4</f>
        <v>1</v>
      </c>
      <c r="AB4" s="591"/>
      <c r="AC4" s="575">
        <v>323756</v>
      </c>
      <c r="AD4" s="592">
        <f>AC4/K4</f>
        <v>1</v>
      </c>
      <c r="AE4" s="356"/>
      <c r="AF4" s="575">
        <v>323756</v>
      </c>
      <c r="AG4" s="362">
        <f>AE4/K4</f>
        <v>0</v>
      </c>
      <c r="AH4" s="356"/>
      <c r="AI4" s="575"/>
      <c r="AJ4" s="984"/>
      <c r="AK4" s="1009"/>
      <c r="AL4" s="1034"/>
      <c r="AM4" s="681">
        <v>0</v>
      </c>
      <c r="AN4" s="362">
        <f>(M4+AM4)/K4</f>
        <v>1</v>
      </c>
      <c r="AO4" s="733">
        <f>K4-M4</f>
        <v>0</v>
      </c>
      <c r="AP4" s="1456"/>
      <c r="AQ4" s="748"/>
      <c r="AR4" s="1469"/>
    </row>
    <row r="5" spans="1:46" s="45" customFormat="1" ht="13.2" hidden="1" outlineLevel="1">
      <c r="A5" s="1378"/>
      <c r="B5" s="99" t="s">
        <v>16</v>
      </c>
      <c r="C5" s="100" t="s">
        <v>17</v>
      </c>
      <c r="D5" s="101">
        <v>2009</v>
      </c>
      <c r="E5" s="101">
        <v>34</v>
      </c>
      <c r="F5" s="102" t="s">
        <v>15</v>
      </c>
      <c r="G5" s="102" t="s">
        <v>131</v>
      </c>
      <c r="H5" s="102"/>
      <c r="I5" s="46">
        <v>5008372</v>
      </c>
      <c r="J5" s="419">
        <f>I5/E5</f>
        <v>147305.0588235294</v>
      </c>
      <c r="K5" s="446">
        <v>223829</v>
      </c>
      <c r="L5" s="1412"/>
      <c r="M5" s="374">
        <v>223829</v>
      </c>
      <c r="N5" s="362">
        <f>M5/K5</f>
        <v>1</v>
      </c>
      <c r="O5" s="396">
        <v>7835</v>
      </c>
      <c r="P5" s="374">
        <v>0</v>
      </c>
      <c r="Q5" s="681">
        <v>223829</v>
      </c>
      <c r="R5" s="706">
        <f>Q5/K5</f>
        <v>1</v>
      </c>
      <c r="S5" s="374">
        <v>0</v>
      </c>
      <c r="T5" s="681">
        <v>223829</v>
      </c>
      <c r="U5" s="661">
        <f>T5/K5</f>
        <v>1</v>
      </c>
      <c r="V5" s="374"/>
      <c r="W5" s="681">
        <v>223829</v>
      </c>
      <c r="X5" s="661">
        <f>W5/K5</f>
        <v>1</v>
      </c>
      <c r="Y5" s="356"/>
      <c r="Z5" s="575">
        <v>223829</v>
      </c>
      <c r="AA5" s="592">
        <f>Z5/K5</f>
        <v>1</v>
      </c>
      <c r="AB5" s="591"/>
      <c r="AC5" s="575">
        <v>223829</v>
      </c>
      <c r="AD5" s="592">
        <f>AC5/K5</f>
        <v>1</v>
      </c>
      <c r="AE5" s="356"/>
      <c r="AF5" s="575">
        <v>223829</v>
      </c>
      <c r="AG5" s="362">
        <f>AE5/K5</f>
        <v>0</v>
      </c>
      <c r="AH5" s="356"/>
      <c r="AI5" s="575"/>
      <c r="AJ5" s="984"/>
      <c r="AK5" s="1009"/>
      <c r="AL5" s="1034"/>
      <c r="AM5" s="855">
        <v>0</v>
      </c>
      <c r="AN5" s="391">
        <f>(M5+AM5)/K5</f>
        <v>1</v>
      </c>
      <c r="AO5" s="734">
        <f>K5-M5</f>
        <v>0</v>
      </c>
      <c r="AP5" s="1456"/>
      <c r="AQ5" s="748"/>
      <c r="AR5" s="1469"/>
    </row>
    <row r="6" spans="1:46" s="28" customFormat="1" ht="13.2" hidden="1" outlineLevel="1">
      <c r="A6" s="1378"/>
      <c r="B6" s="90" t="s">
        <v>18</v>
      </c>
      <c r="C6" s="34" t="s">
        <v>19</v>
      </c>
      <c r="D6" s="7">
        <v>2008</v>
      </c>
      <c r="E6" s="7">
        <v>18</v>
      </c>
      <c r="F6" s="40" t="s">
        <v>20</v>
      </c>
      <c r="G6" s="40" t="s">
        <v>131</v>
      </c>
      <c r="H6" s="40"/>
      <c r="I6" s="46">
        <v>2892845</v>
      </c>
      <c r="J6" s="420">
        <f>I6/E6</f>
        <v>160713.61111111112</v>
      </c>
      <c r="K6" s="446">
        <v>144692</v>
      </c>
      <c r="L6" s="1412"/>
      <c r="M6" s="374">
        <v>144692</v>
      </c>
      <c r="N6" s="362">
        <f>M6/K6</f>
        <v>1</v>
      </c>
      <c r="O6" s="396"/>
      <c r="P6" s="374"/>
      <c r="Q6" s="681">
        <v>144692</v>
      </c>
      <c r="R6" s="706">
        <f>Q6/K6</f>
        <v>1</v>
      </c>
      <c r="S6" s="374">
        <v>0</v>
      </c>
      <c r="T6" s="681">
        <v>144692</v>
      </c>
      <c r="U6" s="661">
        <f>T6/K6</f>
        <v>1</v>
      </c>
      <c r="V6" s="374"/>
      <c r="W6" s="681">
        <v>144692</v>
      </c>
      <c r="X6" s="661">
        <f>W6/K6</f>
        <v>1</v>
      </c>
      <c r="Y6" s="356"/>
      <c r="Z6" s="575">
        <v>144692</v>
      </c>
      <c r="AA6" s="592">
        <f>Z6/K6</f>
        <v>1</v>
      </c>
      <c r="AB6" s="591"/>
      <c r="AC6" s="575">
        <v>144692</v>
      </c>
      <c r="AD6" s="592">
        <f>AC6/K6</f>
        <v>1</v>
      </c>
      <c r="AE6" s="356"/>
      <c r="AF6" s="575">
        <v>144692</v>
      </c>
      <c r="AG6" s="362">
        <f>AE6/K6</f>
        <v>0</v>
      </c>
      <c r="AH6" s="356"/>
      <c r="AI6" s="575"/>
      <c r="AJ6" s="984"/>
      <c r="AK6" s="1009"/>
      <c r="AL6" s="1034"/>
      <c r="AM6" s="856">
        <v>0</v>
      </c>
      <c r="AN6" s="738">
        <f>(M6+AM6)/K6</f>
        <v>1</v>
      </c>
      <c r="AO6" s="735">
        <f>K6-M6</f>
        <v>0</v>
      </c>
      <c r="AP6" s="1456"/>
      <c r="AQ6" s="749"/>
      <c r="AR6" s="1469"/>
    </row>
    <row r="7" spans="1:46" s="28" customFormat="1" ht="21.6" hidden="1" customHeight="1" outlineLevel="1" thickBot="1">
      <c r="A7" s="1379"/>
      <c r="B7" s="91" t="s">
        <v>21</v>
      </c>
      <c r="C7" s="34" t="s">
        <v>22</v>
      </c>
      <c r="D7" s="35">
        <v>2009</v>
      </c>
      <c r="E7" s="35">
        <v>27</v>
      </c>
      <c r="F7" s="40" t="s">
        <v>23</v>
      </c>
      <c r="G7" s="114" t="s">
        <v>131</v>
      </c>
      <c r="H7" s="114"/>
      <c r="I7" s="47">
        <v>3246438</v>
      </c>
      <c r="J7" s="421">
        <f>I7/E7</f>
        <v>120238.44444444444</v>
      </c>
      <c r="K7" s="447">
        <v>162321.91</v>
      </c>
      <c r="L7" s="1413"/>
      <c r="M7" s="387">
        <v>162321.91</v>
      </c>
      <c r="N7" s="385">
        <f>M7/K7</f>
        <v>1</v>
      </c>
      <c r="O7" s="397">
        <v>5220</v>
      </c>
      <c r="P7" s="387"/>
      <c r="Q7" s="700">
        <v>162321.91</v>
      </c>
      <c r="R7" s="707">
        <f>Q7/K7</f>
        <v>1</v>
      </c>
      <c r="S7" s="387">
        <v>0</v>
      </c>
      <c r="T7" s="700">
        <v>162321.91</v>
      </c>
      <c r="U7" s="699">
        <f>T7/K7</f>
        <v>1</v>
      </c>
      <c r="V7" s="374"/>
      <c r="W7" s="681">
        <v>162321.91</v>
      </c>
      <c r="X7" s="661">
        <f>W7/K7</f>
        <v>1</v>
      </c>
      <c r="Y7" s="356"/>
      <c r="Z7" s="575">
        <v>162321.91</v>
      </c>
      <c r="AA7" s="592">
        <f>Z7/K7</f>
        <v>1</v>
      </c>
      <c r="AB7" s="591"/>
      <c r="AC7" s="575">
        <v>162321.91</v>
      </c>
      <c r="AD7" s="592">
        <f>AC7/K7</f>
        <v>1</v>
      </c>
      <c r="AE7" s="356"/>
      <c r="AF7" s="575">
        <v>162321.91</v>
      </c>
      <c r="AG7" s="362">
        <f>AE7/K7</f>
        <v>0</v>
      </c>
      <c r="AH7" s="356"/>
      <c r="AI7" s="575"/>
      <c r="AJ7" s="984"/>
      <c r="AK7" s="1009"/>
      <c r="AL7" s="1034"/>
      <c r="AM7" s="856">
        <v>0</v>
      </c>
      <c r="AN7" s="738">
        <f>(M7+AM7)/K7</f>
        <v>1</v>
      </c>
      <c r="AO7" s="735">
        <f>K7-M7</f>
        <v>0</v>
      </c>
      <c r="AP7" s="1456"/>
      <c r="AQ7" s="749"/>
      <c r="AR7" s="1469"/>
    </row>
    <row r="8" spans="1:46" s="1" customFormat="1" ht="13.8" hidden="1" outlineLevel="1" thickBot="1">
      <c r="A8" s="32"/>
      <c r="B8" s="271"/>
      <c r="C8" s="272"/>
      <c r="D8" s="273">
        <f>COUNTA(D3:D7)</f>
        <v>5</v>
      </c>
      <c r="E8" s="273">
        <f>SUM(E3:E7)</f>
        <v>210</v>
      </c>
      <c r="F8" s="274"/>
      <c r="G8" s="275"/>
      <c r="H8" s="1449"/>
      <c r="I8" s="276">
        <f>SUM(I3:I7)</f>
        <v>27107736</v>
      </c>
      <c r="J8" s="422"/>
      <c r="K8" s="438">
        <f t="shared" ref="K8:AO8" si="0">SUM(K3:K7)</f>
        <v>1342048.9099999999</v>
      </c>
      <c r="L8" s="1414"/>
      <c r="M8" s="650">
        <f t="shared" si="0"/>
        <v>1342048.9099999999</v>
      </c>
      <c r="N8" s="726">
        <f>M8/K8</f>
        <v>1</v>
      </c>
      <c r="O8" s="398">
        <f t="shared" si="0"/>
        <v>61788</v>
      </c>
      <c r="P8" s="650">
        <f t="shared" si="0"/>
        <v>0</v>
      </c>
      <c r="Q8" s="682">
        <f t="shared" si="0"/>
        <v>1325970.9099999999</v>
      </c>
      <c r="R8" s="708">
        <f>Q8/K8</f>
        <v>0.98801981069378464</v>
      </c>
      <c r="S8" s="650">
        <f t="shared" si="0"/>
        <v>16078</v>
      </c>
      <c r="T8" s="682">
        <f t="shared" si="0"/>
        <v>1342048.9099999999</v>
      </c>
      <c r="U8" s="662">
        <f>T8/K8</f>
        <v>1</v>
      </c>
      <c r="V8" s="650">
        <f t="shared" si="0"/>
        <v>0</v>
      </c>
      <c r="W8" s="682">
        <f t="shared" si="0"/>
        <v>1342048.9099999999</v>
      </c>
      <c r="X8" s="662">
        <f>W8/K8</f>
        <v>1</v>
      </c>
      <c r="Y8" s="560">
        <f t="shared" si="0"/>
        <v>0</v>
      </c>
      <c r="Z8" s="576">
        <f t="shared" si="0"/>
        <v>1342048.9099999999</v>
      </c>
      <c r="AA8" s="594">
        <f>Z8/K8</f>
        <v>1</v>
      </c>
      <c r="AB8" s="593"/>
      <c r="AC8" s="576">
        <f>SUM(AC3:AC7)</f>
        <v>1342048.9099999999</v>
      </c>
      <c r="AD8" s="594">
        <f>AC8/K8</f>
        <v>1</v>
      </c>
      <c r="AE8" s="560">
        <f>SUM(AE3:AE7)</f>
        <v>0</v>
      </c>
      <c r="AF8" s="576">
        <f>SUM(AF3:AF7)</f>
        <v>1342048.9099999999</v>
      </c>
      <c r="AG8" s="726">
        <f>AE8/K8</f>
        <v>0</v>
      </c>
      <c r="AH8" s="560"/>
      <c r="AI8" s="576"/>
      <c r="AJ8" s="985"/>
      <c r="AK8" s="1010"/>
      <c r="AL8" s="1035"/>
      <c r="AM8" s="682">
        <f t="shared" si="0"/>
        <v>0</v>
      </c>
      <c r="AN8" s="726">
        <f>(M8+AM8)/K8</f>
        <v>1</v>
      </c>
      <c r="AO8" s="375">
        <f t="shared" si="0"/>
        <v>0</v>
      </c>
      <c r="AP8" s="1456"/>
      <c r="AQ8" s="747"/>
      <c r="AR8" s="1469"/>
    </row>
    <row r="9" spans="1:46" s="28" customFormat="1" ht="33.75" hidden="1" customHeight="1" outlineLevel="1">
      <c r="A9" s="1380">
        <v>2010</v>
      </c>
      <c r="B9" s="214" t="s">
        <v>24</v>
      </c>
      <c r="C9" s="215" t="s">
        <v>25</v>
      </c>
      <c r="D9" s="216">
        <v>2010</v>
      </c>
      <c r="E9" s="216">
        <v>27</v>
      </c>
      <c r="F9" s="217" t="s">
        <v>12</v>
      </c>
      <c r="G9" s="218" t="s">
        <v>131</v>
      </c>
      <c r="H9" s="218"/>
      <c r="I9" s="219">
        <v>3582299</v>
      </c>
      <c r="J9" s="423">
        <f>I9/E9</f>
        <v>132677.74074074073</v>
      </c>
      <c r="K9" s="448">
        <v>179115</v>
      </c>
      <c r="L9" s="1415"/>
      <c r="M9" s="376">
        <v>179115</v>
      </c>
      <c r="N9" s="363">
        <f>M9/K9</f>
        <v>1</v>
      </c>
      <c r="O9" s="399">
        <v>9824</v>
      </c>
      <c r="P9" s="376">
        <f>9094+18188</f>
        <v>27282</v>
      </c>
      <c r="Q9" s="683">
        <v>172785</v>
      </c>
      <c r="R9" s="709">
        <f>Q9/K9</f>
        <v>0.96465957624989529</v>
      </c>
      <c r="S9" s="376">
        <v>6330</v>
      </c>
      <c r="T9" s="683">
        <v>179115</v>
      </c>
      <c r="U9" s="663">
        <f>T9/K9</f>
        <v>1</v>
      </c>
      <c r="V9" s="376"/>
      <c r="W9" s="683">
        <v>179115</v>
      </c>
      <c r="X9" s="663">
        <f>W9/K9</f>
        <v>1</v>
      </c>
      <c r="Y9" s="357"/>
      <c r="Z9" s="577">
        <v>179115</v>
      </c>
      <c r="AA9" s="596">
        <f>Z9/K9</f>
        <v>1</v>
      </c>
      <c r="AB9" s="595"/>
      <c r="AC9" s="577">
        <v>179115</v>
      </c>
      <c r="AD9" s="596">
        <f>AC9/K9</f>
        <v>1</v>
      </c>
      <c r="AE9" s="357"/>
      <c r="AF9" s="577">
        <v>179115</v>
      </c>
      <c r="AG9" s="363">
        <f>AE9/K9</f>
        <v>0</v>
      </c>
      <c r="AH9" s="357"/>
      <c r="AI9" s="577"/>
      <c r="AJ9" s="986"/>
      <c r="AK9" s="1011"/>
      <c r="AL9" s="1036"/>
      <c r="AM9" s="857">
        <v>0</v>
      </c>
      <c r="AN9" s="364">
        <f>(M9+AM9)/K9</f>
        <v>1</v>
      </c>
      <c r="AO9" s="736">
        <f>K9-M9</f>
        <v>0</v>
      </c>
      <c r="AP9" s="1456"/>
      <c r="AQ9" s="747"/>
      <c r="AR9" s="1469"/>
      <c r="AT9" s="28">
        <f>49/6.5</f>
        <v>7.5384615384615383</v>
      </c>
    </row>
    <row r="10" spans="1:46" s="28" customFormat="1" ht="13.2" hidden="1" outlineLevel="1">
      <c r="A10" s="1381"/>
      <c r="B10" s="220" t="s">
        <v>26</v>
      </c>
      <c r="C10" s="215" t="s">
        <v>27</v>
      </c>
      <c r="D10" s="221">
        <v>2010</v>
      </c>
      <c r="E10" s="221">
        <v>30</v>
      </c>
      <c r="F10" s="217" t="s">
        <v>31</v>
      </c>
      <c r="G10" s="217" t="s">
        <v>131</v>
      </c>
      <c r="H10" s="217"/>
      <c r="I10" s="215">
        <v>3900853</v>
      </c>
      <c r="J10" s="424">
        <f>I10/E10</f>
        <v>130028.43333333333</v>
      </c>
      <c r="K10" s="449">
        <v>195043</v>
      </c>
      <c r="L10" s="1416"/>
      <c r="M10" s="388">
        <v>195043</v>
      </c>
      <c r="N10" s="364">
        <f>M10/K10</f>
        <v>1</v>
      </c>
      <c r="O10" s="400">
        <v>42640</v>
      </c>
      <c r="P10" s="388">
        <f>29256+9752</f>
        <v>39008</v>
      </c>
      <c r="Q10" s="701">
        <v>185290</v>
      </c>
      <c r="R10" s="710">
        <f>Q10/K10</f>
        <v>0.94999564198663888</v>
      </c>
      <c r="S10" s="388">
        <v>9752</v>
      </c>
      <c r="T10" s="701">
        <v>195043</v>
      </c>
      <c r="U10" s="664">
        <f>T10/K10</f>
        <v>1</v>
      </c>
      <c r="V10" s="376"/>
      <c r="W10" s="683">
        <v>195043</v>
      </c>
      <c r="X10" s="664">
        <f>W10/K10</f>
        <v>1</v>
      </c>
      <c r="Y10" s="358"/>
      <c r="Z10" s="578">
        <v>195043</v>
      </c>
      <c r="AA10" s="598">
        <f>Z10/K10</f>
        <v>1</v>
      </c>
      <c r="AB10" s="597"/>
      <c r="AC10" s="578">
        <v>195043</v>
      </c>
      <c r="AD10" s="598">
        <f>AC10/K10</f>
        <v>1</v>
      </c>
      <c r="AE10" s="358"/>
      <c r="AF10" s="578">
        <v>195043</v>
      </c>
      <c r="AG10" s="364">
        <f>AE10/K10</f>
        <v>0</v>
      </c>
      <c r="AH10" s="358"/>
      <c r="AI10" s="578"/>
      <c r="AJ10" s="987"/>
      <c r="AK10" s="1012"/>
      <c r="AL10" s="1037"/>
      <c r="AM10" s="857">
        <v>0</v>
      </c>
      <c r="AN10" s="364">
        <f>(M10+AM10)/K10</f>
        <v>1</v>
      </c>
      <c r="AO10" s="736">
        <f>K10-M10</f>
        <v>0</v>
      </c>
      <c r="AP10" s="1456"/>
      <c r="AQ10" s="747"/>
      <c r="AR10" s="1469"/>
    </row>
    <row r="11" spans="1:46" s="28" customFormat="1" ht="15.75" hidden="1" customHeight="1" outlineLevel="1" thickBot="1">
      <c r="A11" s="1382"/>
      <c r="B11" s="220" t="s">
        <v>28</v>
      </c>
      <c r="C11" s="215" t="s">
        <v>29</v>
      </c>
      <c r="D11" s="222">
        <v>2010</v>
      </c>
      <c r="E11" s="222">
        <f>19+2</f>
        <v>21</v>
      </c>
      <c r="F11" s="217" t="s">
        <v>23</v>
      </c>
      <c r="G11" s="223" t="s">
        <v>131</v>
      </c>
      <c r="H11" s="223"/>
      <c r="I11" s="224">
        <v>2903610</v>
      </c>
      <c r="J11" s="425">
        <f>I11/E11</f>
        <v>138267.14285714287</v>
      </c>
      <c r="K11" s="450">
        <v>145176.94</v>
      </c>
      <c r="L11" s="1417"/>
      <c r="M11" s="389">
        <v>145176.94</v>
      </c>
      <c r="N11" s="365">
        <f>M11/K11</f>
        <v>1</v>
      </c>
      <c r="O11" s="401">
        <v>7278</v>
      </c>
      <c r="P11" s="389">
        <v>0</v>
      </c>
      <c r="Q11" s="702">
        <v>138153</v>
      </c>
      <c r="R11" s="711">
        <f>Q11/K11</f>
        <v>0.95161807377948593</v>
      </c>
      <c r="S11" s="389">
        <v>7023.94</v>
      </c>
      <c r="T11" s="702">
        <f>145180-3.06</f>
        <v>145176.94</v>
      </c>
      <c r="U11" s="665">
        <f>T11/K11</f>
        <v>1</v>
      </c>
      <c r="V11" s="376"/>
      <c r="W11" s="684">
        <v>145176.94</v>
      </c>
      <c r="X11" s="665">
        <f>W11/K11</f>
        <v>1</v>
      </c>
      <c r="Y11" s="359"/>
      <c r="Z11" s="579">
        <v>145176.94</v>
      </c>
      <c r="AA11" s="600">
        <f>Z11/K11</f>
        <v>1</v>
      </c>
      <c r="AB11" s="599"/>
      <c r="AC11" s="579">
        <v>145176.94</v>
      </c>
      <c r="AD11" s="600">
        <f>AC11/K11</f>
        <v>1</v>
      </c>
      <c r="AE11" s="359"/>
      <c r="AF11" s="579">
        <v>145176.94</v>
      </c>
      <c r="AG11" s="365">
        <f>AE11/K11</f>
        <v>0</v>
      </c>
      <c r="AH11" s="359"/>
      <c r="AI11" s="579"/>
      <c r="AJ11" s="988"/>
      <c r="AK11" s="1013"/>
      <c r="AL11" s="1038"/>
      <c r="AM11" s="857">
        <v>0</v>
      </c>
      <c r="AN11" s="364">
        <f>(M11+AM11)/K11</f>
        <v>1</v>
      </c>
      <c r="AO11" s="736">
        <f>K11-M11</f>
        <v>0</v>
      </c>
      <c r="AP11" s="1456"/>
      <c r="AQ11" s="747"/>
      <c r="AR11" s="1469"/>
    </row>
    <row r="12" spans="1:46" s="1" customFormat="1" ht="13.8" hidden="1" outlineLevel="1" thickBot="1">
      <c r="A12" s="32"/>
      <c r="B12" s="220"/>
      <c r="C12" s="277"/>
      <c r="D12" s="278">
        <f>COUNTA(D9:D11)</f>
        <v>3</v>
      </c>
      <c r="E12" s="278">
        <f>SUM(E9:E11)</f>
        <v>78</v>
      </c>
      <c r="F12" s="274"/>
      <c r="G12" s="275"/>
      <c r="H12" s="1449"/>
      <c r="I12" s="279">
        <f>SUM(I9:I11)</f>
        <v>10386762</v>
      </c>
      <c r="J12" s="426"/>
      <c r="K12" s="439">
        <f t="shared" ref="K12:AO12" si="1">SUM(K9:K11)</f>
        <v>519334.94</v>
      </c>
      <c r="L12" s="1418"/>
      <c r="M12" s="651">
        <f t="shared" si="1"/>
        <v>519334.94</v>
      </c>
      <c r="N12" s="727">
        <f>M12/K12</f>
        <v>1</v>
      </c>
      <c r="O12" s="402">
        <f t="shared" si="1"/>
        <v>59742</v>
      </c>
      <c r="P12" s="651">
        <f t="shared" si="1"/>
        <v>66290</v>
      </c>
      <c r="Q12" s="685">
        <f t="shared" si="1"/>
        <v>496228</v>
      </c>
      <c r="R12" s="712">
        <f>Q12/K12</f>
        <v>0.95550667166742143</v>
      </c>
      <c r="S12" s="651">
        <f t="shared" si="1"/>
        <v>23105.94</v>
      </c>
      <c r="T12" s="685">
        <f t="shared" si="1"/>
        <v>519334.94</v>
      </c>
      <c r="U12" s="666">
        <f>T12/K12</f>
        <v>1</v>
      </c>
      <c r="V12" s="651">
        <f t="shared" si="1"/>
        <v>0</v>
      </c>
      <c r="W12" s="685">
        <f t="shared" si="1"/>
        <v>519334.94</v>
      </c>
      <c r="X12" s="666">
        <f>W12/K12</f>
        <v>1</v>
      </c>
      <c r="Y12" s="561">
        <f t="shared" si="1"/>
        <v>0</v>
      </c>
      <c r="Z12" s="580">
        <f t="shared" si="1"/>
        <v>519334.94</v>
      </c>
      <c r="AA12" s="602">
        <f>Z12/K12</f>
        <v>1</v>
      </c>
      <c r="AB12" s="601"/>
      <c r="AC12" s="580">
        <f>SUM(AC9:AC11)</f>
        <v>519334.94</v>
      </c>
      <c r="AD12" s="602">
        <f>AC12/K12</f>
        <v>1</v>
      </c>
      <c r="AE12" s="561">
        <f>SUM(AE9:AE11)</f>
        <v>0</v>
      </c>
      <c r="AF12" s="580">
        <f>SUM(AF9:AF11)</f>
        <v>519334.94</v>
      </c>
      <c r="AG12" s="727">
        <f>AE12/K12</f>
        <v>0</v>
      </c>
      <c r="AH12" s="561"/>
      <c r="AI12" s="580"/>
      <c r="AJ12" s="989"/>
      <c r="AK12" s="1014"/>
      <c r="AL12" s="1039"/>
      <c r="AM12" s="685">
        <f t="shared" si="1"/>
        <v>0</v>
      </c>
      <c r="AN12" s="727">
        <f>(M12+AM12)/K12</f>
        <v>1</v>
      </c>
      <c r="AO12" s="377">
        <f t="shared" si="1"/>
        <v>0</v>
      </c>
      <c r="AP12" s="1456"/>
      <c r="AQ12" s="750"/>
      <c r="AR12" s="1469"/>
    </row>
    <row r="13" spans="1:46" s="28" customFormat="1" ht="26.55" hidden="1" customHeight="1" outlineLevel="1">
      <c r="A13" s="1383">
        <v>2011</v>
      </c>
      <c r="B13" s="179" t="s">
        <v>110</v>
      </c>
      <c r="C13" s="225" t="s">
        <v>30</v>
      </c>
      <c r="D13" s="226">
        <v>2011</v>
      </c>
      <c r="E13" s="226">
        <v>20</v>
      </c>
      <c r="F13" s="227" t="s">
        <v>31</v>
      </c>
      <c r="G13" s="228" t="s">
        <v>131</v>
      </c>
      <c r="H13" s="228"/>
      <c r="I13" s="229">
        <v>3506440</v>
      </c>
      <c r="J13" s="427">
        <f>I13/E13</f>
        <v>175322</v>
      </c>
      <c r="K13" s="451">
        <f>140257.6/1.021</f>
        <v>137372.77179236044</v>
      </c>
      <c r="L13" s="1419"/>
      <c r="M13" s="652">
        <v>137372.76999999999</v>
      </c>
      <c r="N13" s="366">
        <f>M13/K13</f>
        <v>0.99999998695257852</v>
      </c>
      <c r="O13" s="403">
        <v>37091</v>
      </c>
      <c r="P13" s="652">
        <f>13737.33+2747+5495+1374+8242+8242</f>
        <v>39837.33</v>
      </c>
      <c r="Q13" s="229">
        <v>137372.77179236044</v>
      </c>
      <c r="R13" s="713">
        <f>Q13/K13</f>
        <v>1</v>
      </c>
      <c r="S13" s="652">
        <v>0</v>
      </c>
      <c r="T13" s="229">
        <v>137372.76999999999</v>
      </c>
      <c r="U13" s="667">
        <f>T13/K13</f>
        <v>0.99999998695257852</v>
      </c>
      <c r="V13" s="652"/>
      <c r="W13" s="229">
        <v>137372.76999999999</v>
      </c>
      <c r="X13" s="667">
        <f>W13/K13</f>
        <v>0.99999998695257852</v>
      </c>
      <c r="Y13" s="562"/>
      <c r="Z13" s="287">
        <v>137372.76999999999</v>
      </c>
      <c r="AA13" s="604">
        <f>Z13/K13</f>
        <v>0.99999998695257852</v>
      </c>
      <c r="AB13" s="603"/>
      <c r="AC13" s="287">
        <v>137372.76999999999</v>
      </c>
      <c r="AD13" s="604">
        <f>AC13/K13</f>
        <v>0.99999998695257852</v>
      </c>
      <c r="AE13" s="562"/>
      <c r="AF13" s="287">
        <v>137372.76999999999</v>
      </c>
      <c r="AG13" s="366">
        <f>AE13/K13</f>
        <v>0</v>
      </c>
      <c r="AH13" s="562"/>
      <c r="AI13" s="287"/>
      <c r="AJ13" s="990"/>
      <c r="AK13" s="1015"/>
      <c r="AL13" s="1040"/>
      <c r="AM13" s="858">
        <v>0</v>
      </c>
      <c r="AN13" s="367">
        <f>(M13+AM13)/K13</f>
        <v>0.99999998695257852</v>
      </c>
      <c r="AO13" s="230">
        <f>K13-M13</f>
        <v>1.7923604464158416E-3</v>
      </c>
      <c r="AP13" s="1456"/>
      <c r="AQ13" s="747"/>
      <c r="AR13" s="1469"/>
    </row>
    <row r="14" spans="1:46" s="28" customFormat="1" ht="13.2" hidden="1" outlineLevel="1">
      <c r="A14" s="1384"/>
      <c r="B14" s="231" t="s">
        <v>32</v>
      </c>
      <c r="C14" s="225" t="s">
        <v>33</v>
      </c>
      <c r="D14" s="232">
        <v>2011</v>
      </c>
      <c r="E14" s="232">
        <v>14</v>
      </c>
      <c r="F14" s="227" t="s">
        <v>104</v>
      </c>
      <c r="G14" s="227" t="s">
        <v>131</v>
      </c>
      <c r="H14" s="227"/>
      <c r="I14" s="225">
        <v>2201051</v>
      </c>
      <c r="J14" s="427">
        <f>I14/E14</f>
        <v>157217.92857142858</v>
      </c>
      <c r="K14" s="452">
        <v>110053</v>
      </c>
      <c r="L14" s="1420"/>
      <c r="M14" s="693">
        <v>110053</v>
      </c>
      <c r="N14" s="367">
        <f>M14/K14</f>
        <v>1</v>
      </c>
      <c r="O14" s="404">
        <v>20106</v>
      </c>
      <c r="P14" s="693">
        <v>21648</v>
      </c>
      <c r="Q14" s="233">
        <v>102824</v>
      </c>
      <c r="R14" s="714">
        <f>Q14/K14</f>
        <v>0.93431346714764707</v>
      </c>
      <c r="S14" s="693">
        <v>7228</v>
      </c>
      <c r="T14" s="233">
        <v>110053</v>
      </c>
      <c r="U14" s="668">
        <f>T14/K14</f>
        <v>1</v>
      </c>
      <c r="V14" s="652"/>
      <c r="W14" s="229">
        <v>110053</v>
      </c>
      <c r="X14" s="668">
        <f>W14/K14</f>
        <v>1</v>
      </c>
      <c r="Y14" s="563"/>
      <c r="Z14" s="288">
        <v>110053</v>
      </c>
      <c r="AA14" s="606">
        <f>Z14/K14</f>
        <v>1</v>
      </c>
      <c r="AB14" s="605"/>
      <c r="AC14" s="288">
        <v>110053</v>
      </c>
      <c r="AD14" s="606">
        <f>AC14/K14</f>
        <v>1</v>
      </c>
      <c r="AE14" s="563"/>
      <c r="AF14" s="288">
        <v>110053</v>
      </c>
      <c r="AG14" s="367">
        <f>AE14/K14</f>
        <v>0</v>
      </c>
      <c r="AH14" s="563"/>
      <c r="AI14" s="288"/>
      <c r="AJ14" s="991"/>
      <c r="AK14" s="1016"/>
      <c r="AL14" s="1041"/>
      <c r="AM14" s="858">
        <v>0</v>
      </c>
      <c r="AN14" s="367">
        <f>(M14+AM14)/K14</f>
        <v>1</v>
      </c>
      <c r="AO14" s="234">
        <f>K14-M14</f>
        <v>0</v>
      </c>
      <c r="AP14" s="1457"/>
      <c r="AQ14" s="747"/>
      <c r="AR14" s="1469"/>
    </row>
    <row r="15" spans="1:46" s="28" customFormat="1" ht="13.2" hidden="1" outlineLevel="1">
      <c r="A15" s="1384"/>
      <c r="B15" s="235" t="s">
        <v>111</v>
      </c>
      <c r="C15" s="236" t="s">
        <v>34</v>
      </c>
      <c r="D15" s="237">
        <v>2011</v>
      </c>
      <c r="E15" s="237">
        <f>23</f>
        <v>23</v>
      </c>
      <c r="F15" s="238" t="s">
        <v>15</v>
      </c>
      <c r="G15" s="238" t="s">
        <v>131</v>
      </c>
      <c r="H15" s="238"/>
      <c r="I15" s="236">
        <f>150000*23</f>
        <v>3450000</v>
      </c>
      <c r="J15" s="427">
        <f>I15/E15</f>
        <v>150000</v>
      </c>
      <c r="K15" s="453">
        <v>156957</v>
      </c>
      <c r="L15" s="1421"/>
      <c r="M15" s="694">
        <v>156957</v>
      </c>
      <c r="N15" s="368">
        <f>M15/K15</f>
        <v>1</v>
      </c>
      <c r="O15" s="405">
        <v>58074</v>
      </c>
      <c r="P15" s="694">
        <f>10987+9417</f>
        <v>20404</v>
      </c>
      <c r="Q15" s="236">
        <v>156957</v>
      </c>
      <c r="R15" s="715">
        <f>Q15/K15</f>
        <v>1</v>
      </c>
      <c r="S15" s="694">
        <v>9417</v>
      </c>
      <c r="T15" s="236">
        <v>156957</v>
      </c>
      <c r="U15" s="669">
        <f>T15/K15</f>
        <v>1</v>
      </c>
      <c r="V15" s="652"/>
      <c r="W15" s="286">
        <v>156957</v>
      </c>
      <c r="X15" s="669">
        <f>W15/K15</f>
        <v>1</v>
      </c>
      <c r="Y15" s="564"/>
      <c r="Z15" s="289">
        <v>156957</v>
      </c>
      <c r="AA15" s="608">
        <f>Z15/K15</f>
        <v>1</v>
      </c>
      <c r="AB15" s="607"/>
      <c r="AC15" s="289">
        <v>156957</v>
      </c>
      <c r="AD15" s="608">
        <f>AC15/K15</f>
        <v>1</v>
      </c>
      <c r="AE15" s="564"/>
      <c r="AF15" s="289">
        <v>156957</v>
      </c>
      <c r="AG15" s="368">
        <f>AE15/K15</f>
        <v>0</v>
      </c>
      <c r="AH15" s="564"/>
      <c r="AI15" s="289"/>
      <c r="AJ15" s="992"/>
      <c r="AK15" s="1017"/>
      <c r="AL15" s="1042"/>
      <c r="AM15" s="858">
        <v>0</v>
      </c>
      <c r="AN15" s="367">
        <f>(M15+AM15)/K15</f>
        <v>1</v>
      </c>
      <c r="AO15" s="234">
        <f>K15-M15</f>
        <v>0</v>
      </c>
      <c r="AP15" s="1457"/>
      <c r="AQ15" s="747"/>
      <c r="AR15" s="1469"/>
    </row>
    <row r="16" spans="1:46" s="28" customFormat="1" ht="13.2" hidden="1" outlineLevel="1">
      <c r="A16" s="1384"/>
      <c r="B16" s="231" t="s">
        <v>35</v>
      </c>
      <c r="C16" s="225" t="s">
        <v>36</v>
      </c>
      <c r="D16" s="232">
        <v>2011</v>
      </c>
      <c r="E16" s="232">
        <v>20</v>
      </c>
      <c r="F16" s="227" t="s">
        <v>20</v>
      </c>
      <c r="G16" s="227" t="s">
        <v>131</v>
      </c>
      <c r="H16" s="227"/>
      <c r="I16" s="225">
        <v>3330841</v>
      </c>
      <c r="J16" s="427">
        <f>I16/E16</f>
        <v>166542.04999999999</v>
      </c>
      <c r="K16" s="452">
        <v>166542</v>
      </c>
      <c r="L16" s="1420"/>
      <c r="M16" s="693">
        <v>166542</v>
      </c>
      <c r="N16" s="367">
        <f>M16/K16</f>
        <v>1</v>
      </c>
      <c r="O16" s="404">
        <v>42324</v>
      </c>
      <c r="P16" s="693">
        <f>8326+8326</f>
        <v>16652</v>
      </c>
      <c r="Q16" s="233">
        <v>158190</v>
      </c>
      <c r="R16" s="714">
        <f>Q16/K16</f>
        <v>0.9498504881651475</v>
      </c>
      <c r="S16" s="693">
        <f>8326+8352</f>
        <v>16678</v>
      </c>
      <c r="T16" s="233">
        <v>166542</v>
      </c>
      <c r="U16" s="668">
        <f>T16/K16</f>
        <v>1</v>
      </c>
      <c r="V16" s="652"/>
      <c r="W16" s="229">
        <v>166542</v>
      </c>
      <c r="X16" s="668">
        <f>W16/K16</f>
        <v>1</v>
      </c>
      <c r="Y16" s="563"/>
      <c r="Z16" s="288">
        <v>166542</v>
      </c>
      <c r="AA16" s="606">
        <f>Z16/K16</f>
        <v>1</v>
      </c>
      <c r="AB16" s="605"/>
      <c r="AC16" s="288">
        <v>166542</v>
      </c>
      <c r="AD16" s="606">
        <f>AC16/K16</f>
        <v>1</v>
      </c>
      <c r="AE16" s="563"/>
      <c r="AF16" s="288">
        <v>166542</v>
      </c>
      <c r="AG16" s="367">
        <f>AE16/K16</f>
        <v>0</v>
      </c>
      <c r="AH16" s="563"/>
      <c r="AI16" s="288"/>
      <c r="AJ16" s="991"/>
      <c r="AK16" s="1016"/>
      <c r="AL16" s="1041"/>
      <c r="AM16" s="858">
        <v>0</v>
      </c>
      <c r="AN16" s="367">
        <f>(M16+AM16)/K16</f>
        <v>1</v>
      </c>
      <c r="AO16" s="234">
        <f>K16-M16</f>
        <v>0</v>
      </c>
      <c r="AP16" s="1457"/>
      <c r="AQ16" s="747"/>
      <c r="AR16" s="1469"/>
    </row>
    <row r="17" spans="1:45" s="28" customFormat="1" ht="31.5" hidden="1" customHeight="1" outlineLevel="1" thickBot="1">
      <c r="A17" s="1385"/>
      <c r="B17" s="239" t="s">
        <v>112</v>
      </c>
      <c r="C17" s="225" t="s">
        <v>37</v>
      </c>
      <c r="D17" s="237">
        <v>2011</v>
      </c>
      <c r="E17" s="237">
        <v>57</v>
      </c>
      <c r="F17" s="227" t="s">
        <v>20</v>
      </c>
      <c r="G17" s="238" t="s">
        <v>131</v>
      </c>
      <c r="H17" s="238"/>
      <c r="I17" s="236">
        <v>9832760</v>
      </c>
      <c r="J17" s="427">
        <f>I17/E17</f>
        <v>172504.56140350876</v>
      </c>
      <c r="K17" s="453">
        <v>200000</v>
      </c>
      <c r="L17" s="1421"/>
      <c r="M17" s="694">
        <v>200000</v>
      </c>
      <c r="N17" s="368">
        <f>M17/K17</f>
        <v>1</v>
      </c>
      <c r="O17" s="405">
        <v>44000</v>
      </c>
      <c r="P17" s="694">
        <v>34000</v>
      </c>
      <c r="Q17" s="236">
        <v>178000</v>
      </c>
      <c r="R17" s="715">
        <f>Q17/K17</f>
        <v>0.89</v>
      </c>
      <c r="S17" s="694">
        <v>22000</v>
      </c>
      <c r="T17" s="236">
        <v>200000</v>
      </c>
      <c r="U17" s="669">
        <f>T17/K17</f>
        <v>1</v>
      </c>
      <c r="V17" s="652"/>
      <c r="W17" s="286">
        <v>200000</v>
      </c>
      <c r="X17" s="669">
        <f>W17/K17</f>
        <v>1</v>
      </c>
      <c r="Y17" s="564"/>
      <c r="Z17" s="289">
        <v>200000</v>
      </c>
      <c r="AA17" s="608">
        <f>Z17/K17</f>
        <v>1</v>
      </c>
      <c r="AB17" s="607"/>
      <c r="AC17" s="289">
        <v>200000</v>
      </c>
      <c r="AD17" s="608">
        <f>AC17/K17</f>
        <v>1</v>
      </c>
      <c r="AE17" s="564"/>
      <c r="AF17" s="289">
        <v>200000</v>
      </c>
      <c r="AG17" s="368">
        <f>AE17/K17</f>
        <v>0</v>
      </c>
      <c r="AH17" s="564"/>
      <c r="AI17" s="289"/>
      <c r="AJ17" s="992"/>
      <c r="AK17" s="1017"/>
      <c r="AL17" s="1042"/>
      <c r="AM17" s="858">
        <f>22000-S17</f>
        <v>0</v>
      </c>
      <c r="AN17" s="367">
        <f>(M17+AM17)/K17</f>
        <v>1</v>
      </c>
      <c r="AO17" s="234">
        <f>K17-M17</f>
        <v>0</v>
      </c>
      <c r="AP17" s="1457"/>
      <c r="AQ17" s="747"/>
      <c r="AR17" s="1469"/>
    </row>
    <row r="18" spans="1:45" s="1" customFormat="1" ht="21.75" hidden="1" customHeight="1" outlineLevel="1" thickBot="1">
      <c r="A18" s="51"/>
      <c r="B18" s="239"/>
      <c r="C18" s="280"/>
      <c r="D18" s="281">
        <f>COUNTA(D13:D17)</f>
        <v>5</v>
      </c>
      <c r="E18" s="281">
        <f>SUM(E13:E17)</f>
        <v>134</v>
      </c>
      <c r="F18" s="274"/>
      <c r="G18" s="275"/>
      <c r="H18" s="1449"/>
      <c r="I18" s="282">
        <f>SUM(I13:I17)</f>
        <v>22321092</v>
      </c>
      <c r="J18" s="280"/>
      <c r="K18" s="440">
        <f t="shared" ref="K18:AO18" si="2">SUM(K13:K17)</f>
        <v>770924.77179236047</v>
      </c>
      <c r="L18" s="1422"/>
      <c r="M18" s="653">
        <f t="shared" si="2"/>
        <v>770924.77</v>
      </c>
      <c r="N18" s="728">
        <f>M18/K18</f>
        <v>0.99999999767505143</v>
      </c>
      <c r="O18" s="406">
        <f t="shared" si="2"/>
        <v>201595</v>
      </c>
      <c r="P18" s="653">
        <f t="shared" si="2"/>
        <v>132541.33000000002</v>
      </c>
      <c r="Q18" s="686">
        <f t="shared" si="2"/>
        <v>733343.77179236047</v>
      </c>
      <c r="R18" s="716">
        <f>Q18/K18</f>
        <v>0.95125205289145642</v>
      </c>
      <c r="S18" s="653">
        <f t="shared" si="2"/>
        <v>55323</v>
      </c>
      <c r="T18" s="686">
        <f t="shared" si="2"/>
        <v>770924.77</v>
      </c>
      <c r="U18" s="670">
        <f>T18/K18</f>
        <v>0.99999999767505143</v>
      </c>
      <c r="V18" s="653">
        <f t="shared" si="2"/>
        <v>0</v>
      </c>
      <c r="W18" s="686">
        <f t="shared" si="2"/>
        <v>770924.77</v>
      </c>
      <c r="X18" s="670">
        <f>W18/K18</f>
        <v>0.99999999767505143</v>
      </c>
      <c r="Y18" s="565">
        <f t="shared" si="2"/>
        <v>0</v>
      </c>
      <c r="Z18" s="581">
        <f t="shared" si="2"/>
        <v>770924.77</v>
      </c>
      <c r="AA18" s="610">
        <f>Z18/K18</f>
        <v>0.99999999767505143</v>
      </c>
      <c r="AB18" s="609"/>
      <c r="AC18" s="581">
        <f>SUM(AC13:AC17)</f>
        <v>770924.77</v>
      </c>
      <c r="AD18" s="610">
        <f>AC18/K18</f>
        <v>0.99999999767505143</v>
      </c>
      <c r="AE18" s="565">
        <f>SUM(AE13:AE17)</f>
        <v>0</v>
      </c>
      <c r="AF18" s="581">
        <f>SUM(AF13:AF17)</f>
        <v>770924.77</v>
      </c>
      <c r="AG18" s="728">
        <f>AE18/K18</f>
        <v>0</v>
      </c>
      <c r="AH18" s="565"/>
      <c r="AI18" s="581"/>
      <c r="AJ18" s="993"/>
      <c r="AK18" s="1018"/>
      <c r="AL18" s="1043"/>
      <c r="AM18" s="686">
        <f t="shared" si="2"/>
        <v>0</v>
      </c>
      <c r="AN18" s="728">
        <f>(M18+AM18)/K18</f>
        <v>0.99999999767505143</v>
      </c>
      <c r="AO18" s="378">
        <f t="shared" si="2"/>
        <v>1.7923604464158416E-3</v>
      </c>
      <c r="AP18" s="1458"/>
      <c r="AQ18" s="750"/>
      <c r="AR18" s="1470"/>
    </row>
    <row r="19" spans="1:45" s="28" customFormat="1" ht="12.75" hidden="1" customHeight="1" outlineLevel="1">
      <c r="A19" s="1386">
        <v>2012</v>
      </c>
      <c r="B19" s="264" t="s">
        <v>259</v>
      </c>
      <c r="C19" s="265" t="s">
        <v>40</v>
      </c>
      <c r="D19" s="266">
        <v>2012</v>
      </c>
      <c r="E19" s="266">
        <v>14</v>
      </c>
      <c r="F19" s="267" t="s">
        <v>12</v>
      </c>
      <c r="G19" s="267" t="s">
        <v>131</v>
      </c>
      <c r="H19" s="267"/>
      <c r="I19" s="265">
        <v>2454841</v>
      </c>
      <c r="J19" s="283">
        <f>I19/E19</f>
        <v>175345.78571428571</v>
      </c>
      <c r="K19" s="454">
        <v>122742</v>
      </c>
      <c r="L19" s="1423"/>
      <c r="M19" s="390">
        <v>122742</v>
      </c>
      <c r="N19" s="369">
        <f>M19/K19</f>
        <v>1</v>
      </c>
      <c r="O19" s="407">
        <v>34421</v>
      </c>
      <c r="P19" s="390">
        <v>33259</v>
      </c>
      <c r="Q19" s="265">
        <v>91353</v>
      </c>
      <c r="R19" s="717">
        <f>Q19/K19</f>
        <v>0.7442684655619104</v>
      </c>
      <c r="S19" s="654">
        <v>25176</v>
      </c>
      <c r="T19" s="265">
        <v>116529</v>
      </c>
      <c r="U19" s="671">
        <f>T19/K19</f>
        <v>0.9493816297599843</v>
      </c>
      <c r="V19" s="654">
        <v>6213</v>
      </c>
      <c r="W19" s="265">
        <v>122742</v>
      </c>
      <c r="X19" s="671">
        <f>W19/K19</f>
        <v>1</v>
      </c>
      <c r="Y19" s="360"/>
      <c r="Z19" s="290">
        <v>122742</v>
      </c>
      <c r="AA19" s="612">
        <f>Z19/K19</f>
        <v>1</v>
      </c>
      <c r="AB19" s="611"/>
      <c r="AC19" s="290">
        <v>122742</v>
      </c>
      <c r="AD19" s="612">
        <f>AC19/K19</f>
        <v>1</v>
      </c>
      <c r="AE19" s="360"/>
      <c r="AF19" s="290">
        <v>122742</v>
      </c>
      <c r="AG19" s="369">
        <f>AE19/K19</f>
        <v>0</v>
      </c>
      <c r="AH19" s="360"/>
      <c r="AI19" s="290"/>
      <c r="AJ19" s="994"/>
      <c r="AK19" s="1019"/>
      <c r="AL19" s="1044"/>
      <c r="AM19" s="859">
        <v>0</v>
      </c>
      <c r="AN19" s="369">
        <f>(M19+AM19)/K19</f>
        <v>1</v>
      </c>
      <c r="AO19" s="268">
        <f>K19-M19</f>
        <v>0</v>
      </c>
      <c r="AP19" s="1457"/>
      <c r="AQ19" s="747"/>
      <c r="AR19" s="1471"/>
    </row>
    <row r="20" spans="1:45" s="9" customFormat="1" ht="13.2" hidden="1" outlineLevel="1">
      <c r="A20" s="1387"/>
      <c r="B20" s="269" t="s">
        <v>41</v>
      </c>
      <c r="C20" s="265" t="s">
        <v>42</v>
      </c>
      <c r="D20" s="266">
        <v>2012</v>
      </c>
      <c r="E20" s="266">
        <v>7</v>
      </c>
      <c r="F20" s="267" t="s">
        <v>104</v>
      </c>
      <c r="G20" s="267" t="s">
        <v>131</v>
      </c>
      <c r="H20" s="267"/>
      <c r="I20" s="265">
        <v>1094988</v>
      </c>
      <c r="J20" s="283">
        <f>I20/E20</f>
        <v>156426.85714285713</v>
      </c>
      <c r="K20" s="454">
        <v>54749</v>
      </c>
      <c r="L20" s="1423"/>
      <c r="M20" s="703">
        <v>54749</v>
      </c>
      <c r="N20" s="369">
        <f>M20/K20</f>
        <v>1</v>
      </c>
      <c r="O20" s="408">
        <v>28594</v>
      </c>
      <c r="P20" s="703">
        <v>10296</v>
      </c>
      <c r="Q20" s="270">
        <v>38890</v>
      </c>
      <c r="R20" s="717">
        <f>Q20/K20</f>
        <v>0.71033260881477289</v>
      </c>
      <c r="S20" s="695">
        <v>12798</v>
      </c>
      <c r="T20" s="270">
        <v>51688</v>
      </c>
      <c r="U20" s="671">
        <f>T20/K20</f>
        <v>0.94409030301923325</v>
      </c>
      <c r="V20" s="390">
        <v>3061</v>
      </c>
      <c r="W20" s="265">
        <v>54749</v>
      </c>
      <c r="X20" s="671">
        <f>W20/K20</f>
        <v>1</v>
      </c>
      <c r="Y20" s="360"/>
      <c r="Z20" s="290">
        <v>54749</v>
      </c>
      <c r="AA20" s="612">
        <f>Z20/K20</f>
        <v>1</v>
      </c>
      <c r="AB20" s="611"/>
      <c r="AC20" s="290">
        <v>54749</v>
      </c>
      <c r="AD20" s="612">
        <f>AC20/K20</f>
        <v>1</v>
      </c>
      <c r="AE20" s="360"/>
      <c r="AF20" s="290">
        <v>54749</v>
      </c>
      <c r="AG20" s="369">
        <f>AE20/K20</f>
        <v>0</v>
      </c>
      <c r="AH20" s="360"/>
      <c r="AI20" s="290"/>
      <c r="AJ20" s="994"/>
      <c r="AK20" s="1019"/>
      <c r="AL20" s="1044"/>
      <c r="AM20" s="859">
        <v>0</v>
      </c>
      <c r="AN20" s="369">
        <f>(M20+AM20)/K20</f>
        <v>1</v>
      </c>
      <c r="AO20" s="268">
        <f>K20-M20</f>
        <v>0</v>
      </c>
      <c r="AP20" s="1457"/>
      <c r="AQ20" s="747"/>
      <c r="AR20" s="1471"/>
    </row>
    <row r="21" spans="1:45" s="28" customFormat="1" ht="13.2" hidden="1" outlineLevel="1">
      <c r="A21" s="1387"/>
      <c r="B21" s="264" t="s">
        <v>100</v>
      </c>
      <c r="C21" s="265" t="s">
        <v>43</v>
      </c>
      <c r="D21" s="266">
        <v>2012</v>
      </c>
      <c r="E21" s="266">
        <v>42</v>
      </c>
      <c r="F21" s="267" t="s">
        <v>31</v>
      </c>
      <c r="G21" s="267" t="s">
        <v>131</v>
      </c>
      <c r="H21" s="267"/>
      <c r="I21" s="265">
        <v>6726607</v>
      </c>
      <c r="J21" s="283">
        <f>I21/E21</f>
        <v>160157.30952380953</v>
      </c>
      <c r="K21" s="454">
        <v>336330</v>
      </c>
      <c r="L21" s="1423"/>
      <c r="M21" s="390">
        <v>336330</v>
      </c>
      <c r="N21" s="369">
        <f>M21/K21</f>
        <v>1</v>
      </c>
      <c r="O21" s="407">
        <v>67266</v>
      </c>
      <c r="P21" s="390">
        <v>67266</v>
      </c>
      <c r="Q21" s="265">
        <v>252248</v>
      </c>
      <c r="R21" s="717">
        <f>Q21/K21</f>
        <v>0.75000148663514998</v>
      </c>
      <c r="S21" s="654">
        <v>60540</v>
      </c>
      <c r="T21" s="265">
        <v>312787</v>
      </c>
      <c r="U21" s="671">
        <f>T21/K21</f>
        <v>0.93000029732703005</v>
      </c>
      <c r="V21" s="654">
        <v>6726</v>
      </c>
      <c r="W21" s="265">
        <v>319513</v>
      </c>
      <c r="X21" s="671">
        <f>W21/K21</f>
        <v>0.94999851336484997</v>
      </c>
      <c r="Y21" s="508">
        <v>16817</v>
      </c>
      <c r="Z21" s="290">
        <v>336330</v>
      </c>
      <c r="AA21" s="612">
        <f>Z21/K21</f>
        <v>1</v>
      </c>
      <c r="AB21" s="611"/>
      <c r="AC21" s="290">
        <v>336330</v>
      </c>
      <c r="AD21" s="612">
        <f>AC21/K21</f>
        <v>1</v>
      </c>
      <c r="AE21" s="360"/>
      <c r="AF21" s="290">
        <v>336330</v>
      </c>
      <c r="AG21" s="369">
        <f>AE21/K21</f>
        <v>0</v>
      </c>
      <c r="AH21" s="360"/>
      <c r="AI21" s="290"/>
      <c r="AJ21" s="994"/>
      <c r="AK21" s="1019"/>
      <c r="AL21" s="1044"/>
      <c r="AM21" s="859">
        <v>0</v>
      </c>
      <c r="AN21" s="369">
        <f>(M21+AM21)/K21</f>
        <v>1</v>
      </c>
      <c r="AO21" s="268">
        <f>K21-M21</f>
        <v>0</v>
      </c>
      <c r="AP21" s="1457"/>
      <c r="AQ21" s="747"/>
      <c r="AR21" s="1471"/>
    </row>
    <row r="22" spans="1:45" s="28" customFormat="1" ht="13.2" hidden="1" outlineLevel="1">
      <c r="A22" s="1387"/>
      <c r="B22" s="264" t="s">
        <v>102</v>
      </c>
      <c r="C22" s="265" t="s">
        <v>14</v>
      </c>
      <c r="D22" s="266">
        <v>2012</v>
      </c>
      <c r="E22" s="266"/>
      <c r="F22" s="267" t="s">
        <v>31</v>
      </c>
      <c r="G22" s="267" t="s">
        <v>131</v>
      </c>
      <c r="H22" s="267"/>
      <c r="I22" s="265">
        <v>3513754</v>
      </c>
      <c r="J22" s="428" t="e">
        <f>I22/E22</f>
        <v>#DIV/0!</v>
      </c>
      <c r="K22" s="454">
        <v>497939</v>
      </c>
      <c r="L22" s="1423"/>
      <c r="M22" s="390">
        <v>512877</v>
      </c>
      <c r="N22" s="369">
        <f>M22/K22</f>
        <v>1.0299996585927191</v>
      </c>
      <c r="O22" s="407">
        <v>26353</v>
      </c>
      <c r="P22" s="390">
        <f>17569+8784</f>
        <v>26353</v>
      </c>
      <c r="Q22" s="265">
        <v>122981</v>
      </c>
      <c r="R22" s="717">
        <f>Q22/K22</f>
        <v>0.24698005177341001</v>
      </c>
      <c r="S22" s="390">
        <v>139050</v>
      </c>
      <c r="T22" s="265">
        <v>253248</v>
      </c>
      <c r="U22" s="671">
        <f>T22/K22</f>
        <v>0.50859241794677656</v>
      </c>
      <c r="V22" s="654">
        <f>23835+210897</f>
        <v>234732</v>
      </c>
      <c r="W22" s="265">
        <v>487980</v>
      </c>
      <c r="X22" s="671">
        <f>W22/K22</f>
        <v>0.97999955817881301</v>
      </c>
      <c r="Y22" s="508">
        <v>24897</v>
      </c>
      <c r="Z22" s="290">
        <v>512877</v>
      </c>
      <c r="AA22" s="612">
        <f>Z22/K22</f>
        <v>1.0299996585927191</v>
      </c>
      <c r="AB22" s="611"/>
      <c r="AC22" s="290">
        <v>512877</v>
      </c>
      <c r="AD22" s="612">
        <f>AC22/K22</f>
        <v>1.0299996585927191</v>
      </c>
      <c r="AE22" s="360"/>
      <c r="AF22" s="290">
        <v>512877</v>
      </c>
      <c r="AG22" s="369">
        <f>AE22/K22</f>
        <v>0</v>
      </c>
      <c r="AH22" s="360"/>
      <c r="AI22" s="290"/>
      <c r="AJ22" s="994"/>
      <c r="AK22" s="1019"/>
      <c r="AL22" s="1044"/>
      <c r="AM22" s="859">
        <v>0</v>
      </c>
      <c r="AN22" s="369">
        <f>(M22+AM22)/K22</f>
        <v>1.0299996585927191</v>
      </c>
      <c r="AO22" s="268">
        <v>0</v>
      </c>
      <c r="AP22" s="1457"/>
      <c r="AQ22" s="747"/>
      <c r="AR22" s="1471"/>
    </row>
    <row r="23" spans="1:45" s="28" customFormat="1" ht="13.2" hidden="1" outlineLevel="1">
      <c r="A23" s="1387"/>
      <c r="B23" s="264" t="s">
        <v>260</v>
      </c>
      <c r="C23" s="265" t="s">
        <v>44</v>
      </c>
      <c r="D23" s="266">
        <v>2012</v>
      </c>
      <c r="E23" s="266">
        <v>40</v>
      </c>
      <c r="F23" s="267" t="s">
        <v>12</v>
      </c>
      <c r="G23" s="267" t="s">
        <v>131</v>
      </c>
      <c r="H23" s="267"/>
      <c r="I23" s="265">
        <v>4969330</v>
      </c>
      <c r="J23" s="283">
        <f>I23/E23</f>
        <v>124233.25</v>
      </c>
      <c r="K23" s="454">
        <v>248466</v>
      </c>
      <c r="L23" s="1423"/>
      <c r="M23" s="390">
        <v>248466</v>
      </c>
      <c r="N23" s="369">
        <f>M23/K23</f>
        <v>1</v>
      </c>
      <c r="O23" s="407">
        <v>21122</v>
      </c>
      <c r="P23" s="390">
        <f>24202+12101</f>
        <v>36303</v>
      </c>
      <c r="Q23" s="265">
        <v>169412</v>
      </c>
      <c r="R23" s="717">
        <f>Q23/K23</f>
        <v>0.68183171943042509</v>
      </c>
      <c r="S23" s="390">
        <v>50193</v>
      </c>
      <c r="T23" s="265">
        <v>219605</v>
      </c>
      <c r="U23" s="671">
        <f>T23/K23</f>
        <v>0.88384326225721022</v>
      </c>
      <c r="V23" s="654">
        <f>9636+7462</f>
        <v>17098</v>
      </c>
      <c r="W23" s="265">
        <v>236703</v>
      </c>
      <c r="X23" s="671">
        <f>W23/K23</f>
        <v>0.95265750645963632</v>
      </c>
      <c r="Y23" s="508">
        <v>11763</v>
      </c>
      <c r="Z23" s="290">
        <v>248466</v>
      </c>
      <c r="AA23" s="612">
        <f>Z23/K23</f>
        <v>1</v>
      </c>
      <c r="AB23" s="611"/>
      <c r="AC23" s="290">
        <v>248466</v>
      </c>
      <c r="AD23" s="612">
        <f>AC23/K23</f>
        <v>1</v>
      </c>
      <c r="AE23" s="360"/>
      <c r="AF23" s="290">
        <v>248466</v>
      </c>
      <c r="AG23" s="369">
        <f>AE23/K23</f>
        <v>0</v>
      </c>
      <c r="AH23" s="360"/>
      <c r="AI23" s="290"/>
      <c r="AJ23" s="994"/>
      <c r="AK23" s="1019"/>
      <c r="AL23" s="1044"/>
      <c r="AM23" s="859">
        <v>0</v>
      </c>
      <c r="AN23" s="369">
        <f>(M23+AM23)/K23</f>
        <v>1</v>
      </c>
      <c r="AO23" s="268">
        <f>K23-M23</f>
        <v>0</v>
      </c>
      <c r="AP23" s="1457"/>
      <c r="AQ23" s="747"/>
      <c r="AR23" s="1471"/>
    </row>
    <row r="24" spans="1:45" s="10" customFormat="1" ht="13.2" hidden="1" outlineLevel="1">
      <c r="A24" s="1387"/>
      <c r="B24" s="264" t="s">
        <v>101</v>
      </c>
      <c r="C24" s="264" t="s">
        <v>45</v>
      </c>
      <c r="D24" s="542">
        <v>2012</v>
      </c>
      <c r="E24" s="542">
        <v>17</v>
      </c>
      <c r="F24" s="543" t="s">
        <v>214</v>
      </c>
      <c r="G24" s="267" t="s">
        <v>131</v>
      </c>
      <c r="H24" s="267"/>
      <c r="I24" s="265">
        <v>3094743</v>
      </c>
      <c r="J24" s="283">
        <f>I24/E24</f>
        <v>182043.70588235295</v>
      </c>
      <c r="K24" s="454">
        <v>154737.15</v>
      </c>
      <c r="L24" s="1423"/>
      <c r="M24" s="390">
        <v>154737.15</v>
      </c>
      <c r="N24" s="369">
        <f>M24/K24</f>
        <v>1</v>
      </c>
      <c r="O24" s="407">
        <v>12038</v>
      </c>
      <c r="P24" s="390">
        <v>12365</v>
      </c>
      <c r="Q24" s="265">
        <v>80370</v>
      </c>
      <c r="R24" s="717">
        <f>Q24/K24</f>
        <v>0.51939692568979079</v>
      </c>
      <c r="S24" s="390">
        <v>12365</v>
      </c>
      <c r="T24" s="265">
        <v>92735</v>
      </c>
      <c r="U24" s="671">
        <f>T24/K24</f>
        <v>0.59930663063136425</v>
      </c>
      <c r="V24" s="390">
        <f>6182+6182+3091</f>
        <v>15455</v>
      </c>
      <c r="W24" s="265">
        <v>108191</v>
      </c>
      <c r="X24" s="671">
        <f>W24/K24</f>
        <v>0.69919214616528746</v>
      </c>
      <c r="Y24" s="508">
        <f>36328+2947</f>
        <v>39275</v>
      </c>
      <c r="Z24" s="290">
        <v>147465</v>
      </c>
      <c r="AA24" s="612">
        <f>Z24/K24</f>
        <v>0.95300320575892739</v>
      </c>
      <c r="AB24" s="611">
        <v>7272.15</v>
      </c>
      <c r="AC24" s="582">
        <v>154737.15</v>
      </c>
      <c r="AD24" s="612">
        <f>AC24/K24</f>
        <v>1</v>
      </c>
      <c r="AE24" s="360"/>
      <c r="AF24" s="290">
        <v>154737.15</v>
      </c>
      <c r="AG24" s="369">
        <f>AE24/K24</f>
        <v>0</v>
      </c>
      <c r="AH24" s="360"/>
      <c r="AI24" s="290"/>
      <c r="AJ24" s="994"/>
      <c r="AK24" s="1019"/>
      <c r="AL24" s="1044"/>
      <c r="AM24" s="860">
        <v>0</v>
      </c>
      <c r="AN24" s="369">
        <f>(M24+AM24)/K24</f>
        <v>1</v>
      </c>
      <c r="AO24" s="268">
        <f>K24-M24</f>
        <v>0</v>
      </c>
      <c r="AP24" s="1457"/>
      <c r="AQ24" s="747"/>
      <c r="AR24" s="1471"/>
    </row>
    <row r="25" spans="1:45" s="10" customFormat="1" ht="13.2" hidden="1" outlineLevel="1">
      <c r="A25" s="1387"/>
      <c r="B25" s="264" t="s">
        <v>46</v>
      </c>
      <c r="C25" s="265" t="s">
        <v>47</v>
      </c>
      <c r="D25" s="266">
        <v>2012</v>
      </c>
      <c r="E25" s="266">
        <v>65</v>
      </c>
      <c r="F25" s="267" t="s">
        <v>213</v>
      </c>
      <c r="G25" s="267" t="s">
        <v>131</v>
      </c>
      <c r="H25" s="267"/>
      <c r="I25" s="265">
        <v>10053368</v>
      </c>
      <c r="J25" s="283">
        <f>I25/E25</f>
        <v>154667.20000000001</v>
      </c>
      <c r="K25" s="454">
        <v>502668</v>
      </c>
      <c r="L25" s="1423"/>
      <c r="M25" s="390">
        <v>502668</v>
      </c>
      <c r="N25" s="369">
        <f>M25/K25</f>
        <v>1</v>
      </c>
      <c r="O25" s="407">
        <v>35654</v>
      </c>
      <c r="P25" s="390">
        <v>48710</v>
      </c>
      <c r="Q25" s="265">
        <v>316616</v>
      </c>
      <c r="R25" s="717">
        <f>Q25/K25</f>
        <v>0.62987100829971276</v>
      </c>
      <c r="S25" s="390">
        <v>97418</v>
      </c>
      <c r="T25" s="265">
        <v>414029</v>
      </c>
      <c r="U25" s="671">
        <f>T25/K25</f>
        <v>0.82366293458107542</v>
      </c>
      <c r="V25" s="390">
        <v>0</v>
      </c>
      <c r="W25" s="265">
        <v>414029</v>
      </c>
      <c r="X25" s="671">
        <f>W25/K25</f>
        <v>0.82366293458107542</v>
      </c>
      <c r="Y25" s="508">
        <f>373+24420+21619</f>
        <v>46412</v>
      </c>
      <c r="Z25" s="290">
        <v>460446</v>
      </c>
      <c r="AA25" s="612">
        <f>Z25/K25</f>
        <v>0.91600420158036711</v>
      </c>
      <c r="AB25" s="611">
        <f>15007+27215</f>
        <v>42222</v>
      </c>
      <c r="AC25" s="582">
        <v>502668</v>
      </c>
      <c r="AD25" s="612">
        <f>AC25/K25</f>
        <v>1</v>
      </c>
      <c r="AE25" s="360"/>
      <c r="AF25" s="290">
        <v>502668</v>
      </c>
      <c r="AG25" s="369">
        <f>AE25/K25</f>
        <v>0</v>
      </c>
      <c r="AH25" s="360"/>
      <c r="AI25" s="290"/>
      <c r="AJ25" s="994"/>
      <c r="AK25" s="1019"/>
      <c r="AL25" s="1044"/>
      <c r="AM25" s="859">
        <f>25024*0</f>
        <v>0</v>
      </c>
      <c r="AN25" s="369">
        <f>(M25+AM25)/K25</f>
        <v>1</v>
      </c>
      <c r="AO25" s="268">
        <f>K25-M25</f>
        <v>0</v>
      </c>
      <c r="AP25" s="1457"/>
      <c r="AQ25" s="747"/>
      <c r="AR25" s="1472"/>
    </row>
    <row r="26" spans="1:45" s="28" customFormat="1" ht="13.2" hidden="1" outlineLevel="1">
      <c r="A26" s="1387"/>
      <c r="B26" s="264" t="s">
        <v>48</v>
      </c>
      <c r="C26" s="265" t="s">
        <v>49</v>
      </c>
      <c r="D26" s="266">
        <v>2012</v>
      </c>
      <c r="E26" s="266">
        <v>24</v>
      </c>
      <c r="F26" s="267" t="s">
        <v>104</v>
      </c>
      <c r="G26" s="267" t="s">
        <v>131</v>
      </c>
      <c r="H26" s="267"/>
      <c r="I26" s="265">
        <v>3959483</v>
      </c>
      <c r="J26" s="283">
        <f>I26/E26</f>
        <v>164978.45833333334</v>
      </c>
      <c r="K26" s="454">
        <v>197974</v>
      </c>
      <c r="L26" s="1423"/>
      <c r="M26" s="390">
        <v>197974</v>
      </c>
      <c r="N26" s="369">
        <f>M26/K26</f>
        <v>1</v>
      </c>
      <c r="O26" s="407">
        <f>94207+10525-1104</f>
        <v>103628</v>
      </c>
      <c r="P26" s="390">
        <f>19042+1104</f>
        <v>20146</v>
      </c>
      <c r="Q26" s="265">
        <v>123774</v>
      </c>
      <c r="R26" s="717">
        <f>Q26/K26</f>
        <v>0.6252033095254933</v>
      </c>
      <c r="S26" s="390">
        <v>19042</v>
      </c>
      <c r="T26" s="265">
        <v>142816</v>
      </c>
      <c r="U26" s="671">
        <f>T26/K26</f>
        <v>0.72138765696505602</v>
      </c>
      <c r="V26" s="390">
        <f>9383+9512</f>
        <v>18895</v>
      </c>
      <c r="W26" s="265">
        <v>161711</v>
      </c>
      <c r="X26" s="671">
        <f>W26/K26</f>
        <v>0.81682948265933908</v>
      </c>
      <c r="Y26" s="360">
        <f>17322+9946</f>
        <v>27268</v>
      </c>
      <c r="Z26" s="290">
        <v>188979</v>
      </c>
      <c r="AA26" s="612">
        <f>Z26/K26</f>
        <v>0.95456474082455267</v>
      </c>
      <c r="AB26" s="611">
        <v>8995</v>
      </c>
      <c r="AC26" s="582">
        <v>197974</v>
      </c>
      <c r="AD26" s="612">
        <f>AC26/K26</f>
        <v>1</v>
      </c>
      <c r="AE26" s="360"/>
      <c r="AF26" s="290">
        <v>197974</v>
      </c>
      <c r="AG26" s="369">
        <f>AE26/K26</f>
        <v>0</v>
      </c>
      <c r="AH26" s="360"/>
      <c r="AI26" s="290"/>
      <c r="AJ26" s="994"/>
      <c r="AK26" s="1019"/>
      <c r="AL26" s="1044"/>
      <c r="AM26" s="859">
        <v>0</v>
      </c>
      <c r="AN26" s="369">
        <f>(M26+AM26)/K26</f>
        <v>1</v>
      </c>
      <c r="AO26" s="268">
        <f>K26-M26</f>
        <v>0</v>
      </c>
      <c r="AP26" s="1457"/>
      <c r="AQ26" s="747"/>
      <c r="AR26" s="1471"/>
    </row>
    <row r="27" spans="1:45" s="43" customFormat="1" ht="13.2" hidden="1" outlineLevel="1">
      <c r="A27" s="1387"/>
      <c r="B27" s="264" t="s">
        <v>197</v>
      </c>
      <c r="C27" s="342" t="s">
        <v>63</v>
      </c>
      <c r="D27" s="343">
        <v>2013</v>
      </c>
      <c r="E27" s="343">
        <v>10</v>
      </c>
      <c r="F27" s="344" t="s">
        <v>104</v>
      </c>
      <c r="G27" s="267" t="s">
        <v>131</v>
      </c>
      <c r="H27" s="267"/>
      <c r="I27" s="342">
        <v>2030244</v>
      </c>
      <c r="J27" s="429">
        <f>I27/E27</f>
        <v>203024.4</v>
      </c>
      <c r="K27" s="455">
        <v>101512</v>
      </c>
      <c r="L27" s="1424"/>
      <c r="M27" s="696">
        <v>101608</v>
      </c>
      <c r="N27" s="370">
        <f>M27/K27</f>
        <v>1.0009457010008669</v>
      </c>
      <c r="O27" s="409">
        <v>41590</v>
      </c>
      <c r="P27" s="696">
        <v>7562</v>
      </c>
      <c r="Q27" s="342">
        <v>49152</v>
      </c>
      <c r="R27" s="718">
        <f>Q27/K27</f>
        <v>0.48419891244384899</v>
      </c>
      <c r="S27" s="696">
        <v>28740</v>
      </c>
      <c r="T27" s="342">
        <v>77892</v>
      </c>
      <c r="U27" s="672">
        <f>T27/K27</f>
        <v>0.76731814957837496</v>
      </c>
      <c r="V27" s="390">
        <f>7315+7222</f>
        <v>14537</v>
      </c>
      <c r="W27" s="265">
        <v>92429</v>
      </c>
      <c r="X27" s="672">
        <f>W27/K27</f>
        <v>0.91052289384506269</v>
      </c>
      <c r="Y27" s="360">
        <v>9179</v>
      </c>
      <c r="Z27" s="290">
        <v>101887</v>
      </c>
      <c r="AA27" s="614">
        <f>Z27/K27</f>
        <v>1.0036941445346363</v>
      </c>
      <c r="AB27" s="613"/>
      <c r="AC27" s="583">
        <v>101608</v>
      </c>
      <c r="AD27" s="614">
        <f>AC27/K27</f>
        <v>1.0009457010008669</v>
      </c>
      <c r="AE27" s="566"/>
      <c r="AF27" s="583">
        <v>101608</v>
      </c>
      <c r="AG27" s="370">
        <f>AE27/K27</f>
        <v>0</v>
      </c>
      <c r="AH27" s="566"/>
      <c r="AI27" s="583"/>
      <c r="AJ27" s="995"/>
      <c r="AK27" s="1020"/>
      <c r="AL27" s="1045"/>
      <c r="AM27" s="861">
        <v>0</v>
      </c>
      <c r="AN27" s="370">
        <f>(M27+AM27)/K27</f>
        <v>1.0009457010008669</v>
      </c>
      <c r="AO27" s="345">
        <f>K27-M27</f>
        <v>-96</v>
      </c>
      <c r="AP27" s="1457"/>
      <c r="AQ27" s="747"/>
      <c r="AR27" s="1471"/>
    </row>
    <row r="28" spans="1:45" s="10" customFormat="1" ht="13.2" hidden="1" outlineLevel="1">
      <c r="A28" s="1387"/>
      <c r="B28" s="264" t="s">
        <v>54</v>
      </c>
      <c r="C28" s="265" t="s">
        <v>55</v>
      </c>
      <c r="D28" s="266">
        <v>2012</v>
      </c>
      <c r="E28" s="266">
        <v>84</v>
      </c>
      <c r="F28" s="267" t="s">
        <v>20</v>
      </c>
      <c r="G28" s="267" t="s">
        <v>131</v>
      </c>
      <c r="H28" s="267"/>
      <c r="I28" s="265">
        <v>9378520</v>
      </c>
      <c r="J28" s="283">
        <f>I28/E28</f>
        <v>111649.04761904762</v>
      </c>
      <c r="K28" s="454">
        <v>645925</v>
      </c>
      <c r="L28" s="1423"/>
      <c r="M28" s="390">
        <v>645925</v>
      </c>
      <c r="N28" s="369">
        <f>M28/K28</f>
        <v>1</v>
      </c>
      <c r="O28" s="407">
        <v>209869</v>
      </c>
      <c r="P28" s="390">
        <f>46864+47415</f>
        <v>94279</v>
      </c>
      <c r="Q28" s="265">
        <v>350810</v>
      </c>
      <c r="R28" s="717">
        <f>Q28/K28</f>
        <v>0.54311259047102989</v>
      </c>
      <c r="S28" s="390">
        <v>93550</v>
      </c>
      <c r="T28" s="265">
        <v>444360</v>
      </c>
      <c r="U28" s="671">
        <f>T28/K28</f>
        <v>0.68794364670820918</v>
      </c>
      <c r="V28" s="390">
        <f>24566+163000</f>
        <v>187566</v>
      </c>
      <c r="W28" s="265">
        <f>468926+163000</f>
        <v>631926</v>
      </c>
      <c r="X28" s="671">
        <f>W28/K28</f>
        <v>0.97832720517087901</v>
      </c>
      <c r="Y28" s="360">
        <v>16999</v>
      </c>
      <c r="Z28" s="290">
        <v>645925</v>
      </c>
      <c r="AA28" s="612">
        <f>Z28/K28</f>
        <v>1</v>
      </c>
      <c r="AB28" s="611"/>
      <c r="AC28" s="290">
        <v>645925</v>
      </c>
      <c r="AD28" s="612">
        <f>AC28/K28</f>
        <v>1</v>
      </c>
      <c r="AE28" s="360"/>
      <c r="AF28" s="290">
        <v>645925</v>
      </c>
      <c r="AG28" s="369">
        <f>AE28/K28</f>
        <v>0</v>
      </c>
      <c r="AH28" s="360"/>
      <c r="AI28" s="290"/>
      <c r="AJ28" s="994"/>
      <c r="AK28" s="1019"/>
      <c r="AL28" s="1044"/>
      <c r="AM28" s="861">
        <v>0</v>
      </c>
      <c r="AN28" s="370">
        <f>(M28+AM28)/K28</f>
        <v>1</v>
      </c>
      <c r="AO28" s="268">
        <f>K28-M28</f>
        <v>0</v>
      </c>
      <c r="AP28" s="1457"/>
      <c r="AQ28" s="747"/>
      <c r="AR28" s="1471"/>
    </row>
    <row r="29" spans="1:45" s="11" customFormat="1" ht="13.2" hidden="1" outlineLevel="1">
      <c r="A29" s="1387"/>
      <c r="B29" s="264" t="s">
        <v>50</v>
      </c>
      <c r="C29" s="265" t="s">
        <v>51</v>
      </c>
      <c r="D29" s="266">
        <v>2012</v>
      </c>
      <c r="E29" s="266">
        <v>22</v>
      </c>
      <c r="F29" s="267" t="s">
        <v>212</v>
      </c>
      <c r="G29" s="267" t="s">
        <v>131</v>
      </c>
      <c r="H29" s="267"/>
      <c r="I29" s="265">
        <v>3538433</v>
      </c>
      <c r="J29" s="283">
        <f>I29/E29</f>
        <v>160837.86363636365</v>
      </c>
      <c r="K29" s="454">
        <v>176922</v>
      </c>
      <c r="L29" s="1423"/>
      <c r="M29" s="390">
        <v>176922</v>
      </c>
      <c r="N29" s="369">
        <f>M29/K29</f>
        <v>1</v>
      </c>
      <c r="O29" s="407">
        <v>75076</v>
      </c>
      <c r="P29" s="390">
        <f>16867+16867</f>
        <v>33734</v>
      </c>
      <c r="Q29" s="265">
        <v>126502</v>
      </c>
      <c r="R29" s="717">
        <f>Q29/K29</f>
        <v>0.71501565661704025</v>
      </c>
      <c r="S29" s="390">
        <v>25301</v>
      </c>
      <c r="T29" s="265">
        <v>151803</v>
      </c>
      <c r="U29" s="671">
        <f>T29/K29</f>
        <v>0.858022179265439</v>
      </c>
      <c r="V29" s="390">
        <v>5060</v>
      </c>
      <c r="W29" s="265">
        <v>156863</v>
      </c>
      <c r="X29" s="671">
        <f>W29/K29</f>
        <v>0.88662235335345518</v>
      </c>
      <c r="Y29" s="508">
        <f>3373+16686</f>
        <v>20059</v>
      </c>
      <c r="Z29" s="290">
        <v>176922</v>
      </c>
      <c r="AA29" s="612">
        <f>Z29/K29</f>
        <v>1</v>
      </c>
      <c r="AB29" s="611"/>
      <c r="AC29" s="290">
        <v>176922</v>
      </c>
      <c r="AD29" s="612">
        <f>AC29/K29</f>
        <v>1</v>
      </c>
      <c r="AE29" s="360"/>
      <c r="AF29" s="290">
        <v>176922</v>
      </c>
      <c r="AG29" s="369">
        <f>AE29/K29</f>
        <v>0</v>
      </c>
      <c r="AH29" s="360"/>
      <c r="AI29" s="290"/>
      <c r="AJ29" s="994"/>
      <c r="AK29" s="1019"/>
      <c r="AL29" s="1044"/>
      <c r="AM29" s="861">
        <v>0</v>
      </c>
      <c r="AN29" s="370">
        <f>(M29+AM29)/K29</f>
        <v>1</v>
      </c>
      <c r="AO29" s="268">
        <f>K29-M29</f>
        <v>0</v>
      </c>
      <c r="AP29" s="1457"/>
      <c r="AQ29" s="747"/>
      <c r="AR29" s="1471"/>
    </row>
    <row r="30" spans="1:45" s="10" customFormat="1" ht="13.2" hidden="1" outlineLevel="1">
      <c r="A30" s="1388"/>
      <c r="B30" s="264" t="s">
        <v>56</v>
      </c>
      <c r="C30" s="265" t="s">
        <v>57</v>
      </c>
      <c r="D30" s="346">
        <v>2012</v>
      </c>
      <c r="E30" s="346">
        <v>75</v>
      </c>
      <c r="F30" s="267" t="s">
        <v>23</v>
      </c>
      <c r="G30" s="267" t="s">
        <v>131</v>
      </c>
      <c r="H30" s="1450"/>
      <c r="I30" s="347">
        <v>18507505</v>
      </c>
      <c r="J30" s="283">
        <v>130000</v>
      </c>
      <c r="K30" s="456">
        <v>925375</v>
      </c>
      <c r="L30" s="1425"/>
      <c r="M30" s="697">
        <v>925375</v>
      </c>
      <c r="N30" s="371">
        <f>M30/K30</f>
        <v>1</v>
      </c>
      <c r="O30" s="410">
        <v>428820</v>
      </c>
      <c r="P30" s="697">
        <v>135266</v>
      </c>
      <c r="Q30" s="347">
        <v>634840</v>
      </c>
      <c r="R30" s="719">
        <f>Q30/K30</f>
        <v>0.6860353910576793</v>
      </c>
      <c r="S30" s="697">
        <v>131084</v>
      </c>
      <c r="T30" s="347">
        <v>765924</v>
      </c>
      <c r="U30" s="673">
        <f>T30/K30</f>
        <v>0.82769039578549242</v>
      </c>
      <c r="V30" s="390">
        <f>44551+45501</f>
        <v>90052</v>
      </c>
      <c r="W30" s="347">
        <v>855976</v>
      </c>
      <c r="X30" s="673">
        <f>W30/K30</f>
        <v>0.9250044576523031</v>
      </c>
      <c r="Y30" s="567">
        <v>69399</v>
      </c>
      <c r="Z30" s="348">
        <v>925375</v>
      </c>
      <c r="AA30" s="616">
        <f>Z30/K30</f>
        <v>1</v>
      </c>
      <c r="AB30" s="615"/>
      <c r="AC30" s="348">
        <v>925375</v>
      </c>
      <c r="AD30" s="616">
        <f>AC30/K30</f>
        <v>1</v>
      </c>
      <c r="AE30" s="567"/>
      <c r="AF30" s="348">
        <v>925375</v>
      </c>
      <c r="AG30" s="371">
        <f>AE30/K30</f>
        <v>0</v>
      </c>
      <c r="AH30" s="567"/>
      <c r="AI30" s="348"/>
      <c r="AJ30" s="996"/>
      <c r="AK30" s="1021"/>
      <c r="AL30" s="1046"/>
      <c r="AM30" s="859">
        <v>0</v>
      </c>
      <c r="AN30" s="369">
        <f>(M30+AM30)/K30</f>
        <v>1</v>
      </c>
      <c r="AO30" s="268">
        <f>K30-M30</f>
        <v>0</v>
      </c>
      <c r="AP30" s="1457"/>
      <c r="AQ30" s="747"/>
      <c r="AR30" s="1471"/>
      <c r="AS30" s="110">
        <f>AM31-SUM(AR19:AR30)</f>
        <v>0</v>
      </c>
    </row>
    <row r="31" spans="1:45" s="37" customFormat="1" ht="13.8" hidden="1" outlineLevel="1" thickBot="1">
      <c r="A31" s="52"/>
      <c r="B31" s="92"/>
      <c r="C31" s="36"/>
      <c r="D31" s="758">
        <f>COUNTA(D19:D30)-1</f>
        <v>11</v>
      </c>
      <c r="E31" s="758">
        <f>SUM(E19:E30)</f>
        <v>400</v>
      </c>
      <c r="F31" s="274"/>
      <c r="G31" s="275"/>
      <c r="H31" s="1449"/>
      <c r="I31" s="759">
        <f>SUM(I19:I30)</f>
        <v>69321816</v>
      </c>
      <c r="J31" s="760"/>
      <c r="K31" s="761">
        <f>SUM(K19:K30)</f>
        <v>3965339.15</v>
      </c>
      <c r="L31" s="1426"/>
      <c r="M31" s="762">
        <f>SUM(M19:M30)</f>
        <v>3980373.15</v>
      </c>
      <c r="N31" s="763">
        <f>M31/K31</f>
        <v>1.0037913528783535</v>
      </c>
      <c r="O31" s="764">
        <f>SUM(O19:O30)</f>
        <v>1084431</v>
      </c>
      <c r="P31" s="762">
        <f>SUM(P19:P30)</f>
        <v>525539</v>
      </c>
      <c r="Q31" s="765">
        <f>SUM(Q19:Q30)</f>
        <v>2356948</v>
      </c>
      <c r="R31" s="766">
        <f>Q31/K31</f>
        <v>0.59438749394235302</v>
      </c>
      <c r="S31" s="762">
        <f>SUM(S19:S30)</f>
        <v>695257</v>
      </c>
      <c r="T31" s="765">
        <f>SUM(T19:T30)</f>
        <v>3043416</v>
      </c>
      <c r="U31" s="767">
        <f>T31/K31</f>
        <v>0.76750459037028396</v>
      </c>
      <c r="V31" s="762">
        <f>SUM(V19:V30)</f>
        <v>599395</v>
      </c>
      <c r="W31" s="765">
        <f>SUM(W19:W30)</f>
        <v>3642812</v>
      </c>
      <c r="X31" s="767">
        <f>W31/K31</f>
        <v>0.91866341369564819</v>
      </c>
      <c r="Y31" s="768">
        <f>SUM(Y19:Y30)</f>
        <v>282068</v>
      </c>
      <c r="Z31" s="769">
        <f>SUM(Z19:Z30)</f>
        <v>3922163</v>
      </c>
      <c r="AA31" s="770">
        <f>Z31/K31</f>
        <v>0.98911161230685651</v>
      </c>
      <c r="AB31" s="771">
        <f>SUM(AB19:AB30)</f>
        <v>58489.15</v>
      </c>
      <c r="AC31" s="769">
        <f>SUM(AC19:AC30)</f>
        <v>3980373.15</v>
      </c>
      <c r="AD31" s="770">
        <f>AC31/K31</f>
        <v>1.0037913528783535</v>
      </c>
      <c r="AE31" s="768">
        <f>SUM(AE19:AE30)</f>
        <v>0</v>
      </c>
      <c r="AF31" s="769">
        <f>SUM(AF19:AF30)</f>
        <v>3980373.15</v>
      </c>
      <c r="AG31" s="763">
        <f>AE31/K31</f>
        <v>0</v>
      </c>
      <c r="AH31" s="768"/>
      <c r="AI31" s="769"/>
      <c r="AJ31" s="997"/>
      <c r="AK31" s="1022"/>
      <c r="AL31" s="1047"/>
      <c r="AM31" s="765">
        <f>SUM(AM19:AM30)</f>
        <v>0</v>
      </c>
      <c r="AN31" s="763">
        <f>(M31+AM31)/K31</f>
        <v>1.0037913528783535</v>
      </c>
      <c r="AO31" s="772">
        <f>SUM(AO19:AO30)</f>
        <v>-96</v>
      </c>
      <c r="AP31" s="1459"/>
      <c r="AQ31" s="773"/>
      <c r="AR31" s="1472"/>
    </row>
    <row r="32" spans="1:45" s="12" customFormat="1" ht="12.75" customHeight="1" collapsed="1">
      <c r="A32" s="1389">
        <v>2013</v>
      </c>
      <c r="B32" s="473" t="s">
        <v>98</v>
      </c>
      <c r="C32" s="465" t="s">
        <v>58</v>
      </c>
      <c r="D32" s="466">
        <v>2013</v>
      </c>
      <c r="E32" s="466">
        <v>14</v>
      </c>
      <c r="F32" s="467" t="s">
        <v>12</v>
      </c>
      <c r="G32" s="467" t="s">
        <v>131</v>
      </c>
      <c r="H32" s="467"/>
      <c r="I32" s="465">
        <v>2375752</v>
      </c>
      <c r="J32" s="491">
        <f>I32/E32</f>
        <v>169696.57142857142</v>
      </c>
      <c r="K32" s="468">
        <f>L32*I32</f>
        <v>118787.6</v>
      </c>
      <c r="L32" s="1432">
        <v>0.05</v>
      </c>
      <c r="M32" s="655">
        <v>118788</v>
      </c>
      <c r="N32" s="470">
        <f>M32/K32</f>
        <v>1.0000033673548416</v>
      </c>
      <c r="O32" s="469">
        <v>0</v>
      </c>
      <c r="P32" s="655">
        <v>52184</v>
      </c>
      <c r="Q32" s="465">
        <v>63943</v>
      </c>
      <c r="R32" s="720">
        <f>Q32/K32</f>
        <v>0.53829692661523587</v>
      </c>
      <c r="S32" s="655">
        <v>19080</v>
      </c>
      <c r="T32" s="465">
        <v>83023</v>
      </c>
      <c r="U32" s="674">
        <f>T32/K32</f>
        <v>0.69891975256676619</v>
      </c>
      <c r="V32" s="655">
        <f>5931+6048+4031+5748+6876+998</f>
        <v>29632</v>
      </c>
      <c r="W32" s="465">
        <v>112655</v>
      </c>
      <c r="X32" s="674">
        <f>W32/K32</f>
        <v>0.94837339924369202</v>
      </c>
      <c r="Y32" s="568"/>
      <c r="Z32" s="471">
        <v>112655</v>
      </c>
      <c r="AA32" s="618">
        <f>Z32/K32</f>
        <v>0.94837339924369202</v>
      </c>
      <c r="AB32" s="617">
        <v>6133</v>
      </c>
      <c r="AC32" s="471">
        <v>118788</v>
      </c>
      <c r="AD32" s="618">
        <f>AC32/K32</f>
        <v>1.0000033673548416</v>
      </c>
      <c r="AE32" s="568"/>
      <c r="AF32" s="471">
        <v>118788</v>
      </c>
      <c r="AG32" s="470">
        <f>AF32/K32</f>
        <v>1.0000033673548416</v>
      </c>
      <c r="AH32" s="568"/>
      <c r="AI32" s="471">
        <v>118788</v>
      </c>
      <c r="AJ32" s="998">
        <f>AI32/K32</f>
        <v>1.0000033673548416</v>
      </c>
      <c r="AK32" s="1023"/>
      <c r="AL32" s="1048">
        <f>AK32/K32</f>
        <v>0</v>
      </c>
      <c r="AM32" s="862">
        <v>0</v>
      </c>
      <c r="AN32" s="470">
        <f>(M32+AM32)/K32</f>
        <v>1.0000033673548416</v>
      </c>
      <c r="AO32" s="472">
        <f>K32-M32</f>
        <v>-0.39999999999417923</v>
      </c>
      <c r="AP32" s="1457"/>
      <c r="AQ32" s="747"/>
      <c r="AR32" s="1471"/>
    </row>
    <row r="33" spans="1:45" s="12" customFormat="1" ht="13.2">
      <c r="A33" s="1389"/>
      <c r="B33" s="473" t="s">
        <v>261</v>
      </c>
      <c r="C33" s="465" t="s">
        <v>90</v>
      </c>
      <c r="D33" s="466">
        <v>2013</v>
      </c>
      <c r="E33" s="510">
        <v>44</v>
      </c>
      <c r="F33" s="467" t="s">
        <v>15</v>
      </c>
      <c r="G33" s="467" t="s">
        <v>131</v>
      </c>
      <c r="H33" s="467"/>
      <c r="I33" s="465">
        <v>6925720</v>
      </c>
      <c r="J33" s="511">
        <f>I33/E33</f>
        <v>157402.72727272726</v>
      </c>
      <c r="K33" s="468">
        <f t="shared" ref="K33:K75" si="3">L33*I33</f>
        <v>346286</v>
      </c>
      <c r="L33" s="1432">
        <v>0.05</v>
      </c>
      <c r="M33" s="655">
        <v>346286</v>
      </c>
      <c r="N33" s="470">
        <f>M33/K33</f>
        <v>1</v>
      </c>
      <c r="O33" s="469">
        <v>74596</v>
      </c>
      <c r="P33" s="655">
        <f>111893+2242</f>
        <v>114135</v>
      </c>
      <c r="Q33" s="465">
        <v>188730</v>
      </c>
      <c r="R33" s="720">
        <f>Q33/K33</f>
        <v>0.54501192655781638</v>
      </c>
      <c r="S33" s="655">
        <v>68629</v>
      </c>
      <c r="T33" s="465">
        <v>257360</v>
      </c>
      <c r="U33" s="674">
        <f>T33/K33</f>
        <v>0.74320070693010976</v>
      </c>
      <c r="V33" s="655">
        <v>51472</v>
      </c>
      <c r="W33" s="465">
        <v>308833</v>
      </c>
      <c r="X33" s="674">
        <f>W33/K33</f>
        <v>0.89184373610252798</v>
      </c>
      <c r="Y33" s="568">
        <v>21718</v>
      </c>
      <c r="Z33" s="471">
        <v>330551</v>
      </c>
      <c r="AA33" s="618">
        <f>Z33/K33</f>
        <v>0.9545606810555437</v>
      </c>
      <c r="AB33" s="617">
        <v>15661</v>
      </c>
      <c r="AC33" s="471">
        <v>346212</v>
      </c>
      <c r="AD33" s="618">
        <f>AC33/K33</f>
        <v>0.99978630380667999</v>
      </c>
      <c r="AE33" s="568">
        <v>71.260000000000005</v>
      </c>
      <c r="AF33" s="471">
        <v>346286</v>
      </c>
      <c r="AG33" s="470">
        <f>AF33/K33</f>
        <v>1</v>
      </c>
      <c r="AH33" s="568"/>
      <c r="AI33" s="471">
        <v>346286</v>
      </c>
      <c r="AJ33" s="998">
        <f>AI33/K33</f>
        <v>1</v>
      </c>
      <c r="AK33" s="1023"/>
      <c r="AL33" s="1049">
        <f>AK33/K33</f>
        <v>0</v>
      </c>
      <c r="AM33" s="862">
        <v>0</v>
      </c>
      <c r="AN33" s="470">
        <f>(M33+AM33)/K33</f>
        <v>1</v>
      </c>
      <c r="AO33" s="472">
        <f>K33-M33</f>
        <v>0</v>
      </c>
      <c r="AP33" s="1457"/>
      <c r="AQ33" s="747"/>
      <c r="AR33" s="1471"/>
    </row>
    <row r="34" spans="1:45" s="12" customFormat="1" ht="13.2">
      <c r="A34" s="1389"/>
      <c r="B34" s="473" t="s">
        <v>59</v>
      </c>
      <c r="C34" s="465" t="s">
        <v>80</v>
      </c>
      <c r="D34" s="466">
        <v>2013</v>
      </c>
      <c r="E34" s="510">
        <v>54</v>
      </c>
      <c r="F34" s="467" t="s">
        <v>104</v>
      </c>
      <c r="G34" s="467" t="s">
        <v>131</v>
      </c>
      <c r="H34" s="467"/>
      <c r="I34" s="465">
        <v>9890549</v>
      </c>
      <c r="J34" s="511">
        <f>I34/E34</f>
        <v>183158.3148148148</v>
      </c>
      <c r="K34" s="468">
        <f t="shared" si="3"/>
        <v>494527.45</v>
      </c>
      <c r="L34" s="1432">
        <v>0.05</v>
      </c>
      <c r="M34" s="655">
        <v>494527</v>
      </c>
      <c r="N34" s="470">
        <f>M34/K34</f>
        <v>0.99999909004040122</v>
      </c>
      <c r="O34" s="469">
        <v>42868</v>
      </c>
      <c r="P34" s="655">
        <f>176082</f>
        <v>176082</v>
      </c>
      <c r="Q34" s="465">
        <v>218950</v>
      </c>
      <c r="R34" s="720">
        <f>Q34/K34</f>
        <v>0.44274589812961845</v>
      </c>
      <c r="S34" s="655">
        <v>97374</v>
      </c>
      <c r="T34" s="465">
        <v>316324</v>
      </c>
      <c r="U34" s="674">
        <f>T34/K34</f>
        <v>0.63964902251634359</v>
      </c>
      <c r="V34" s="655">
        <v>43701</v>
      </c>
      <c r="W34" s="465">
        <v>360025</v>
      </c>
      <c r="X34" s="674">
        <f>W34/K34</f>
        <v>0.72801823235494811</v>
      </c>
      <c r="Y34" s="568">
        <v>20543</v>
      </c>
      <c r="Z34" s="471">
        <v>380568</v>
      </c>
      <c r="AA34" s="618">
        <f>Z34/K34</f>
        <v>0.76955889910661179</v>
      </c>
      <c r="AB34" s="617">
        <f>32730+13017+29863</f>
        <v>75610</v>
      </c>
      <c r="AC34" s="471">
        <v>456178</v>
      </c>
      <c r="AD34" s="618">
        <f>AC34/K34</f>
        <v>0.92245233303024932</v>
      </c>
      <c r="AE34" s="568">
        <v>38349</v>
      </c>
      <c r="AF34" s="471">
        <f>456178+38349</f>
        <v>494527</v>
      </c>
      <c r="AG34" s="470">
        <f>AF34/K34</f>
        <v>0.99999909004040122</v>
      </c>
      <c r="AH34" s="568"/>
      <c r="AI34" s="471">
        <v>494527</v>
      </c>
      <c r="AJ34" s="998">
        <f>AI34/K34</f>
        <v>0.99999909004040122</v>
      </c>
      <c r="AK34" s="1023"/>
      <c r="AL34" s="1049">
        <f>AK34/K34</f>
        <v>0</v>
      </c>
      <c r="AM34" s="862">
        <v>0</v>
      </c>
      <c r="AN34" s="470">
        <f>(M34+AM34)/K34</f>
        <v>0.99999909004040122</v>
      </c>
      <c r="AO34" s="472">
        <f>K34-M34</f>
        <v>0.45000000001164153</v>
      </c>
      <c r="AP34" s="1457"/>
      <c r="AQ34" s="747"/>
      <c r="AR34" s="1471"/>
    </row>
    <row r="35" spans="1:45" s="28" customFormat="1" ht="13.2">
      <c r="A35" s="1389"/>
      <c r="B35" s="473" t="s">
        <v>108</v>
      </c>
      <c r="C35" s="465" t="s">
        <v>84</v>
      </c>
      <c r="D35" s="466">
        <v>2013</v>
      </c>
      <c r="E35" s="510">
        <v>24</v>
      </c>
      <c r="F35" s="467" t="s">
        <v>213</v>
      </c>
      <c r="G35" s="467" t="s">
        <v>131</v>
      </c>
      <c r="H35" s="467"/>
      <c r="I35" s="465">
        <v>3867445</v>
      </c>
      <c r="J35" s="491">
        <f>I35/E35</f>
        <v>161143.54166666666</v>
      </c>
      <c r="K35" s="468">
        <f t="shared" si="3"/>
        <v>193372.25</v>
      </c>
      <c r="L35" s="1432">
        <v>0.05</v>
      </c>
      <c r="M35" s="655">
        <v>193372</v>
      </c>
      <c r="N35" s="470">
        <f>M35/K35</f>
        <v>0.99999870715679218</v>
      </c>
      <c r="O35" s="469">
        <v>16144</v>
      </c>
      <c r="P35" s="655">
        <f>8072+16144+20008+25872+8624</f>
        <v>78720</v>
      </c>
      <c r="Q35" s="465">
        <v>94864</v>
      </c>
      <c r="R35" s="720">
        <f>Q35/K35</f>
        <v>0.49057711227955408</v>
      </c>
      <c r="S35" s="655">
        <v>17248</v>
      </c>
      <c r="T35" s="465">
        <v>112112</v>
      </c>
      <c r="U35" s="674">
        <f>T35/K35</f>
        <v>0.57977295087583658</v>
      </c>
      <c r="V35" s="655">
        <f>8624+8624+17680</f>
        <v>34928</v>
      </c>
      <c r="W35" s="465">
        <v>147042</v>
      </c>
      <c r="X35" s="674">
        <f>W35/K35</f>
        <v>0.76040900387723676</v>
      </c>
      <c r="Y35" s="568">
        <f>22686+6536</f>
        <v>29222</v>
      </c>
      <c r="Z35" s="471">
        <v>176264</v>
      </c>
      <c r="AA35" s="618">
        <f>Z35/K35</f>
        <v>0.91152686075690803</v>
      </c>
      <c r="AB35" s="617">
        <f>6573+10537</f>
        <v>17110</v>
      </c>
      <c r="AC35" s="471">
        <v>193372</v>
      </c>
      <c r="AD35" s="618">
        <f>AC35/K35</f>
        <v>0.99999870715679218</v>
      </c>
      <c r="AE35" s="568"/>
      <c r="AF35" s="471">
        <v>193372</v>
      </c>
      <c r="AG35" s="470">
        <f>AF35/K35</f>
        <v>0.99999870715679218</v>
      </c>
      <c r="AH35" s="568"/>
      <c r="AI35" s="471">
        <v>193372</v>
      </c>
      <c r="AJ35" s="998">
        <f>AI35/K35</f>
        <v>0.99999870715679218</v>
      </c>
      <c r="AK35" s="1023"/>
      <c r="AL35" s="1049">
        <f>AK35/K35</f>
        <v>0</v>
      </c>
      <c r="AM35" s="862">
        <f>9623*0</f>
        <v>0</v>
      </c>
      <c r="AN35" s="470">
        <f>(M35+AM35)/K35</f>
        <v>0.99999870715679218</v>
      </c>
      <c r="AO35" s="472">
        <f>K35-M35</f>
        <v>0.25</v>
      </c>
      <c r="AP35" s="1457"/>
      <c r="AQ35" s="747"/>
      <c r="AR35" s="1472"/>
    </row>
    <row r="36" spans="1:45" s="12" customFormat="1" ht="13.2">
      <c r="A36" s="1389"/>
      <c r="B36" s="473" t="s">
        <v>85</v>
      </c>
      <c r="C36" s="465" t="s">
        <v>86</v>
      </c>
      <c r="D36" s="466">
        <v>2013</v>
      </c>
      <c r="E36" s="510">
        <v>18</v>
      </c>
      <c r="F36" s="467" t="s">
        <v>15</v>
      </c>
      <c r="G36" s="467" t="s">
        <v>131</v>
      </c>
      <c r="H36" s="467"/>
      <c r="I36" s="465">
        <v>3241649</v>
      </c>
      <c r="J36" s="491">
        <f>I36/E36</f>
        <v>180091.61111111112</v>
      </c>
      <c r="K36" s="468">
        <f t="shared" si="3"/>
        <v>162082.45000000001</v>
      </c>
      <c r="L36" s="1432">
        <v>0.05</v>
      </c>
      <c r="M36" s="655">
        <v>162085</v>
      </c>
      <c r="N36" s="470">
        <f>M36/K36</f>
        <v>1.0000157327335562</v>
      </c>
      <c r="O36" s="469">
        <v>14755</v>
      </c>
      <c r="P36" s="655">
        <f>14755+4453+12951+19295+4540</f>
        <v>55994</v>
      </c>
      <c r="Q36" s="465">
        <v>70749</v>
      </c>
      <c r="R36" s="720">
        <f>Q36/K36</f>
        <v>0.43650006524457147</v>
      </c>
      <c r="S36" s="655">
        <v>23813</v>
      </c>
      <c r="T36" s="465">
        <v>94562</v>
      </c>
      <c r="U36" s="674">
        <f>T36/K36</f>
        <v>0.58341911786254463</v>
      </c>
      <c r="V36" s="655">
        <f>10375+7495</f>
        <v>17870</v>
      </c>
      <c r="W36" s="465">
        <v>112432</v>
      </c>
      <c r="X36" s="674">
        <f>W36/K36</f>
        <v>0.6936716467452213</v>
      </c>
      <c r="Y36" s="568">
        <v>22068</v>
      </c>
      <c r="Z36" s="471">
        <v>134500</v>
      </c>
      <c r="AA36" s="618">
        <f>Z36/K36</f>
        <v>0.82982457385114794</v>
      </c>
      <c r="AB36" s="617">
        <f>2418+8123+8370</f>
        <v>18911</v>
      </c>
      <c r="AC36" s="471">
        <v>153411</v>
      </c>
      <c r="AD36" s="618">
        <f>AC36/K36</f>
        <v>0.94649975984444945</v>
      </c>
      <c r="AE36" s="568">
        <v>8105</v>
      </c>
      <c r="AF36" s="471">
        <v>162085</v>
      </c>
      <c r="AG36" s="470">
        <f>AF36/K36</f>
        <v>1.0000157327335562</v>
      </c>
      <c r="AH36" s="568"/>
      <c r="AI36" s="471">
        <v>162085</v>
      </c>
      <c r="AJ36" s="998">
        <f>AI36/K36</f>
        <v>1.0000157327335562</v>
      </c>
      <c r="AK36" s="1023"/>
      <c r="AL36" s="1049">
        <f>AK36/K36</f>
        <v>0</v>
      </c>
      <c r="AM36" s="862">
        <v>0</v>
      </c>
      <c r="AN36" s="470">
        <f>(M36+AM36)/K36</f>
        <v>1.0000157327335562</v>
      </c>
      <c r="AO36" s="472">
        <f>K36-M36</f>
        <v>-2.5499999999883585</v>
      </c>
      <c r="AP36" s="1457"/>
      <c r="AQ36" s="747"/>
      <c r="AR36" s="1472"/>
      <c r="AS36" s="28"/>
    </row>
    <row r="37" spans="1:45" s="12" customFormat="1" ht="13.2">
      <c r="A37" s="1389"/>
      <c r="B37" s="872" t="s">
        <v>62</v>
      </c>
      <c r="C37" s="873" t="s">
        <v>82</v>
      </c>
      <c r="D37" s="874">
        <v>2013</v>
      </c>
      <c r="E37" s="875">
        <v>110</v>
      </c>
      <c r="F37" s="876" t="s">
        <v>103</v>
      </c>
      <c r="G37" s="876" t="s">
        <v>132</v>
      </c>
      <c r="H37" s="876"/>
      <c r="I37" s="873">
        <v>19497460</v>
      </c>
      <c r="J37" s="877">
        <f>I37/E37</f>
        <v>177249.63636363635</v>
      </c>
      <c r="K37" s="878">
        <f t="shared" si="3"/>
        <v>974873</v>
      </c>
      <c r="L37" s="1446">
        <v>0.05</v>
      </c>
      <c r="M37" s="879">
        <v>916756</v>
      </c>
      <c r="N37" s="880">
        <f>M37/K37</f>
        <v>0.94038505528412419</v>
      </c>
      <c r="O37" s="881">
        <v>193001</v>
      </c>
      <c r="P37" s="879">
        <f>48250+96501+144751</f>
        <v>289502</v>
      </c>
      <c r="Q37" s="873">
        <v>482503</v>
      </c>
      <c r="R37" s="882">
        <f>Q37/K37</f>
        <v>0.49493934081670127</v>
      </c>
      <c r="S37" s="879">
        <v>0</v>
      </c>
      <c r="T37" s="873">
        <v>482503</v>
      </c>
      <c r="U37" s="883">
        <f>T37/K37</f>
        <v>0.49493934081670127</v>
      </c>
      <c r="V37" s="879">
        <f>96501+48250+48250</f>
        <v>193001</v>
      </c>
      <c r="W37" s="873">
        <v>675504</v>
      </c>
      <c r="X37" s="883">
        <f>W37/K37</f>
        <v>0.69291487198845392</v>
      </c>
      <c r="Y37" s="884">
        <f>96501+72375</f>
        <v>168876</v>
      </c>
      <c r="Z37" s="885">
        <v>844380</v>
      </c>
      <c r="AA37" s="886">
        <f>Z37/K37</f>
        <v>0.8661435899855674</v>
      </c>
      <c r="AB37" s="887">
        <v>72376</v>
      </c>
      <c r="AC37" s="885">
        <v>916756</v>
      </c>
      <c r="AD37" s="886">
        <f>AC37/K37</f>
        <v>0.94038505528412419</v>
      </c>
      <c r="AE37" s="884">
        <v>0</v>
      </c>
      <c r="AF37" s="885">
        <v>916756</v>
      </c>
      <c r="AG37" s="880">
        <f>AF37/K37</f>
        <v>0.94038505528412419</v>
      </c>
      <c r="AH37" s="884"/>
      <c r="AI37" s="885">
        <v>916756</v>
      </c>
      <c r="AJ37" s="999">
        <f>AI37/K37</f>
        <v>0.94038505528412419</v>
      </c>
      <c r="AK37" s="1024"/>
      <c r="AL37" s="1050">
        <f>AK37/K37</f>
        <v>0</v>
      </c>
      <c r="AM37" s="1063">
        <f>58117</f>
        <v>58117</v>
      </c>
      <c r="AN37" s="880">
        <f>(M37+AM37)/K37</f>
        <v>1</v>
      </c>
      <c r="AO37" s="888">
        <f>K37-M37</f>
        <v>58117</v>
      </c>
      <c r="AP37" s="1456" t="s">
        <v>333</v>
      </c>
      <c r="AQ37" s="751"/>
      <c r="AR37" s="1471"/>
    </row>
    <row r="38" spans="1:45" s="12" customFormat="1" ht="13.2">
      <c r="A38" s="1389"/>
      <c r="B38" s="473" t="s">
        <v>64</v>
      </c>
      <c r="C38" s="465" t="s">
        <v>65</v>
      </c>
      <c r="D38" s="466">
        <v>2013</v>
      </c>
      <c r="E38" s="510">
        <v>81</v>
      </c>
      <c r="F38" s="467" t="s">
        <v>291</v>
      </c>
      <c r="G38" s="467" t="s">
        <v>131</v>
      </c>
      <c r="H38" s="467"/>
      <c r="I38" s="465">
        <v>13154943</v>
      </c>
      <c r="J38" s="491">
        <f>I38/E38</f>
        <v>162406.70370370371</v>
      </c>
      <c r="K38" s="468">
        <f t="shared" si="3"/>
        <v>657747.15</v>
      </c>
      <c r="L38" s="1432">
        <v>0.05</v>
      </c>
      <c r="M38" s="655">
        <v>657747</v>
      </c>
      <c r="N38" s="470">
        <f>M38/K38</f>
        <v>0.99999977194884082</v>
      </c>
      <c r="O38" s="469">
        <v>164241</v>
      </c>
      <c r="P38" s="655">
        <f>65696+121749+98544</f>
        <v>285989</v>
      </c>
      <c r="Q38" s="465">
        <v>328481</v>
      </c>
      <c r="R38" s="720">
        <f>Q38/K38</f>
        <v>0.49940315210791864</v>
      </c>
      <c r="S38" s="655">
        <v>114968</v>
      </c>
      <c r="T38" s="465">
        <v>443449</v>
      </c>
      <c r="U38" s="674">
        <f>T38/K38</f>
        <v>0.67419372322631876</v>
      </c>
      <c r="V38" s="655">
        <f>16427+32848+66361</f>
        <v>115636</v>
      </c>
      <c r="W38" s="465">
        <v>559085</v>
      </c>
      <c r="X38" s="674">
        <f>W38/K38</f>
        <v>0.8499998821735677</v>
      </c>
      <c r="Y38" s="568">
        <f>32887+19732+13155</f>
        <v>65774</v>
      </c>
      <c r="Z38" s="471">
        <v>624860</v>
      </c>
      <c r="AA38" s="618">
        <f>Z38/K38</f>
        <v>0.95000031547077013</v>
      </c>
      <c r="AB38" s="617">
        <v>32887</v>
      </c>
      <c r="AC38" s="471">
        <v>657747</v>
      </c>
      <c r="AD38" s="618">
        <f>AC38/K38</f>
        <v>0.99999977194884082</v>
      </c>
      <c r="AE38" s="568"/>
      <c r="AF38" s="471">
        <v>657747</v>
      </c>
      <c r="AG38" s="470">
        <f>AF38/K38</f>
        <v>0.99999977194884082</v>
      </c>
      <c r="AH38" s="568"/>
      <c r="AI38" s="471">
        <v>657747</v>
      </c>
      <c r="AJ38" s="998">
        <f>AI38/K38</f>
        <v>0.99999977194884082</v>
      </c>
      <c r="AK38" s="1023"/>
      <c r="AL38" s="1049">
        <f>AK38/K38</f>
        <v>0</v>
      </c>
      <c r="AM38" s="862">
        <v>0</v>
      </c>
      <c r="AN38" s="470">
        <f>(M38+AM38)/K38</f>
        <v>0.99999977194884082</v>
      </c>
      <c r="AO38" s="472">
        <f>K38-M38</f>
        <v>0.15000000002328306</v>
      </c>
      <c r="AP38" s="1457"/>
      <c r="AQ38" s="747"/>
      <c r="AR38" s="1471"/>
      <c r="AS38" s="28"/>
    </row>
    <row r="39" spans="1:45" s="554" customFormat="1" ht="13.2">
      <c r="A39" s="1389"/>
      <c r="B39" s="473" t="s">
        <v>92</v>
      </c>
      <c r="C39" s="465" t="s">
        <v>66</v>
      </c>
      <c r="D39" s="466">
        <v>2013</v>
      </c>
      <c r="E39" s="510">
        <v>34</v>
      </c>
      <c r="F39" s="467" t="s">
        <v>104</v>
      </c>
      <c r="G39" s="467" t="s">
        <v>131</v>
      </c>
      <c r="H39" s="467"/>
      <c r="I39" s="465">
        <v>5396489</v>
      </c>
      <c r="J39" s="491">
        <f>I39/E39</f>
        <v>158720.26470588235</v>
      </c>
      <c r="K39" s="468">
        <f t="shared" si="3"/>
        <v>269824.45</v>
      </c>
      <c r="L39" s="1432">
        <v>0.05</v>
      </c>
      <c r="M39" s="655">
        <v>274695</v>
      </c>
      <c r="N39" s="470">
        <f>M39/K39</f>
        <v>1.018050810443605</v>
      </c>
      <c r="O39" s="469">
        <v>0</v>
      </c>
      <c r="P39" s="655">
        <f>39806+24327+36491</f>
        <v>100624</v>
      </c>
      <c r="Q39" s="465">
        <v>121637</v>
      </c>
      <c r="R39" s="720">
        <f>Q39/K39</f>
        <v>0.45080051122127734</v>
      </c>
      <c r="S39" s="655">
        <v>57637</v>
      </c>
      <c r="T39" s="465">
        <v>179254</v>
      </c>
      <c r="U39" s="674">
        <f>T39/K39</f>
        <v>0.66433564489800678</v>
      </c>
      <c r="V39" s="655">
        <f>12873+5536</f>
        <v>18409</v>
      </c>
      <c r="W39" s="465">
        <v>197683</v>
      </c>
      <c r="X39" s="674">
        <f>W39/K39</f>
        <v>0.73263560807777051</v>
      </c>
      <c r="Y39" s="568">
        <v>21261</v>
      </c>
      <c r="Z39" s="471">
        <v>218944</v>
      </c>
      <c r="AA39" s="618">
        <f>Z39/K39</f>
        <v>0.8114312843035536</v>
      </c>
      <c r="AB39" s="617">
        <f>9093+42937</f>
        <v>52030</v>
      </c>
      <c r="AC39" s="471">
        <v>270974</v>
      </c>
      <c r="AD39" s="618">
        <f>AC39/K39</f>
        <v>1.0042603626172497</v>
      </c>
      <c r="AE39" s="568">
        <v>3721</v>
      </c>
      <c r="AF39" s="471">
        <f>270974</f>
        <v>270974</v>
      </c>
      <c r="AG39" s="470">
        <f>AF39/K39</f>
        <v>1.0042603626172497</v>
      </c>
      <c r="AH39" s="568"/>
      <c r="AI39" s="471">
        <v>274695</v>
      </c>
      <c r="AJ39" s="998">
        <f>AI39/K39</f>
        <v>1.018050810443605</v>
      </c>
      <c r="AK39" s="1023"/>
      <c r="AL39" s="1049">
        <f>AK39/K39</f>
        <v>0</v>
      </c>
      <c r="AM39" s="862">
        <v>0</v>
      </c>
      <c r="AN39" s="470">
        <f>(M39+AM39)/K39</f>
        <v>1.018050810443605</v>
      </c>
      <c r="AO39" s="472">
        <f>K39-M39</f>
        <v>-4870.5499999999884</v>
      </c>
      <c r="AP39" s="1457"/>
      <c r="AQ39" s="747"/>
      <c r="AR39" s="1473"/>
    </row>
    <row r="40" spans="1:45" s="13" customFormat="1" ht="13.2">
      <c r="A40" s="1389"/>
      <c r="B40" s="509" t="s">
        <v>67</v>
      </c>
      <c r="C40" s="465" t="s">
        <v>68</v>
      </c>
      <c r="D40" s="466">
        <v>2013</v>
      </c>
      <c r="E40" s="510">
        <v>9</v>
      </c>
      <c r="F40" s="467" t="s">
        <v>15</v>
      </c>
      <c r="G40" s="467" t="s">
        <v>131</v>
      </c>
      <c r="H40" s="467"/>
      <c r="I40" s="465">
        <v>1659203</v>
      </c>
      <c r="J40" s="511">
        <f>I40/E40</f>
        <v>184355.88888888888</v>
      </c>
      <c r="K40" s="468">
        <f t="shared" si="3"/>
        <v>82960.150000000009</v>
      </c>
      <c r="L40" s="1432">
        <v>0.05</v>
      </c>
      <c r="M40" s="655">
        <v>82960</v>
      </c>
      <c r="N40" s="470">
        <f>M40/K40</f>
        <v>0.99999819190297978</v>
      </c>
      <c r="O40" s="469">
        <f>16481*0</f>
        <v>0</v>
      </c>
      <c r="P40" s="655">
        <v>40271</v>
      </c>
      <c r="Q40" s="465">
        <v>40271</v>
      </c>
      <c r="R40" s="720">
        <f>Q40/K40</f>
        <v>0.48542583396968297</v>
      </c>
      <c r="S40" s="655">
        <v>7322</v>
      </c>
      <c r="T40" s="465">
        <v>47593</v>
      </c>
      <c r="U40" s="674">
        <f>T40/K40</f>
        <v>0.5736850765096253</v>
      </c>
      <c r="V40" s="655">
        <f>11783+3958+7917</f>
        <v>23658</v>
      </c>
      <c r="W40" s="465">
        <v>71251</v>
      </c>
      <c r="X40" s="674">
        <f>W40/K40</f>
        <v>0.85885813851590187</v>
      </c>
      <c r="Y40" s="568">
        <v>3958</v>
      </c>
      <c r="Z40" s="471">
        <v>75209</v>
      </c>
      <c r="AA40" s="618">
        <f>Z40/K40</f>
        <v>0.90656779188562209</v>
      </c>
      <c r="AB40" s="617">
        <v>7751</v>
      </c>
      <c r="AC40" s="471">
        <v>82960</v>
      </c>
      <c r="AD40" s="618">
        <f>AC40/K40</f>
        <v>0.99999819190297978</v>
      </c>
      <c r="AE40" s="568"/>
      <c r="AF40" s="471">
        <v>82960</v>
      </c>
      <c r="AG40" s="470">
        <f>AF40/K40</f>
        <v>0.99999819190297978</v>
      </c>
      <c r="AH40" s="568"/>
      <c r="AI40" s="471">
        <v>82960</v>
      </c>
      <c r="AJ40" s="998">
        <f>AI40/K40</f>
        <v>0.99999819190297978</v>
      </c>
      <c r="AK40" s="1023"/>
      <c r="AL40" s="1049">
        <f>AK40/K40</f>
        <v>0</v>
      </c>
      <c r="AM40" s="862">
        <v>0</v>
      </c>
      <c r="AN40" s="470">
        <f>(M40+AM40)/K40</f>
        <v>0.99999819190297978</v>
      </c>
      <c r="AO40" s="472">
        <f>K40-M40</f>
        <v>0.15000000000873115</v>
      </c>
      <c r="AP40" s="1457"/>
      <c r="AQ40" s="747"/>
      <c r="AR40" s="1471"/>
    </row>
    <row r="41" spans="1:45" s="48" customFormat="1" ht="13.8" thickBot="1">
      <c r="A41" s="1389"/>
      <c r="B41" s="509" t="s">
        <v>52</v>
      </c>
      <c r="C41" s="782" t="s">
        <v>53</v>
      </c>
      <c r="D41" s="783">
        <v>2012</v>
      </c>
      <c r="E41" s="510">
        <v>15</v>
      </c>
      <c r="F41" s="784" t="s">
        <v>12</v>
      </c>
      <c r="G41" s="785" t="s">
        <v>131</v>
      </c>
      <c r="H41" s="785"/>
      <c r="I41" s="786">
        <v>2905699</v>
      </c>
      <c r="J41" s="787">
        <f>I41/E41</f>
        <v>193713.26666666666</v>
      </c>
      <c r="K41" s="788">
        <f t="shared" si="3"/>
        <v>145284.95000000001</v>
      </c>
      <c r="L41" s="1447">
        <v>0.05</v>
      </c>
      <c r="M41" s="789">
        <v>144741</v>
      </c>
      <c r="N41" s="790">
        <f>M41/K41</f>
        <v>0.99625597833774238</v>
      </c>
      <c r="O41" s="791"/>
      <c r="P41" s="789">
        <v>17151</v>
      </c>
      <c r="Q41" s="786">
        <v>17151</v>
      </c>
      <c r="R41" s="792">
        <f>Q41/K41</f>
        <v>0.11805076850699263</v>
      </c>
      <c r="S41" s="789">
        <v>0</v>
      </c>
      <c r="T41" s="786">
        <f>57156-29206</f>
        <v>27950</v>
      </c>
      <c r="U41" s="793">
        <f>T41/K41</f>
        <v>0.19238055972074189</v>
      </c>
      <c r="V41" s="655">
        <f>30891+29207</f>
        <v>60098</v>
      </c>
      <c r="W41" s="786">
        <v>88047</v>
      </c>
      <c r="X41" s="793">
        <f>W41/K41</f>
        <v>0.60602973673460325</v>
      </c>
      <c r="Y41" s="794">
        <f>11897+15584+14437</f>
        <v>41918</v>
      </c>
      <c r="Z41" s="795">
        <v>129965</v>
      </c>
      <c r="AA41" s="796">
        <f>Z41/K41</f>
        <v>0.89455239513796847</v>
      </c>
      <c r="AB41" s="797">
        <v>7220</v>
      </c>
      <c r="AC41" s="795">
        <v>137185</v>
      </c>
      <c r="AD41" s="796">
        <f>AC41/K41</f>
        <v>0.94424783847191318</v>
      </c>
      <c r="AE41" s="794">
        <v>7556</v>
      </c>
      <c r="AF41" s="795">
        <v>144741</v>
      </c>
      <c r="AG41" s="790">
        <f>AF41/K41</f>
        <v>0.99625597833774238</v>
      </c>
      <c r="AH41" s="794"/>
      <c r="AI41" s="795">
        <v>144741</v>
      </c>
      <c r="AJ41" s="1000">
        <f>AI41/K41</f>
        <v>0.99625597833774238</v>
      </c>
      <c r="AK41" s="1025"/>
      <c r="AL41" s="1051">
        <f>AK41/K41</f>
        <v>0</v>
      </c>
      <c r="AM41" s="862">
        <v>0</v>
      </c>
      <c r="AN41" s="470">
        <f>(M41+AM41)/K41</f>
        <v>0.99625597833774238</v>
      </c>
      <c r="AO41" s="472">
        <f>K41-M41</f>
        <v>543.95000000001164</v>
      </c>
      <c r="AP41" s="1457"/>
      <c r="AQ41" s="747"/>
      <c r="AR41" s="1471"/>
    </row>
    <row r="42" spans="1:45" s="1" customFormat="1" ht="16.2" thickBot="1">
      <c r="A42" s="53">
        <v>2014</v>
      </c>
      <c r="B42" s="473"/>
      <c r="C42" s="836"/>
      <c r="D42" s="837">
        <f>COUNTA(D32:D41)</f>
        <v>10</v>
      </c>
      <c r="E42" s="837">
        <f>SUM(E32:E41)</f>
        <v>403</v>
      </c>
      <c r="F42" s="274"/>
      <c r="G42" s="275"/>
      <c r="H42" s="1449"/>
      <c r="I42" s="838">
        <f>SUM(I32:I41)</f>
        <v>68914909</v>
      </c>
      <c r="J42" s="839"/>
      <c r="K42" s="840">
        <f>SUM(K32:K41)</f>
        <v>3445745.45</v>
      </c>
      <c r="L42" s="1427"/>
      <c r="M42" s="841">
        <f>SUM(M32:M41)</f>
        <v>3391957</v>
      </c>
      <c r="N42" s="842">
        <f>M42/K42</f>
        <v>0.9843898945001871</v>
      </c>
      <c r="O42" s="843">
        <f>SUM(O32:O41)</f>
        <v>505605</v>
      </c>
      <c r="P42" s="841">
        <f>SUM(P32:P41)</f>
        <v>1210652</v>
      </c>
      <c r="Q42" s="844">
        <f>SUM(Q32:Q41)</f>
        <v>1627279</v>
      </c>
      <c r="R42" s="845">
        <f>Q42/K42</f>
        <v>0.47225746173444122</v>
      </c>
      <c r="S42" s="841">
        <f>SUM(S32:S41)</f>
        <v>406071</v>
      </c>
      <c r="T42" s="844">
        <f>SUM(T32:T41)</f>
        <v>2044130</v>
      </c>
      <c r="U42" s="846">
        <f>T42/K42</f>
        <v>0.59323302596249528</v>
      </c>
      <c r="V42" s="841">
        <f>SUM(V32:V41)</f>
        <v>588405</v>
      </c>
      <c r="W42" s="844">
        <f>SUM(W32:W41)</f>
        <v>2632557</v>
      </c>
      <c r="X42" s="846">
        <f>W42/K42</f>
        <v>0.76400216969016088</v>
      </c>
      <c r="Y42" s="847">
        <f>SUM(Y32:Y41)</f>
        <v>395338</v>
      </c>
      <c r="Z42" s="848">
        <f>SUM(Z32:Z41)</f>
        <v>3027896</v>
      </c>
      <c r="AA42" s="849">
        <f>Z42/K42</f>
        <v>0.87873467263810789</v>
      </c>
      <c r="AB42" s="850">
        <f>SUM(AB32:AB41)</f>
        <v>305689</v>
      </c>
      <c r="AC42" s="848">
        <f>SUM(AC32:AC41)</f>
        <v>3333583</v>
      </c>
      <c r="AD42" s="849">
        <f>AC42/K42</f>
        <v>0.96744900294361558</v>
      </c>
      <c r="AE42" s="847">
        <f>SUM(AE32:AE41)</f>
        <v>57802.26</v>
      </c>
      <c r="AF42" s="848">
        <f>SUM(AF32:AF41)</f>
        <v>3388236</v>
      </c>
      <c r="AG42" s="842">
        <f>AF42/K42</f>
        <v>0.98331001206139579</v>
      </c>
      <c r="AH42" s="847">
        <f>SUM(AH32:AH41)</f>
        <v>0</v>
      </c>
      <c r="AI42" s="848">
        <f>SUM(AI32:AI41)</f>
        <v>3391957</v>
      </c>
      <c r="AJ42" s="1001">
        <f>AI42/K42</f>
        <v>0.9843898945001871</v>
      </c>
      <c r="AK42" s="1026">
        <f>SUM(AK32:AK41)</f>
        <v>0</v>
      </c>
      <c r="AL42" s="1052">
        <f>AK42/K42</f>
        <v>0</v>
      </c>
      <c r="AM42" s="844">
        <f>SUM(AM32:AM41)</f>
        <v>58117</v>
      </c>
      <c r="AN42" s="842">
        <f>(M42+AM42)/K42</f>
        <v>1.0012562013250281</v>
      </c>
      <c r="AO42" s="851">
        <f>SUM(AO32:AO41)</f>
        <v>53788.450000000084</v>
      </c>
      <c r="AP42" s="1493"/>
      <c r="AQ42" s="1492"/>
      <c r="AR42" s="1494"/>
      <c r="AS42" s="109">
        <f>AM42-AR42</f>
        <v>58117</v>
      </c>
    </row>
    <row r="43" spans="1:45" s="1102" customFormat="1" ht="12.75" customHeight="1">
      <c r="A43" s="1390">
        <v>2014</v>
      </c>
      <c r="B43" s="1080" t="s">
        <v>38</v>
      </c>
      <c r="C43" s="1081" t="s">
        <v>39</v>
      </c>
      <c r="D43" s="1082">
        <v>2014</v>
      </c>
      <c r="E43" s="1083">
        <v>21</v>
      </c>
      <c r="F43" s="1084" t="s">
        <v>12</v>
      </c>
      <c r="G43" s="1085" t="s">
        <v>132</v>
      </c>
      <c r="H43" s="1085"/>
      <c r="I43" s="1086">
        <v>3865132</v>
      </c>
      <c r="J43" s="1087">
        <f>I43/E43</f>
        <v>184053.90476190476</v>
      </c>
      <c r="K43" s="457">
        <f t="shared" si="3"/>
        <v>193256.6</v>
      </c>
      <c r="L43" s="1433">
        <v>0.05</v>
      </c>
      <c r="M43" s="1088">
        <v>183594</v>
      </c>
      <c r="N43" s="1089">
        <f>M43/K43</f>
        <v>0.95000119012752993</v>
      </c>
      <c r="O43" s="1090">
        <v>11733</v>
      </c>
      <c r="P43" s="1088">
        <v>0</v>
      </c>
      <c r="Q43" s="93">
        <v>24368</v>
      </c>
      <c r="R43" s="1091">
        <f>Q43/K43</f>
        <v>0.12609142456195546</v>
      </c>
      <c r="S43" s="1088">
        <f>55214-11733</f>
        <v>43481</v>
      </c>
      <c r="T43" s="93">
        <v>67849</v>
      </c>
      <c r="U43" s="1092">
        <f>T43/K43</f>
        <v>0.35108244686080575</v>
      </c>
      <c r="V43" s="1088"/>
      <c r="W43" s="93">
        <v>67849</v>
      </c>
      <c r="X43" s="1092">
        <f>W43/K43</f>
        <v>0.35108244686080575</v>
      </c>
      <c r="Y43" s="1093"/>
      <c r="Z43" s="1094">
        <v>67849</v>
      </c>
      <c r="AA43" s="1095">
        <f>Z43/K43</f>
        <v>0.35108244686080575</v>
      </c>
      <c r="AB43" s="1096">
        <f>49639+3735</f>
        <v>53374</v>
      </c>
      <c r="AC43" s="1094">
        <v>139256</v>
      </c>
      <c r="AD43" s="1095">
        <f>AC43/K43</f>
        <v>0.72057564916282291</v>
      </c>
      <c r="AE43" s="1093">
        <f>16717+24887</f>
        <v>41604</v>
      </c>
      <c r="AF43" s="1094">
        <v>174560</v>
      </c>
      <c r="AG43" s="1089">
        <f>AF43/K43</f>
        <v>0.90325505053902422</v>
      </c>
      <c r="AH43" s="1093">
        <v>9034</v>
      </c>
      <c r="AI43" s="1094">
        <v>183594</v>
      </c>
      <c r="AJ43" s="1097">
        <f>AI43/K43</f>
        <v>0.95000119012752993</v>
      </c>
      <c r="AK43" s="1098"/>
      <c r="AL43" s="1099">
        <f>AK43/K43</f>
        <v>0</v>
      </c>
      <c r="AM43" s="1100">
        <f>5%*K43</f>
        <v>9662.83</v>
      </c>
      <c r="AN43" s="1089">
        <f>(M43+AM43)/K43</f>
        <v>1.0000011901275299</v>
      </c>
      <c r="AO43" s="1101">
        <f>K43-M43</f>
        <v>9662.6000000000058</v>
      </c>
      <c r="AP43" s="1460" t="s">
        <v>333</v>
      </c>
      <c r="AQ43" s="752"/>
      <c r="AR43" s="1474"/>
    </row>
    <row r="44" spans="1:45" s="1102" customFormat="1" ht="12.75" customHeight="1">
      <c r="A44" s="1390"/>
      <c r="B44" s="1103" t="s">
        <v>230</v>
      </c>
      <c r="C44" s="1104" t="s">
        <v>190</v>
      </c>
      <c r="D44" s="1105">
        <v>2014</v>
      </c>
      <c r="E44" s="1105">
        <v>30</v>
      </c>
      <c r="F44" s="1106" t="s">
        <v>12</v>
      </c>
      <c r="G44" s="1107" t="s">
        <v>131</v>
      </c>
      <c r="H44" s="1107"/>
      <c r="I44" s="1104">
        <v>4700405</v>
      </c>
      <c r="J44" s="1108">
        <f>I44/E44</f>
        <v>156680.16666666666</v>
      </c>
      <c r="K44" s="512">
        <f t="shared" si="3"/>
        <v>235020</v>
      </c>
      <c r="L44" s="1434">
        <v>4.9999946813093762E-2</v>
      </c>
      <c r="M44" s="1109">
        <v>235020</v>
      </c>
      <c r="N44" s="1110">
        <f>M44/K44</f>
        <v>1</v>
      </c>
      <c r="O44" s="1111"/>
      <c r="P44" s="1109">
        <f>60140-12520</f>
        <v>47620</v>
      </c>
      <c r="Q44" s="1104">
        <v>47620</v>
      </c>
      <c r="R44" s="1112">
        <f>Q44/K44</f>
        <v>0.20262105352735937</v>
      </c>
      <c r="S44" s="1109">
        <f>12520+24983+36513</f>
        <v>74016</v>
      </c>
      <c r="T44" s="1104">
        <v>121636</v>
      </c>
      <c r="U44" s="1113">
        <f>T44/K44</f>
        <v>0.51755595268487786</v>
      </c>
      <c r="V44" s="1109"/>
      <c r="W44" s="1104">
        <v>121636</v>
      </c>
      <c r="X44" s="1113">
        <f>W44/K44</f>
        <v>0.51755595268487786</v>
      </c>
      <c r="Y44" s="1114">
        <v>28342</v>
      </c>
      <c r="Z44" s="1115">
        <v>149978</v>
      </c>
      <c r="AA44" s="1116">
        <f>Z44/K44</f>
        <v>0.63814994468555863</v>
      </c>
      <c r="AB44" s="1117">
        <f>11537+11375</f>
        <v>22912</v>
      </c>
      <c r="AC44" s="1115">
        <v>172890</v>
      </c>
      <c r="AD44" s="1116">
        <f>AC44/K44</f>
        <v>0.73563952004084754</v>
      </c>
      <c r="AE44" s="1114">
        <f>12633+11595+11596+6957+5052</f>
        <v>47833</v>
      </c>
      <c r="AF44" s="1115">
        <v>220723</v>
      </c>
      <c r="AG44" s="1110">
        <f>AF44/K44</f>
        <v>0.93916687941451793</v>
      </c>
      <c r="AH44" s="1114">
        <v>14297</v>
      </c>
      <c r="AI44" s="1115">
        <v>235020</v>
      </c>
      <c r="AJ44" s="1118">
        <f>AI44/K44</f>
        <v>1</v>
      </c>
      <c r="AK44" s="1119"/>
      <c r="AL44" s="1120">
        <f>AK44/K44</f>
        <v>0</v>
      </c>
      <c r="AM44" s="1121">
        <v>0</v>
      </c>
      <c r="AN44" s="1110">
        <f>(M44+AM44)/K44</f>
        <v>1</v>
      </c>
      <c r="AO44" s="1122">
        <f>K44-M44</f>
        <v>0</v>
      </c>
      <c r="AP44" s="1458"/>
      <c r="AQ44" s="750"/>
      <c r="AR44" s="1474"/>
    </row>
    <row r="45" spans="1:45" s="1102" customFormat="1" ht="12.75" customHeight="1">
      <c r="A45" s="1390"/>
      <c r="B45" s="1103" t="s">
        <v>226</v>
      </c>
      <c r="C45" s="1104" t="s">
        <v>118</v>
      </c>
      <c r="D45" s="1105">
        <v>2014</v>
      </c>
      <c r="E45" s="1105">
        <v>9</v>
      </c>
      <c r="F45" s="1106" t="s">
        <v>213</v>
      </c>
      <c r="G45" s="1107" t="s">
        <v>131</v>
      </c>
      <c r="H45" s="1107"/>
      <c r="I45" s="1104">
        <v>1838801</v>
      </c>
      <c r="J45" s="1108">
        <f>I45/E45</f>
        <v>204311.22222222222</v>
      </c>
      <c r="K45" s="512">
        <f t="shared" si="3"/>
        <v>89357</v>
      </c>
      <c r="L45" s="1434">
        <v>4.8595253102429244E-2</v>
      </c>
      <c r="M45" s="1109">
        <v>89357</v>
      </c>
      <c r="N45" s="1110">
        <f>M45/K45</f>
        <v>1</v>
      </c>
      <c r="O45" s="1111">
        <f>60431*0</f>
        <v>0</v>
      </c>
      <c r="P45" s="1109">
        <v>7458</v>
      </c>
      <c r="Q45" s="1104">
        <v>7458</v>
      </c>
      <c r="R45" s="1112">
        <f>Q45/K45</f>
        <v>8.3462963170204907E-2</v>
      </c>
      <c r="S45" s="1109">
        <f>5456+17627+13089</f>
        <v>36172</v>
      </c>
      <c r="T45" s="1104">
        <v>43630</v>
      </c>
      <c r="U45" s="1113">
        <f>T45/K45</f>
        <v>0.48826616829123626</v>
      </c>
      <c r="V45" s="1109"/>
      <c r="W45" s="1104">
        <v>43630</v>
      </c>
      <c r="X45" s="1113">
        <f>W45/K45</f>
        <v>0.48826616829123626</v>
      </c>
      <c r="Y45" s="1114">
        <f>17699+5451</f>
        <v>23150</v>
      </c>
      <c r="Z45" s="1115">
        <v>66780</v>
      </c>
      <c r="AA45" s="1116">
        <f>Z45/K45</f>
        <v>0.74733932428349203</v>
      </c>
      <c r="AB45" s="1117">
        <v>15909</v>
      </c>
      <c r="AC45" s="1115">
        <v>82689</v>
      </c>
      <c r="AD45" s="1116">
        <f>AC45/K45</f>
        <v>0.92537797822218737</v>
      </c>
      <c r="AE45" s="1114">
        <f>3717+2950.88</f>
        <v>6667.88</v>
      </c>
      <c r="AF45" s="1115">
        <v>89357</v>
      </c>
      <c r="AG45" s="1110">
        <f>AF45/K45</f>
        <v>1</v>
      </c>
      <c r="AH45" s="1114"/>
      <c r="AI45" s="1115">
        <v>89357</v>
      </c>
      <c r="AJ45" s="1118">
        <f>AI45/K45</f>
        <v>1</v>
      </c>
      <c r="AK45" s="1119"/>
      <c r="AL45" s="1120">
        <f>AK45/K45</f>
        <v>0</v>
      </c>
      <c r="AM45" s="1121">
        <v>0</v>
      </c>
      <c r="AN45" s="1110">
        <f>(M45+AM45)/K45</f>
        <v>1</v>
      </c>
      <c r="AO45" s="1122">
        <f>K45-M45</f>
        <v>0</v>
      </c>
      <c r="AP45" s="1458"/>
      <c r="AQ45" s="750"/>
      <c r="AR45" s="1474"/>
    </row>
    <row r="46" spans="1:45" s="1" customFormat="1" ht="14.1" customHeight="1">
      <c r="A46" s="1390"/>
      <c r="B46" s="1103" t="s">
        <v>341</v>
      </c>
      <c r="C46" s="1104" t="s">
        <v>123</v>
      </c>
      <c r="D46" s="1105">
        <v>2014</v>
      </c>
      <c r="E46" s="1123">
        <v>47</v>
      </c>
      <c r="F46" s="1106"/>
      <c r="G46" s="1107" t="s">
        <v>131</v>
      </c>
      <c r="H46" s="1107" t="s">
        <v>365</v>
      </c>
      <c r="I46" s="1104">
        <v>7893608</v>
      </c>
      <c r="J46" s="1108">
        <f>I46/E46</f>
        <v>167949.10638297873</v>
      </c>
      <c r="K46" s="512">
        <f t="shared" si="3"/>
        <v>341117.51152073732</v>
      </c>
      <c r="L46" s="1434">
        <v>4.3214397208568921E-2</v>
      </c>
      <c r="M46" s="1109">
        <v>341117.51</v>
      </c>
      <c r="N46" s="1110">
        <f>M46/K46</f>
        <v>0.99999999554189611</v>
      </c>
      <c r="O46" s="1111"/>
      <c r="P46" s="1109">
        <v>0</v>
      </c>
      <c r="Q46" s="1104"/>
      <c r="R46" s="1112">
        <f>Q46/K46</f>
        <v>0</v>
      </c>
      <c r="S46" s="1109">
        <v>68223.502304147463</v>
      </c>
      <c r="T46" s="1104">
        <v>68224</v>
      </c>
      <c r="U46" s="1113">
        <f>T46/K46</f>
        <v>0.20000145901583979</v>
      </c>
      <c r="V46" s="1109">
        <v>170558.75576036866</v>
      </c>
      <c r="W46" s="1104">
        <v>238782.25806451615</v>
      </c>
      <c r="X46" s="1113">
        <f>W46/K46</f>
        <v>0.70000000000000007</v>
      </c>
      <c r="Y46" s="1114">
        <f>68224+8528+8528+17056</f>
        <v>102336</v>
      </c>
      <c r="Z46" s="1115">
        <f>324061.640552995+17056</f>
        <v>341117.64055299503</v>
      </c>
      <c r="AA46" s="1116">
        <f>Z46/K46</f>
        <v>1.0000003782633649</v>
      </c>
      <c r="AB46" s="1117">
        <v>0</v>
      </c>
      <c r="AC46" s="1115">
        <v>341117.51</v>
      </c>
      <c r="AD46" s="1116">
        <f>AC46/K46</f>
        <v>0.99999999554189611</v>
      </c>
      <c r="AE46" s="1114"/>
      <c r="AF46" s="1115">
        <v>341117.51</v>
      </c>
      <c r="AG46" s="1110">
        <f>AF46/K46</f>
        <v>0.99999999554189611</v>
      </c>
      <c r="AH46" s="1114"/>
      <c r="AI46" s="1115">
        <v>341117.51</v>
      </c>
      <c r="AJ46" s="1118">
        <f>AI46/K46</f>
        <v>0.99999999554189611</v>
      </c>
      <c r="AK46" s="1119"/>
      <c r="AL46" s="1120">
        <f>AK46/K46</f>
        <v>0</v>
      </c>
      <c r="AM46" s="1121">
        <v>0</v>
      </c>
      <c r="AN46" s="1110">
        <f>(M46+AM46)/K46</f>
        <v>0.99999999554189611</v>
      </c>
      <c r="AO46" s="1122">
        <f>K46-M46</f>
        <v>1.5207373071461916E-3</v>
      </c>
      <c r="AP46" s="1458"/>
      <c r="AQ46" s="750"/>
      <c r="AR46" s="1474"/>
    </row>
    <row r="47" spans="1:45" s="1127" customFormat="1" ht="13.2">
      <c r="A47" s="1390"/>
      <c r="B47" s="1124" t="s">
        <v>342</v>
      </c>
      <c r="C47" s="1086"/>
      <c r="D47" s="1082"/>
      <c r="E47" s="1125"/>
      <c r="F47" s="1084"/>
      <c r="G47" s="1085"/>
      <c r="H47" s="1085" t="s">
        <v>365</v>
      </c>
      <c r="I47" s="93">
        <v>145096</v>
      </c>
      <c r="J47" s="1126"/>
      <c r="K47" s="458">
        <f t="shared" si="3"/>
        <v>20563</v>
      </c>
      <c r="L47" s="1435">
        <v>0.14171996471301759</v>
      </c>
      <c r="M47" s="1088">
        <v>19124</v>
      </c>
      <c r="N47" s="1089">
        <f>M47/K47</f>
        <v>0.93001993872489419</v>
      </c>
      <c r="O47" s="1090"/>
      <c r="P47" s="1088">
        <v>0</v>
      </c>
      <c r="Q47" s="93"/>
      <c r="R47" s="1091">
        <f>Q47/K47</f>
        <v>0</v>
      </c>
      <c r="S47" s="1088">
        <v>0</v>
      </c>
      <c r="T47" s="93">
        <v>0</v>
      </c>
      <c r="U47" s="1092">
        <f>T47/K47</f>
        <v>0</v>
      </c>
      <c r="V47" s="1088"/>
      <c r="W47" s="93"/>
      <c r="X47" s="1092">
        <f>W47/K47</f>
        <v>0</v>
      </c>
      <c r="Y47" s="1093">
        <v>0</v>
      </c>
      <c r="Z47" s="1094">
        <v>0</v>
      </c>
      <c r="AA47" s="1095">
        <f>Z47/K47</f>
        <v>0</v>
      </c>
      <c r="AB47" s="1096">
        <f>2018+3217+4112+5047</f>
        <v>14394</v>
      </c>
      <c r="AC47" s="1094">
        <v>14394</v>
      </c>
      <c r="AD47" s="1095">
        <f>AC47/K47</f>
        <v>0.69999513689636728</v>
      </c>
      <c r="AE47" s="1093">
        <v>4730</v>
      </c>
      <c r="AF47" s="1094">
        <v>19124</v>
      </c>
      <c r="AG47" s="1089">
        <f>AF47/K47</f>
        <v>0.93001993872489419</v>
      </c>
      <c r="AH47" s="1093"/>
      <c r="AI47" s="1094">
        <v>19124</v>
      </c>
      <c r="AJ47" s="1097">
        <f>AI47/K47</f>
        <v>0.93001993872489419</v>
      </c>
      <c r="AK47" s="1098"/>
      <c r="AL47" s="1099">
        <f>AK47/K47</f>
        <v>0</v>
      </c>
      <c r="AM47" s="1100">
        <v>1439</v>
      </c>
      <c r="AN47" s="1089">
        <f>(M47+AM47)/K47</f>
        <v>1</v>
      </c>
      <c r="AO47" s="1101">
        <f>K47-M47</f>
        <v>1439</v>
      </c>
      <c r="AP47" s="1460" t="s">
        <v>333</v>
      </c>
      <c r="AQ47" s="752"/>
      <c r="AR47" s="1474"/>
    </row>
    <row r="48" spans="1:45" s="1127" customFormat="1" ht="13.2">
      <c r="A48" s="1390"/>
      <c r="B48" s="1128" t="s">
        <v>343</v>
      </c>
      <c r="C48" s="1104"/>
      <c r="D48" s="1105">
        <v>2014</v>
      </c>
      <c r="E48" s="1123">
        <v>50</v>
      </c>
      <c r="F48" s="1106" t="s">
        <v>104</v>
      </c>
      <c r="G48" s="1107" t="s">
        <v>131</v>
      </c>
      <c r="H48" s="1107"/>
      <c r="I48" s="1104">
        <v>8889709</v>
      </c>
      <c r="J48" s="1129">
        <f>I48/E48</f>
        <v>177794.18</v>
      </c>
      <c r="K48" s="512">
        <f t="shared" si="3"/>
        <v>370260.30414746545</v>
      </c>
      <c r="L48" s="1434">
        <v>4.1650441442736254E-2</v>
      </c>
      <c r="M48" s="1109">
        <f>200866.22/1.085+37026+48207.89/1.085+20086.62/1.085+24103.95/1.085+24103.95/1.085+16069.3/1.085+24103.95/1.085+4017.32/1.085</f>
        <v>370260.28571428574</v>
      </c>
      <c r="N48" s="1110">
        <f>M48/K48</f>
        <v>0.99999995021561994</v>
      </c>
      <c r="O48" s="1111"/>
      <c r="P48" s="1109">
        <v>0</v>
      </c>
      <c r="Q48" s="1104"/>
      <c r="R48" s="1112">
        <f>Q48/K48</f>
        <v>0</v>
      </c>
      <c r="S48" s="1109">
        <v>0</v>
      </c>
      <c r="T48" s="1104">
        <v>0</v>
      </c>
      <c r="U48" s="1113">
        <f>T48/K48</f>
        <v>0</v>
      </c>
      <c r="V48" s="1109">
        <f>200866.22/1.085</f>
        <v>185130.15668202765</v>
      </c>
      <c r="W48" s="1104">
        <f>200866.22/1.085</f>
        <v>185130.15668202765</v>
      </c>
      <c r="X48" s="1113">
        <f>W48/K48</f>
        <v>0.50000001244609504</v>
      </c>
      <c r="Y48" s="1114">
        <f>37026+48207.89/1.085</f>
        <v>81457.235023041474</v>
      </c>
      <c r="Z48" s="1115">
        <v>266587.39170506911</v>
      </c>
      <c r="AA48" s="1116">
        <f>Z48/K48</f>
        <v>0.71999992631911736</v>
      </c>
      <c r="AB48" s="1117">
        <f>20086.62/1.085+24103.95/1.085+24103.95/1.085+16069.3/1.085</f>
        <v>77754.672811059922</v>
      </c>
      <c r="AC48" s="1115">
        <v>344342.06451612903</v>
      </c>
      <c r="AD48" s="1116">
        <f>AC48/K48</f>
        <v>0.92999995046454176</v>
      </c>
      <c r="AE48" s="1114">
        <f>24103.95/1.085</f>
        <v>22215.622119815671</v>
      </c>
      <c r="AF48" s="1115">
        <v>366557.69</v>
      </c>
      <c r="AG48" s="1110">
        <f>AF48/K48</f>
        <v>0.98999997000491091</v>
      </c>
      <c r="AH48" s="1114">
        <f>4017.32/1.085</f>
        <v>3702.5990783410143</v>
      </c>
      <c r="AI48" s="1115">
        <v>370260.28571428574</v>
      </c>
      <c r="AJ48" s="1118">
        <f>AI48/K48</f>
        <v>0.99999995021561994</v>
      </c>
      <c r="AK48" s="1119"/>
      <c r="AL48" s="1120">
        <f>AK48/K48</f>
        <v>0</v>
      </c>
      <c r="AM48" s="1121">
        <v>0</v>
      </c>
      <c r="AN48" s="1110">
        <f>(M48+AM48)/K48</f>
        <v>0.99999995021561994</v>
      </c>
      <c r="AO48" s="1122">
        <f>K48-M48</f>
        <v>1.8433179706335068E-2</v>
      </c>
      <c r="AP48" s="1458"/>
      <c r="AQ48" s="750"/>
      <c r="AR48" s="1474"/>
    </row>
    <row r="49" spans="1:51" s="1" customFormat="1" ht="14.1" customHeight="1" thickBot="1">
      <c r="A49" s="1390"/>
      <c r="B49" s="1103" t="s">
        <v>224</v>
      </c>
      <c r="C49" s="1104" t="s">
        <v>113</v>
      </c>
      <c r="D49" s="1105">
        <v>2014</v>
      </c>
      <c r="E49" s="1105">
        <v>16</v>
      </c>
      <c r="F49" s="1106" t="s">
        <v>104</v>
      </c>
      <c r="G49" s="1107" t="s">
        <v>131</v>
      </c>
      <c r="H49" s="1107"/>
      <c r="I49" s="1104">
        <v>2825485</v>
      </c>
      <c r="J49" s="1108">
        <f>I49/E49</f>
        <v>176592.8125</v>
      </c>
      <c r="K49" s="512">
        <f t="shared" si="3"/>
        <v>141274</v>
      </c>
      <c r="L49" s="1434">
        <v>4.999991151961522E-2</v>
      </c>
      <c r="M49" s="1109">
        <v>141274</v>
      </c>
      <c r="N49" s="1110">
        <f>M49/K49</f>
        <v>1</v>
      </c>
      <c r="O49" s="1111">
        <v>0</v>
      </c>
      <c r="P49" s="1109">
        <v>0</v>
      </c>
      <c r="Q49" s="1104">
        <v>0</v>
      </c>
      <c r="R49" s="1112">
        <f>Q49/K49</f>
        <v>0</v>
      </c>
      <c r="S49" s="1109">
        <f>48746+20852</f>
        <v>69598</v>
      </c>
      <c r="T49" s="1104">
        <v>69597</v>
      </c>
      <c r="U49" s="1113">
        <f>T49/K49</f>
        <v>0.49263841895890254</v>
      </c>
      <c r="V49" s="1109"/>
      <c r="W49" s="1104">
        <v>69597</v>
      </c>
      <c r="X49" s="1113">
        <f>W49/K49</f>
        <v>0.49263841895890254</v>
      </c>
      <c r="Y49" s="1114">
        <f>30071+8517</f>
        <v>38588</v>
      </c>
      <c r="Z49" s="1115">
        <v>108186</v>
      </c>
      <c r="AA49" s="1116">
        <f>Z49/K49</f>
        <v>0.76578846780016141</v>
      </c>
      <c r="AB49" s="1117">
        <f>6635+7555+7198+7429</f>
        <v>28817</v>
      </c>
      <c r="AC49" s="1115">
        <v>137003</v>
      </c>
      <c r="AD49" s="1116">
        <f>AC49/K49</f>
        <v>0.96976796862833925</v>
      </c>
      <c r="AE49" s="1114">
        <v>4271</v>
      </c>
      <c r="AF49" s="1115">
        <v>141274</v>
      </c>
      <c r="AG49" s="1110">
        <f>AF49/K49</f>
        <v>1</v>
      </c>
      <c r="AH49" s="1114"/>
      <c r="AI49" s="1115">
        <v>141274</v>
      </c>
      <c r="AJ49" s="1118">
        <f>AI49/K49</f>
        <v>1</v>
      </c>
      <c r="AK49" s="1119"/>
      <c r="AL49" s="1120">
        <f>AK49/K49</f>
        <v>0</v>
      </c>
      <c r="AM49" s="1121">
        <v>0</v>
      </c>
      <c r="AN49" s="1110">
        <f>(M49+AM49)/K49</f>
        <v>1</v>
      </c>
      <c r="AO49" s="1122">
        <f>K49-M49</f>
        <v>0</v>
      </c>
      <c r="AP49" s="1458"/>
      <c r="AQ49" s="750"/>
      <c r="AR49" s="1474"/>
    </row>
    <row r="50" spans="1:51" s="8" customFormat="1" ht="14.1" customHeight="1" thickBot="1">
      <c r="A50" s="103"/>
      <c r="B50" s="63"/>
      <c r="C50" s="60"/>
      <c r="D50" s="38">
        <f>COUNTA(D43:D49)</f>
        <v>6</v>
      </c>
      <c r="E50" s="38">
        <f>SUM(E43:E49)</f>
        <v>173</v>
      </c>
      <c r="F50" s="116"/>
      <c r="G50" s="70"/>
      <c r="H50" s="1451"/>
      <c r="I50" s="39">
        <f>SUM(I43:I49)</f>
        <v>30158236</v>
      </c>
      <c r="J50" s="430"/>
      <c r="K50" s="441">
        <f>SUM(K43:K49)</f>
        <v>1390848.4156682028</v>
      </c>
      <c r="L50" s="1428"/>
      <c r="M50" s="656">
        <f>SUM(M43:M49)</f>
        <v>1379746.7957142857</v>
      </c>
      <c r="N50" s="729">
        <f>M50/K50</f>
        <v>0.9920180949779609</v>
      </c>
      <c r="O50" s="411">
        <f>SUM(O43:O49)</f>
        <v>11733</v>
      </c>
      <c r="P50" s="656">
        <f>SUM(P43:P49)</f>
        <v>55078</v>
      </c>
      <c r="Q50" s="687">
        <f>SUM(Q43:Q49)</f>
        <v>79446</v>
      </c>
      <c r="R50" s="721">
        <f>Q50/K50</f>
        <v>5.7120530968741048E-2</v>
      </c>
      <c r="S50" s="656">
        <f>SUM(S43:S49)</f>
        <v>291490.50230414746</v>
      </c>
      <c r="T50" s="687">
        <f>SUM(T43:T49)</f>
        <v>370936</v>
      </c>
      <c r="U50" s="675">
        <f>T50/K50</f>
        <v>0.2666976471492703</v>
      </c>
      <c r="V50" s="656">
        <f>SUM(V43:V49)</f>
        <v>355688.91244239628</v>
      </c>
      <c r="W50" s="687">
        <f>SUM(W43:W49)</f>
        <v>726624.41474654374</v>
      </c>
      <c r="X50" s="675">
        <f>W50/K50</f>
        <v>0.52243249987630958</v>
      </c>
      <c r="Y50" s="569">
        <f>SUM(Y43:Y49)</f>
        <v>273873.23502304149</v>
      </c>
      <c r="Z50" s="584">
        <f>SUM(Z43:Z49)</f>
        <v>1000498.0322580641</v>
      </c>
      <c r="AA50" s="620">
        <f>Z50/K50</f>
        <v>0.71934369050375391</v>
      </c>
      <c r="AB50" s="619">
        <f>SUM(AB43:AB49)</f>
        <v>213160.67281105992</v>
      </c>
      <c r="AC50" s="584">
        <f>SUM(AC43:AC49)</f>
        <v>1231691.574516129</v>
      </c>
      <c r="AD50" s="620">
        <f>AC50/K50</f>
        <v>0.88556852108458539</v>
      </c>
      <c r="AE50" s="569">
        <f>SUM(AE43:AE49)</f>
        <v>127321.50211981568</v>
      </c>
      <c r="AF50" s="584">
        <f>SUM(AF43:AF49)</f>
        <v>1352713.2</v>
      </c>
      <c r="AG50" s="729">
        <f>AF50/K50</f>
        <v>0.97258132860590596</v>
      </c>
      <c r="AH50" s="569">
        <f>SUM(AH43:AH49)</f>
        <v>27033.599078341016</v>
      </c>
      <c r="AI50" s="584">
        <f>SUM(AI43:AI49)</f>
        <v>1379746.7957142857</v>
      </c>
      <c r="AJ50" s="1002">
        <f>AI50/K50</f>
        <v>0.9920180949779609</v>
      </c>
      <c r="AK50" s="1027">
        <f>SUM(AK43:AK49)</f>
        <v>0</v>
      </c>
      <c r="AL50" s="1053">
        <f>AK50/K50</f>
        <v>0</v>
      </c>
      <c r="AM50" s="863">
        <f>SUM(AM43:AM49)</f>
        <v>11101.83</v>
      </c>
      <c r="AN50" s="739">
        <f>(M50+AM50)/K50</f>
        <v>1.0000001510201115</v>
      </c>
      <c r="AO50" s="379">
        <f>SUM(AO43:AO49)</f>
        <v>11101.619953917019</v>
      </c>
      <c r="AP50" s="1491"/>
      <c r="AQ50" s="1490"/>
      <c r="AR50" s="1488"/>
    </row>
    <row r="51" spans="1:51" s="1102" customFormat="1" ht="12.75" customHeight="1">
      <c r="A51" s="1394">
        <v>2015</v>
      </c>
      <c r="B51" s="1103" t="s">
        <v>344</v>
      </c>
      <c r="C51" s="1130" t="s">
        <v>239</v>
      </c>
      <c r="D51" s="1131">
        <v>2015</v>
      </c>
      <c r="E51" s="1131">
        <f>55</f>
        <v>55</v>
      </c>
      <c r="F51" s="1132" t="s">
        <v>12</v>
      </c>
      <c r="G51" s="1133" t="s">
        <v>132</v>
      </c>
      <c r="H51" s="1133" t="s">
        <v>365</v>
      </c>
      <c r="I51" s="1130">
        <v>6721849.5711599989</v>
      </c>
      <c r="J51" s="1134">
        <f>I51/E51</f>
        <v>122215.44674836361</v>
      </c>
      <c r="K51" s="889">
        <f t="shared" si="3"/>
        <v>234959.82488479264</v>
      </c>
      <c r="L51" s="1436">
        <v>3.4954638957242434E-2</v>
      </c>
      <c r="M51" s="1135">
        <f>254931.41/1.085</f>
        <v>234959.82488479264</v>
      </c>
      <c r="N51" s="1136">
        <f>M51/K51</f>
        <v>1</v>
      </c>
      <c r="O51" s="1137">
        <v>0</v>
      </c>
      <c r="P51" s="1135">
        <v>0</v>
      </c>
      <c r="Q51" s="1130">
        <v>0</v>
      </c>
      <c r="R51" s="1138">
        <f>Q51/K51</f>
        <v>0</v>
      </c>
      <c r="S51" s="1135">
        <v>0</v>
      </c>
      <c r="T51" s="1130">
        <v>0</v>
      </c>
      <c r="U51" s="1139">
        <f>T51/K51</f>
        <v>0</v>
      </c>
      <c r="V51" s="1135"/>
      <c r="W51" s="1130">
        <v>0</v>
      </c>
      <c r="X51" s="1139">
        <f>W51/K51</f>
        <v>0</v>
      </c>
      <c r="Y51" s="1140">
        <f>140212.27/1.085</f>
        <v>129227.89861751151</v>
      </c>
      <c r="Z51" s="1141">
        <v>129227.89861751151</v>
      </c>
      <c r="AA51" s="1142">
        <f>Z51/K51</f>
        <v>0.54999997842556936</v>
      </c>
      <c r="AB51" s="1143">
        <f>23495+12746.57/1.085+12746.57/1.085</f>
        <v>46990.981566820279</v>
      </c>
      <c r="AC51" s="1141">
        <v>176219.87096774194</v>
      </c>
      <c r="AD51" s="1142">
        <f>AC51/K51</f>
        <v>0.75000000980655934</v>
      </c>
      <c r="AE51" s="1140">
        <v>35243.99</v>
      </c>
      <c r="AF51" s="1141">
        <v>211463.95391705071</v>
      </c>
      <c r="AG51" s="1136">
        <f>AF51/K51</f>
        <v>0.90000047463747213</v>
      </c>
      <c r="AH51" s="1140">
        <f>(7647.94+17845.2)/1.085</f>
        <v>23495.981566820275</v>
      </c>
      <c r="AI51" s="1141">
        <v>234959.82488479264</v>
      </c>
      <c r="AJ51" s="1144">
        <f>AI51/K51</f>
        <v>1</v>
      </c>
      <c r="AK51" s="1145"/>
      <c r="AL51" s="1146">
        <f>AK51/K51</f>
        <v>0</v>
      </c>
      <c r="AM51" s="1147">
        <v>0</v>
      </c>
      <c r="AN51" s="1136">
        <f>(M51+AM51)/K51</f>
        <v>1</v>
      </c>
      <c r="AO51" s="1148">
        <f>K51-M51</f>
        <v>0</v>
      </c>
      <c r="AP51" s="1458"/>
      <c r="AQ51" s="750"/>
      <c r="AR51" s="1474"/>
    </row>
    <row r="52" spans="1:51" s="1" customFormat="1" ht="14.1" customHeight="1">
      <c r="A52" s="1394"/>
      <c r="B52" s="1149" t="s">
        <v>170</v>
      </c>
      <c r="C52" s="1130" t="s">
        <v>165</v>
      </c>
      <c r="D52" s="1131">
        <v>2015</v>
      </c>
      <c r="E52" s="1150">
        <v>20</v>
      </c>
      <c r="F52" s="1132" t="s">
        <v>291</v>
      </c>
      <c r="G52" s="1132" t="s">
        <v>131</v>
      </c>
      <c r="H52" s="1132"/>
      <c r="I52" s="1130">
        <v>2769317</v>
      </c>
      <c r="J52" s="1134">
        <f>I52/E52</f>
        <v>138465.85</v>
      </c>
      <c r="K52" s="889">
        <f t="shared" si="3"/>
        <v>133591</v>
      </c>
      <c r="L52" s="1436">
        <v>4.8239692314025445E-2</v>
      </c>
      <c r="M52" s="1135">
        <v>133591</v>
      </c>
      <c r="N52" s="1136">
        <f>M52/K52</f>
        <v>1</v>
      </c>
      <c r="O52" s="1137"/>
      <c r="P52" s="1135"/>
      <c r="Q52" s="1130">
        <v>0</v>
      </c>
      <c r="R52" s="1138">
        <f>Q52/K52</f>
        <v>0</v>
      </c>
      <c r="S52" s="1135">
        <v>32383</v>
      </c>
      <c r="T52" s="1130">
        <v>32383</v>
      </c>
      <c r="U52" s="1139">
        <f>T52/K52</f>
        <v>0.24240405416532551</v>
      </c>
      <c r="V52" s="1135">
        <f>13828+19512</f>
        <v>33340</v>
      </c>
      <c r="W52" s="1130">
        <v>65723</v>
      </c>
      <c r="X52" s="1139">
        <f>W52/K52</f>
        <v>0.49197176456497815</v>
      </c>
      <c r="Y52" s="1140">
        <v>19717</v>
      </c>
      <c r="Z52" s="1141">
        <v>85440</v>
      </c>
      <c r="AA52" s="1142">
        <f>Z52/K52</f>
        <v>0.63956404248789211</v>
      </c>
      <c r="AB52" s="1143">
        <f>6573+13144</f>
        <v>19717</v>
      </c>
      <c r="AC52" s="1141">
        <v>105157</v>
      </c>
      <c r="AD52" s="1142">
        <f>AC52/K52</f>
        <v>0.78715632041080608</v>
      </c>
      <c r="AE52" s="1140">
        <v>19717</v>
      </c>
      <c r="AF52" s="1141">
        <v>124874</v>
      </c>
      <c r="AG52" s="1136">
        <f>AF52/K52</f>
        <v>0.93474859833372004</v>
      </c>
      <c r="AH52" s="1140">
        <v>8717</v>
      </c>
      <c r="AI52" s="1141">
        <v>133591</v>
      </c>
      <c r="AJ52" s="1144">
        <f>AI52/K52</f>
        <v>1</v>
      </c>
      <c r="AK52" s="1145"/>
      <c r="AL52" s="1146">
        <f>AK52/K52</f>
        <v>0</v>
      </c>
      <c r="AM52" s="1147">
        <v>0</v>
      </c>
      <c r="AN52" s="1136">
        <f>(M52+AM52)/K52</f>
        <v>1</v>
      </c>
      <c r="AO52" s="1148">
        <f>K52-M52</f>
        <v>0</v>
      </c>
      <c r="AP52" s="1458"/>
      <c r="AQ52" s="750"/>
      <c r="AR52" s="1474"/>
      <c r="AX52" s="541"/>
      <c r="AY52" s="541"/>
    </row>
    <row r="53" spans="1:51" s="1173" customFormat="1" ht="12.75" customHeight="1">
      <c r="A53" s="1394"/>
      <c r="B53" s="1151" t="s">
        <v>164</v>
      </c>
      <c r="C53" s="1152" t="s">
        <v>178</v>
      </c>
      <c r="D53" s="1153">
        <v>2015</v>
      </c>
      <c r="E53" s="1154">
        <v>89</v>
      </c>
      <c r="F53" s="1155" t="s">
        <v>103</v>
      </c>
      <c r="G53" s="1155" t="s">
        <v>136</v>
      </c>
      <c r="H53" s="1155"/>
      <c r="I53" s="1156">
        <v>14421908.862042284</v>
      </c>
      <c r="J53" s="1157">
        <f>I53/E53</f>
        <v>162043.9197982279</v>
      </c>
      <c r="K53" s="459">
        <f t="shared" si="3"/>
        <v>721095.44310211425</v>
      </c>
      <c r="L53" s="1437">
        <v>0.05</v>
      </c>
      <c r="M53" s="1158">
        <v>575720</v>
      </c>
      <c r="N53" s="1159">
        <f>M53/K53</f>
        <v>0.79839639191628109</v>
      </c>
      <c r="O53" s="1160"/>
      <c r="P53" s="1158"/>
      <c r="Q53" s="1161">
        <v>0</v>
      </c>
      <c r="R53" s="1162">
        <f>Q53/K53</f>
        <v>0</v>
      </c>
      <c r="S53" s="1158">
        <v>173980</v>
      </c>
      <c r="T53" s="1161">
        <v>173980</v>
      </c>
      <c r="U53" s="1163">
        <f>T53/K53</f>
        <v>0.24127180620022681</v>
      </c>
      <c r="V53" s="1158">
        <f>65293+103472</f>
        <v>168765</v>
      </c>
      <c r="W53" s="1161">
        <v>342745</v>
      </c>
      <c r="X53" s="1163">
        <f>W53/K53</f>
        <v>0.47531156004194014</v>
      </c>
      <c r="Y53" s="1164"/>
      <c r="Z53" s="1165">
        <v>342745</v>
      </c>
      <c r="AA53" s="1166">
        <f>Z53/K53</f>
        <v>0.47531156004194014</v>
      </c>
      <c r="AB53" s="1167">
        <v>68549</v>
      </c>
      <c r="AC53" s="1165">
        <v>411294</v>
      </c>
      <c r="AD53" s="1166">
        <f>AC53/K53</f>
        <v>0.57037387205032819</v>
      </c>
      <c r="AE53" s="1164">
        <f>34275+34275</f>
        <v>68550</v>
      </c>
      <c r="AF53" s="1165">
        <f>445569+34275</f>
        <v>479844</v>
      </c>
      <c r="AG53" s="1159">
        <f>AF53/K53</f>
        <v>0.66543757083769195</v>
      </c>
      <c r="AH53" s="1164">
        <f>32010+33866</f>
        <v>65876</v>
      </c>
      <c r="AI53" s="1165">
        <v>575720</v>
      </c>
      <c r="AJ53" s="1168">
        <f>AI53/K53</f>
        <v>0.79839639191628109</v>
      </c>
      <c r="AK53" s="1169"/>
      <c r="AL53" s="1170">
        <f>AK53/K53</f>
        <v>0</v>
      </c>
      <c r="AM53" s="1171">
        <f>10%*K53</f>
        <v>72109.544310211422</v>
      </c>
      <c r="AN53" s="1159">
        <f>(M53+AM53)/K53</f>
        <v>0.89839639191628118</v>
      </c>
      <c r="AO53" s="1172">
        <f>K53-M53</f>
        <v>145375.44310211425</v>
      </c>
      <c r="AP53" s="1460" t="s">
        <v>203</v>
      </c>
      <c r="AQ53" s="752"/>
      <c r="AR53" s="1474"/>
      <c r="AX53" s="1174"/>
      <c r="AY53" s="1174"/>
    </row>
    <row r="54" spans="1:51" s="1" customFormat="1" ht="14.1" customHeight="1">
      <c r="A54" s="1394"/>
      <c r="B54" s="1175" t="s">
        <v>228</v>
      </c>
      <c r="C54" s="1161" t="s">
        <v>121</v>
      </c>
      <c r="D54" s="1153">
        <v>2015</v>
      </c>
      <c r="E54" s="1154">
        <v>58</v>
      </c>
      <c r="F54" s="1155" t="s">
        <v>321</v>
      </c>
      <c r="G54" s="1155" t="s">
        <v>132</v>
      </c>
      <c r="H54" s="1155"/>
      <c r="I54" s="1152">
        <v>9516142</v>
      </c>
      <c r="J54" s="1157">
        <f>I54/E54</f>
        <v>164071.41379310345</v>
      </c>
      <c r="K54" s="459">
        <f t="shared" si="3"/>
        <v>475807.10000000003</v>
      </c>
      <c r="L54" s="1437">
        <v>0.05</v>
      </c>
      <c r="M54" s="1176">
        <v>452017</v>
      </c>
      <c r="N54" s="1177">
        <f>M54/K54</f>
        <v>0.95000053593147304</v>
      </c>
      <c r="O54" s="1178">
        <v>41000</v>
      </c>
      <c r="P54" s="1176">
        <v>0</v>
      </c>
      <c r="Q54" s="1156">
        <v>41000</v>
      </c>
      <c r="R54" s="1179">
        <f>Q54/K54</f>
        <v>8.6169374101395288E-2</v>
      </c>
      <c r="S54" s="1176">
        <v>0</v>
      </c>
      <c r="T54" s="1156">
        <v>41000</v>
      </c>
      <c r="U54" s="1180">
        <f>T54/K54</f>
        <v>8.6169374101395288E-2</v>
      </c>
      <c r="V54" s="1158">
        <f>81523+46614+72488</f>
        <v>200625</v>
      </c>
      <c r="W54" s="1161">
        <v>241625</v>
      </c>
      <c r="X54" s="1180">
        <f>W54/K54</f>
        <v>0.50782134188413741</v>
      </c>
      <c r="Y54" s="1181">
        <v>18438</v>
      </c>
      <c r="Z54" s="1182">
        <v>260063</v>
      </c>
      <c r="AA54" s="1183">
        <f>Z54/K54</f>
        <v>0.54657233992515031</v>
      </c>
      <c r="AB54" s="1184">
        <f>47284+21278</f>
        <v>68562</v>
      </c>
      <c r="AC54" s="1182">
        <v>328625</v>
      </c>
      <c r="AD54" s="1183">
        <f>AC54/K54</f>
        <v>0.69066855034319574</v>
      </c>
      <c r="AE54" s="1181">
        <v>113876</v>
      </c>
      <c r="AF54" s="1182">
        <v>442501</v>
      </c>
      <c r="AG54" s="1177">
        <f>AF54/K54</f>
        <v>0.9300008343717443</v>
      </c>
      <c r="AH54" s="1181">
        <v>9516</v>
      </c>
      <c r="AI54" s="1182">
        <v>452017</v>
      </c>
      <c r="AJ54" s="1185">
        <f>AI54/K54</f>
        <v>0.95000053593147304</v>
      </c>
      <c r="AK54" s="1186"/>
      <c r="AL54" s="1187">
        <f>AK54/K54</f>
        <v>0</v>
      </c>
      <c r="AM54" s="1171">
        <v>23790.1</v>
      </c>
      <c r="AN54" s="1159">
        <f>(M54+AM54)/K54</f>
        <v>0.99999999999999989</v>
      </c>
      <c r="AO54" s="1172">
        <f>K54-M54</f>
        <v>23790.100000000035</v>
      </c>
      <c r="AP54" s="1460" t="s">
        <v>333</v>
      </c>
      <c r="AQ54" s="752"/>
      <c r="AR54" s="1474"/>
      <c r="AX54" s="541"/>
      <c r="AY54" s="541"/>
    </row>
    <row r="55" spans="1:51" s="1" customFormat="1" ht="14.1" customHeight="1">
      <c r="A55" s="1394"/>
      <c r="B55" s="1149" t="s">
        <v>168</v>
      </c>
      <c r="C55" s="1130" t="s">
        <v>182</v>
      </c>
      <c r="D55" s="1131">
        <v>2015</v>
      </c>
      <c r="E55" s="1150">
        <v>18</v>
      </c>
      <c r="F55" s="1132" t="s">
        <v>103</v>
      </c>
      <c r="G55" s="1132" t="s">
        <v>131</v>
      </c>
      <c r="H55" s="1132"/>
      <c r="I55" s="1130">
        <v>3300596</v>
      </c>
      <c r="J55" s="1134">
        <f>I55/E55</f>
        <v>183366.44444444444</v>
      </c>
      <c r="K55" s="889">
        <f t="shared" si="3"/>
        <v>165030</v>
      </c>
      <c r="L55" s="1436">
        <v>5.000006059511676E-2</v>
      </c>
      <c r="M55" s="1135">
        <v>165030</v>
      </c>
      <c r="N55" s="1136">
        <f>M55/K55</f>
        <v>1</v>
      </c>
      <c r="O55" s="1137"/>
      <c r="P55" s="1135"/>
      <c r="Q55" s="1130">
        <v>0</v>
      </c>
      <c r="R55" s="1138">
        <f>Q55/K55</f>
        <v>0</v>
      </c>
      <c r="S55" s="1135">
        <v>48713</v>
      </c>
      <c r="T55" s="1130">
        <v>48713</v>
      </c>
      <c r="U55" s="1139">
        <f>T55/K55</f>
        <v>0.29517663455129373</v>
      </c>
      <c r="V55" s="1135">
        <f>10005+25161</f>
        <v>35166</v>
      </c>
      <c r="W55" s="1130">
        <v>83879</v>
      </c>
      <c r="X55" s="1139">
        <f>W55/K55</f>
        <v>0.5082651639095922</v>
      </c>
      <c r="Y55" s="1140">
        <v>25164</v>
      </c>
      <c r="Z55" s="1141">
        <v>109043</v>
      </c>
      <c r="AA55" s="1142">
        <f>Z55/K55</f>
        <v>0.66074653093376967</v>
      </c>
      <c r="AB55" s="1143">
        <f>8388+16776</f>
        <v>25164</v>
      </c>
      <c r="AC55" s="1141">
        <v>134207</v>
      </c>
      <c r="AD55" s="1142">
        <f>AC55/K55</f>
        <v>0.81322789795794703</v>
      </c>
      <c r="AE55" s="1140">
        <f>21809+3355</f>
        <v>25164</v>
      </c>
      <c r="AF55" s="1141">
        <f>156016+3355</f>
        <v>159371</v>
      </c>
      <c r="AG55" s="1136">
        <f>AF55/K55</f>
        <v>0.9657092649821245</v>
      </c>
      <c r="AH55" s="1140">
        <v>5659</v>
      </c>
      <c r="AI55" s="1141">
        <v>165030</v>
      </c>
      <c r="AJ55" s="1144">
        <f>AI55/K55</f>
        <v>1</v>
      </c>
      <c r="AK55" s="1145"/>
      <c r="AL55" s="1146">
        <f>AK55/K55</f>
        <v>0</v>
      </c>
      <c r="AM55" s="1147">
        <v>0</v>
      </c>
      <c r="AN55" s="1136">
        <f>(M55+AM55)/K55</f>
        <v>1</v>
      </c>
      <c r="AO55" s="1148">
        <f>K55-M55</f>
        <v>0</v>
      </c>
      <c r="AP55" s="1458"/>
      <c r="AQ55" s="750"/>
      <c r="AR55" s="1474"/>
      <c r="AX55" s="541"/>
      <c r="AY55" s="541"/>
    </row>
    <row r="56" spans="1:51" s="1" customFormat="1" ht="14.1" customHeight="1">
      <c r="A56" s="1394"/>
      <c r="B56" s="1149" t="s">
        <v>274</v>
      </c>
      <c r="C56" s="1130" t="s">
        <v>183</v>
      </c>
      <c r="D56" s="1131">
        <v>2015</v>
      </c>
      <c r="E56" s="1150">
        <v>18</v>
      </c>
      <c r="F56" s="1132" t="s">
        <v>7</v>
      </c>
      <c r="G56" s="1132" t="s">
        <v>132</v>
      </c>
      <c r="H56" s="1132"/>
      <c r="I56" s="1130">
        <v>2921136</v>
      </c>
      <c r="J56" s="1134">
        <f>I56/E56</f>
        <v>162285.33333333334</v>
      </c>
      <c r="K56" s="889">
        <f t="shared" si="3"/>
        <v>144975</v>
      </c>
      <c r="L56" s="1436">
        <v>4.9629664623625877E-2</v>
      </c>
      <c r="M56" s="1135">
        <v>144975</v>
      </c>
      <c r="N56" s="1136">
        <f>M56/K56</f>
        <v>1</v>
      </c>
      <c r="O56" s="1137">
        <v>0</v>
      </c>
      <c r="P56" s="1135">
        <v>0</v>
      </c>
      <c r="Q56" s="1130">
        <v>0</v>
      </c>
      <c r="R56" s="1138">
        <f>Q56/K56</f>
        <v>0</v>
      </c>
      <c r="S56" s="1135">
        <v>36305</v>
      </c>
      <c r="T56" s="1130">
        <v>36305</v>
      </c>
      <c r="U56" s="1139">
        <f>T56/K56</f>
        <v>0.25042248663562683</v>
      </c>
      <c r="V56" s="1135">
        <f>13917+21557</f>
        <v>35474</v>
      </c>
      <c r="W56" s="1130">
        <v>71779</v>
      </c>
      <c r="X56" s="1139">
        <f>W56/K56</f>
        <v>0.4951129505087084</v>
      </c>
      <c r="Y56" s="1140"/>
      <c r="Z56" s="1141">
        <v>71779</v>
      </c>
      <c r="AA56" s="1142">
        <f>Z56/K56</f>
        <v>0.4951129505087084</v>
      </c>
      <c r="AB56" s="1143">
        <f>7178+14356</f>
        <v>21534</v>
      </c>
      <c r="AC56" s="1141">
        <v>93313</v>
      </c>
      <c r="AD56" s="1142">
        <f>AC56/K56</f>
        <v>0.64364890498361782</v>
      </c>
      <c r="AE56" s="1140">
        <f>7178+7177+7177.9+14639</f>
        <v>36171.9</v>
      </c>
      <c r="AF56" s="1141">
        <v>122307</v>
      </c>
      <c r="AG56" s="1136">
        <f>AF56/K56</f>
        <v>0.84364200724262806</v>
      </c>
      <c r="AH56" s="1140">
        <f>7308+4942+2889+7529</f>
        <v>22668</v>
      </c>
      <c r="AI56" s="1141">
        <v>144975</v>
      </c>
      <c r="AJ56" s="1144">
        <f>AI56/K56</f>
        <v>1</v>
      </c>
      <c r="AK56" s="1145"/>
      <c r="AL56" s="1146">
        <f>AK56/K56</f>
        <v>0</v>
      </c>
      <c r="AM56" s="1147">
        <v>0</v>
      </c>
      <c r="AN56" s="1136">
        <f>(M56+AM56)/K56</f>
        <v>1</v>
      </c>
      <c r="AO56" s="1148">
        <f>K56-M56</f>
        <v>0</v>
      </c>
      <c r="AP56" s="1458"/>
      <c r="AQ56" s="750"/>
      <c r="AR56" s="1474"/>
      <c r="AX56" s="541"/>
      <c r="AY56" s="541"/>
    </row>
    <row r="57" spans="1:51" s="1" customFormat="1" ht="14.1" customHeight="1">
      <c r="A57" s="1394"/>
      <c r="B57" s="1175" t="s">
        <v>331</v>
      </c>
      <c r="C57" s="1161" t="s">
        <v>171</v>
      </c>
      <c r="D57" s="1153">
        <v>2015</v>
      </c>
      <c r="E57" s="1154"/>
      <c r="F57" s="1155" t="s">
        <v>12</v>
      </c>
      <c r="G57" s="1155" t="s">
        <v>132</v>
      </c>
      <c r="H57" s="1155"/>
      <c r="I57" s="1152">
        <v>189107</v>
      </c>
      <c r="J57" s="1157"/>
      <c r="K57" s="459">
        <f t="shared" si="3"/>
        <v>3781.9999999999995</v>
      </c>
      <c r="L57" s="1437">
        <v>1.9999259678383136E-2</v>
      </c>
      <c r="M57" s="1176">
        <v>3782</v>
      </c>
      <c r="N57" s="1177">
        <f>M57/K57</f>
        <v>1.0000000000000002</v>
      </c>
      <c r="O57" s="1178"/>
      <c r="P57" s="1176"/>
      <c r="Q57" s="1156">
        <v>0</v>
      </c>
      <c r="R57" s="1179">
        <f>Q57/K57</f>
        <v>0</v>
      </c>
      <c r="S57" s="1176">
        <v>0</v>
      </c>
      <c r="T57" s="1156">
        <v>0</v>
      </c>
      <c r="U57" s="1180">
        <f>T57/K57</f>
        <v>0</v>
      </c>
      <c r="V57" s="1158">
        <v>0</v>
      </c>
      <c r="W57" s="1161">
        <v>0</v>
      </c>
      <c r="X57" s="1180">
        <f>W57/K57</f>
        <v>0</v>
      </c>
      <c r="Y57" s="1181">
        <v>0</v>
      </c>
      <c r="Z57" s="1182">
        <v>0</v>
      </c>
      <c r="AA57" s="1183">
        <f>Z57/K57</f>
        <v>0</v>
      </c>
      <c r="AB57" s="1184"/>
      <c r="AC57" s="1182">
        <v>0</v>
      </c>
      <c r="AD57" s="1183">
        <f>AC57/K57</f>
        <v>0</v>
      </c>
      <c r="AE57" s="1181">
        <v>0</v>
      </c>
      <c r="AF57" s="1182">
        <v>0</v>
      </c>
      <c r="AG57" s="1177">
        <f>AF57/K57</f>
        <v>0</v>
      </c>
      <c r="AH57" s="1181">
        <v>0</v>
      </c>
      <c r="AI57" s="1182">
        <v>0</v>
      </c>
      <c r="AJ57" s="1185">
        <f>AI57/K57</f>
        <v>0</v>
      </c>
      <c r="AK57" s="1186">
        <v>3782</v>
      </c>
      <c r="AL57" s="1187">
        <f>AK57/K57</f>
        <v>1.0000000000000002</v>
      </c>
      <c r="AM57" s="1171">
        <v>0</v>
      </c>
      <c r="AN57" s="1159">
        <f>(M57+AM57)/K57</f>
        <v>1.0000000000000002</v>
      </c>
      <c r="AO57" s="1172">
        <f>K57-M57</f>
        <v>0</v>
      </c>
      <c r="AP57" s="1460" t="s">
        <v>320</v>
      </c>
      <c r="AQ57" s="752" t="s">
        <v>320</v>
      </c>
      <c r="AR57" s="1474"/>
      <c r="AX57" s="541"/>
      <c r="AY57" s="541"/>
    </row>
    <row r="58" spans="1:51" s="1" customFormat="1" ht="14.1" customHeight="1" thickBot="1">
      <c r="A58" s="1394"/>
      <c r="B58" s="1175" t="s">
        <v>169</v>
      </c>
      <c r="C58" s="1161" t="s">
        <v>171</v>
      </c>
      <c r="D58" s="1153">
        <v>2015</v>
      </c>
      <c r="E58" s="1154">
        <v>19</v>
      </c>
      <c r="F58" s="1155" t="s">
        <v>12</v>
      </c>
      <c r="G58" s="1155" t="s">
        <v>132</v>
      </c>
      <c r="H58" s="1155"/>
      <c r="I58" s="1152">
        <v>2745833</v>
      </c>
      <c r="J58" s="1157">
        <v>144186</v>
      </c>
      <c r="K58" s="459">
        <f t="shared" si="3"/>
        <v>137292</v>
      </c>
      <c r="L58" s="1437">
        <v>5.0000127465872832E-2</v>
      </c>
      <c r="M58" s="1176">
        <v>137292</v>
      </c>
      <c r="N58" s="1177">
        <f>M58/K58</f>
        <v>1</v>
      </c>
      <c r="O58" s="1178"/>
      <c r="P58" s="1176"/>
      <c r="Q58" s="1156">
        <v>0</v>
      </c>
      <c r="R58" s="1179">
        <f>Q58/K58</f>
        <v>0</v>
      </c>
      <c r="S58" s="1176">
        <v>13467</v>
      </c>
      <c r="T58" s="1156">
        <v>13467</v>
      </c>
      <c r="U58" s="1180">
        <f>T58/K58</f>
        <v>9.8090201905427846E-2</v>
      </c>
      <c r="V58" s="1158">
        <f>4987+14412+13125</f>
        <v>32524</v>
      </c>
      <c r="W58" s="1161">
        <v>45991</v>
      </c>
      <c r="X58" s="1180">
        <f>W58/K58</f>
        <v>0.33498674358302011</v>
      </c>
      <c r="Y58" s="1181">
        <f>26102+18387</f>
        <v>44489</v>
      </c>
      <c r="Z58" s="1182">
        <v>90480</v>
      </c>
      <c r="AA58" s="1183">
        <f>Z58/K58</f>
        <v>0.65903330128485271</v>
      </c>
      <c r="AB58" s="1184"/>
      <c r="AC58" s="1182">
        <v>90480</v>
      </c>
      <c r="AD58" s="1183">
        <f>AC58/K58</f>
        <v>0.65903330128485271</v>
      </c>
      <c r="AE58" s="1181">
        <f>7055+7119+20930+505</f>
        <v>35609</v>
      </c>
      <c r="AF58" s="1182">
        <v>126089</v>
      </c>
      <c r="AG58" s="1177">
        <f>AF58/K58</f>
        <v>0.9184001981178801</v>
      </c>
      <c r="AH58" s="1181">
        <v>4642</v>
      </c>
      <c r="AI58" s="1182">
        <v>130731</v>
      </c>
      <c r="AJ58" s="1185">
        <f>AI58/K58</f>
        <v>0.95221134516213612</v>
      </c>
      <c r="AK58" s="1186">
        <v>6561</v>
      </c>
      <c r="AL58" s="1187">
        <f>AK58/K58</f>
        <v>4.778865483786382E-2</v>
      </c>
      <c r="AM58" s="1171">
        <v>0</v>
      </c>
      <c r="AN58" s="1159">
        <f>(M58+AM58)/K58</f>
        <v>1</v>
      </c>
      <c r="AO58" s="1172">
        <f>K58-M58</f>
        <v>0</v>
      </c>
      <c r="AP58" s="1460" t="s">
        <v>320</v>
      </c>
      <c r="AQ58" s="752" t="s">
        <v>320</v>
      </c>
      <c r="AR58" s="1474"/>
      <c r="AX58" s="541"/>
      <c r="AY58" s="541"/>
    </row>
    <row r="59" spans="1:51" s="107" customFormat="1" ht="12.75" customHeight="1" thickBot="1">
      <c r="A59" s="161"/>
      <c r="B59" s="159"/>
      <c r="C59" s="104"/>
      <c r="D59" s="106">
        <f>COUNTA(D51:D58)</f>
        <v>8</v>
      </c>
      <c r="E59" s="106">
        <f>SUM(E51:E58)</f>
        <v>277</v>
      </c>
      <c r="F59" s="160"/>
      <c r="G59" s="160"/>
      <c r="H59" s="160"/>
      <c r="I59" s="105">
        <f>SUM(I51:I58)</f>
        <v>42585889.433202282</v>
      </c>
      <c r="J59" s="431"/>
      <c r="K59" s="442">
        <f>SUM(K51:K58)</f>
        <v>2016532.367986907</v>
      </c>
      <c r="L59" s="1429"/>
      <c r="M59" s="657">
        <f>SUM(M51:M58)</f>
        <v>1847366.8248847928</v>
      </c>
      <c r="N59" s="730">
        <f>M59/K59</f>
        <v>0.91611067306051164</v>
      </c>
      <c r="O59" s="412">
        <f>SUM(O51:O58)</f>
        <v>41000</v>
      </c>
      <c r="P59" s="657">
        <f>SUM(P51:P58)</f>
        <v>0</v>
      </c>
      <c r="Q59" s="688">
        <f>SUM(Q51:Q58)</f>
        <v>41000</v>
      </c>
      <c r="R59" s="722">
        <f>Q59/K59</f>
        <v>2.033193250497143E-2</v>
      </c>
      <c r="S59" s="657">
        <f>SUM(S51:S58)</f>
        <v>304848</v>
      </c>
      <c r="T59" s="688">
        <f>SUM(T51:T58)</f>
        <v>345848</v>
      </c>
      <c r="U59" s="676">
        <f>T59/K59</f>
        <v>0.17150629738974044</v>
      </c>
      <c r="V59" s="657">
        <f>SUM(V51:V58)</f>
        <v>505894</v>
      </c>
      <c r="W59" s="688">
        <f>SUM(W51:W58)</f>
        <v>851742</v>
      </c>
      <c r="X59" s="676">
        <f>W59/K59</f>
        <v>0.4223795330646189</v>
      </c>
      <c r="Y59" s="570">
        <f>SUM(Y51:Y58)</f>
        <v>237035.8986175115</v>
      </c>
      <c r="Z59" s="585">
        <f>SUM(Z51:Z58)</f>
        <v>1088777.8986175116</v>
      </c>
      <c r="AA59" s="622">
        <f>Z59/K59</f>
        <v>0.53992582311209436</v>
      </c>
      <c r="AB59" s="621">
        <f>SUM(AB51:AB58)</f>
        <v>250516.98156682029</v>
      </c>
      <c r="AC59" s="585">
        <f>SUM(AC51:AC58)</f>
        <v>1339295.8709677421</v>
      </c>
      <c r="AD59" s="622">
        <f>AC59/K59</f>
        <v>0.66415788421226962</v>
      </c>
      <c r="AE59" s="570">
        <f>SUM(AE51:AE58)</f>
        <v>334331.89</v>
      </c>
      <c r="AF59" s="585">
        <f>SUM(AF51:AF58)</f>
        <v>1666449.9539170507</v>
      </c>
      <c r="AG59" s="730">
        <f>AF59/K59</f>
        <v>0.82639385331595661</v>
      </c>
      <c r="AH59" s="570">
        <f>SUM(AH51:AH58)</f>
        <v>140573.98156682029</v>
      </c>
      <c r="AI59" s="585">
        <f>SUM(AI51:AI58)</f>
        <v>1837023.8248847928</v>
      </c>
      <c r="AJ59" s="1003">
        <f>AI59/K59</f>
        <v>0.91098157116053802</v>
      </c>
      <c r="AK59" s="1028">
        <f>SUM(AK51:AK58)</f>
        <v>10343</v>
      </c>
      <c r="AL59" s="1054">
        <f>AK59/K59</f>
        <v>5.1291018999736456E-3</v>
      </c>
      <c r="AM59" s="864">
        <f>SUM(AM51:AM58)</f>
        <v>95899.644310211414</v>
      </c>
      <c r="AN59" s="740">
        <f>(M59+AM59)/K59</f>
        <v>0.96366738270358443</v>
      </c>
      <c r="AO59" s="380">
        <f>SUM(AO51:AO58)</f>
        <v>169165.54310211429</v>
      </c>
      <c r="AP59" s="1484"/>
      <c r="AQ59" s="1483"/>
      <c r="AR59" s="1489"/>
      <c r="AX59" s="539"/>
      <c r="AY59" s="539"/>
    </row>
    <row r="60" spans="1:51" s="1211" customFormat="1" ht="14.1" customHeight="1">
      <c r="A60" s="1395">
        <v>2016</v>
      </c>
      <c r="B60" s="1188" t="s">
        <v>120</v>
      </c>
      <c r="C60" s="1189" t="s">
        <v>61</v>
      </c>
      <c r="D60" s="1190">
        <v>2016</v>
      </c>
      <c r="E60" s="1191">
        <v>30</v>
      </c>
      <c r="F60" s="1192" t="s">
        <v>104</v>
      </c>
      <c r="G60" s="1192" t="s">
        <v>139</v>
      </c>
      <c r="H60" s="1192"/>
      <c r="I60" s="1193">
        <v>3355432.8114425917</v>
      </c>
      <c r="J60" s="1194">
        <f>I60/E60</f>
        <v>111847.76038141972</v>
      </c>
      <c r="K60" s="1073">
        <f t="shared" si="3"/>
        <v>100662.98434327774</v>
      </c>
      <c r="L60" s="1438">
        <v>2.9999999999999995E-2</v>
      </c>
      <c r="M60" s="1195">
        <v>118215</v>
      </c>
      <c r="N60" s="1196">
        <f>M60/K60</f>
        <v>1.1743641495553809</v>
      </c>
      <c r="O60" s="1197">
        <v>25155</v>
      </c>
      <c r="P60" s="1195">
        <v>0</v>
      </c>
      <c r="Q60" s="1198">
        <v>83195</v>
      </c>
      <c r="R60" s="1199">
        <f>Q60/K60</f>
        <v>0.82647062912709823</v>
      </c>
      <c r="S60" s="1195"/>
      <c r="T60" s="1198">
        <v>83195</v>
      </c>
      <c r="U60" s="1200">
        <f>T60/K60</f>
        <v>0.82647062912709823</v>
      </c>
      <c r="V60" s="1195"/>
      <c r="W60" s="1198">
        <v>83195</v>
      </c>
      <c r="X60" s="1200">
        <f>W60/K60</f>
        <v>0.82647062912709823</v>
      </c>
      <c r="Y60" s="1201">
        <v>35020</v>
      </c>
      <c r="Z60" s="1202">
        <v>118215</v>
      </c>
      <c r="AA60" s="1203">
        <f>Z60/K60</f>
        <v>1.1743641495553809</v>
      </c>
      <c r="AB60" s="1204">
        <v>0</v>
      </c>
      <c r="AC60" s="1202">
        <v>118215</v>
      </c>
      <c r="AD60" s="1203">
        <f>AC60/K60</f>
        <v>1.1743641495553809</v>
      </c>
      <c r="AE60" s="1201"/>
      <c r="AF60" s="1202">
        <v>118215</v>
      </c>
      <c r="AG60" s="1196">
        <f>AF60/K60</f>
        <v>1.1743641495553809</v>
      </c>
      <c r="AH60" s="1201"/>
      <c r="AI60" s="1202">
        <v>118215</v>
      </c>
      <c r="AJ60" s="1205">
        <f>AI60/K60</f>
        <v>1.1743641495553809</v>
      </c>
      <c r="AK60" s="1206"/>
      <c r="AL60" s="1207">
        <f>AK60/K60</f>
        <v>0</v>
      </c>
      <c r="AM60" s="1208">
        <f>0%*K60</f>
        <v>0</v>
      </c>
      <c r="AN60" s="1209">
        <f>(M60+AM60)/K60</f>
        <v>1.1743641495553809</v>
      </c>
      <c r="AO60" s="1210">
        <f>K60-M60</f>
        <v>-17552.015656722258</v>
      </c>
      <c r="AP60" s="1461" t="s">
        <v>345</v>
      </c>
      <c r="AQ60" s="752"/>
      <c r="AR60" s="1475"/>
      <c r="AX60" s="541"/>
      <c r="AY60" s="1212"/>
    </row>
    <row r="61" spans="1:51" s="1211" customFormat="1" ht="14.1" customHeight="1">
      <c r="A61" s="1395"/>
      <c r="B61" s="1213" t="s">
        <v>225</v>
      </c>
      <c r="C61" s="1214" t="s">
        <v>191</v>
      </c>
      <c r="D61" s="1215">
        <v>2016</v>
      </c>
      <c r="E61" s="1216">
        <v>30</v>
      </c>
      <c r="F61" s="1217" t="s">
        <v>291</v>
      </c>
      <c r="G61" s="1217" t="s">
        <v>131</v>
      </c>
      <c r="H61" s="1217"/>
      <c r="I61" s="1214">
        <v>5013752</v>
      </c>
      <c r="J61" s="1218">
        <f>I61/E61</f>
        <v>167125.06666666668</v>
      </c>
      <c r="K61" s="805">
        <f t="shared" si="3"/>
        <v>250687.99999999997</v>
      </c>
      <c r="L61" s="1439">
        <v>5.0000079780571513E-2</v>
      </c>
      <c r="M61" s="1219">
        <v>250688</v>
      </c>
      <c r="N61" s="1220">
        <f>M61/K61</f>
        <v>1.0000000000000002</v>
      </c>
      <c r="O61" s="1221">
        <v>0</v>
      </c>
      <c r="P61" s="1219">
        <v>0</v>
      </c>
      <c r="Q61" s="1214"/>
      <c r="R61" s="1222">
        <f>Q61/K61</f>
        <v>0</v>
      </c>
      <c r="S61" s="1219">
        <v>125141</v>
      </c>
      <c r="T61" s="1214">
        <v>125141</v>
      </c>
      <c r="U61" s="1223">
        <f>T61/K61</f>
        <v>0.49919022849119232</v>
      </c>
      <c r="V61" s="1219"/>
      <c r="W61" s="1214">
        <v>125141</v>
      </c>
      <c r="X61" s="1223">
        <f>W61/K61</f>
        <v>0.49919022849119232</v>
      </c>
      <c r="Y61" s="1224">
        <v>39100</v>
      </c>
      <c r="Z61" s="1225">
        <v>164241</v>
      </c>
      <c r="AA61" s="1226">
        <f>Z61/K61</f>
        <v>0.65516099693643104</v>
      </c>
      <c r="AB61" s="1227">
        <f>12636+12634+8423</f>
        <v>33693</v>
      </c>
      <c r="AC61" s="1225">
        <v>197933</v>
      </c>
      <c r="AD61" s="1226">
        <f>AC61/K61</f>
        <v>0.78955913326525407</v>
      </c>
      <c r="AE61" s="1224">
        <f>8422+8423+12634+7892+4624</f>
        <v>41995</v>
      </c>
      <c r="AF61" s="1225">
        <f>235305+4624</f>
        <v>239929</v>
      </c>
      <c r="AG61" s="1220">
        <f>AF61/K61</f>
        <v>0.95708211003318877</v>
      </c>
      <c r="AH61" s="1224">
        <v>-2012.13</v>
      </c>
      <c r="AI61" s="1225">
        <v>250688</v>
      </c>
      <c r="AJ61" s="1228">
        <f>AI61/K61</f>
        <v>1.0000000000000002</v>
      </c>
      <c r="AK61" s="1229"/>
      <c r="AL61" s="1230">
        <f>AK61/K61</f>
        <v>0</v>
      </c>
      <c r="AM61" s="1231">
        <v>0</v>
      </c>
      <c r="AN61" s="1220">
        <f>(M61+AM61)/K61</f>
        <v>1.0000000000000002</v>
      </c>
      <c r="AO61" s="1232">
        <f>K61-M61</f>
        <v>0</v>
      </c>
      <c r="AP61" s="1462"/>
      <c r="AQ61" s="1233"/>
      <c r="AR61" s="1475"/>
      <c r="AX61" s="1212"/>
      <c r="AY61" s="1212"/>
    </row>
    <row r="62" spans="1:51" s="1211" customFormat="1" ht="14.1" customHeight="1">
      <c r="A62" s="1395"/>
      <c r="B62" s="1213" t="s">
        <v>227</v>
      </c>
      <c r="C62" s="1214" t="s">
        <v>191</v>
      </c>
      <c r="D62" s="1215"/>
      <c r="E62" s="1216"/>
      <c r="F62" s="1217"/>
      <c r="G62" s="1217"/>
      <c r="H62" s="1217"/>
      <c r="I62" s="1214">
        <v>178262</v>
      </c>
      <c r="J62" s="1218"/>
      <c r="K62" s="805">
        <f t="shared" si="3"/>
        <v>12478.000000000002</v>
      </c>
      <c r="L62" s="1439">
        <v>6.9998092695021941E-2</v>
      </c>
      <c r="M62" s="1219">
        <v>12478</v>
      </c>
      <c r="N62" s="1220">
        <f>M62/K62</f>
        <v>0.99999999999999989</v>
      </c>
      <c r="O62" s="1221">
        <v>0</v>
      </c>
      <c r="P62" s="1219">
        <v>0</v>
      </c>
      <c r="Q62" s="1214"/>
      <c r="R62" s="1222">
        <f>Q62/K62</f>
        <v>0</v>
      </c>
      <c r="S62" s="1219">
        <v>6374</v>
      </c>
      <c r="T62" s="1214">
        <v>6374</v>
      </c>
      <c r="U62" s="1223">
        <f>T62/K62</f>
        <v>0.5108190415130629</v>
      </c>
      <c r="V62" s="1219"/>
      <c r="W62" s="1214">
        <v>6374</v>
      </c>
      <c r="X62" s="1223">
        <f>W62/K62</f>
        <v>0.5108190415130629</v>
      </c>
      <c r="Y62" s="1224">
        <v>1991</v>
      </c>
      <c r="Z62" s="1225">
        <v>8365</v>
      </c>
      <c r="AA62" s="1226">
        <f>Z62/K62</f>
        <v>0.67037986856868081</v>
      </c>
      <c r="AB62" s="1227">
        <f>674+930+1255</f>
        <v>2859</v>
      </c>
      <c r="AC62" s="1225">
        <v>11224</v>
      </c>
      <c r="AD62" s="1226">
        <f>AC62/K62</f>
        <v>0.89950312550088141</v>
      </c>
      <c r="AE62" s="1224">
        <f>660</f>
        <v>660</v>
      </c>
      <c r="AF62" s="1225">
        <f>11885</f>
        <v>11885</v>
      </c>
      <c r="AG62" s="1220">
        <f>AF62/K62</f>
        <v>0.95247635839076761</v>
      </c>
      <c r="AH62" s="1224">
        <v>12703.73</v>
      </c>
      <c r="AI62" s="1225">
        <v>12478</v>
      </c>
      <c r="AJ62" s="1228">
        <f>AI62/K62</f>
        <v>0.99999999999999989</v>
      </c>
      <c r="AK62" s="1229"/>
      <c r="AL62" s="1230">
        <f>AK62/K62</f>
        <v>0</v>
      </c>
      <c r="AM62" s="1231">
        <v>0</v>
      </c>
      <c r="AN62" s="1220">
        <f>(M62+AM62)/K62</f>
        <v>0.99999999999999989</v>
      </c>
      <c r="AO62" s="1232">
        <f>K62-M62</f>
        <v>0</v>
      </c>
      <c r="AP62" s="1462"/>
      <c r="AQ62" s="1233"/>
      <c r="AR62" s="1475"/>
      <c r="AX62" s="1212"/>
      <c r="AY62" s="1212"/>
    </row>
    <row r="63" spans="1:51" s="1211" customFormat="1" ht="14.1" customHeight="1">
      <c r="A63" s="1395"/>
      <c r="B63" s="1188" t="s">
        <v>177</v>
      </c>
      <c r="C63" s="1189" t="s">
        <v>181</v>
      </c>
      <c r="D63" s="1190">
        <v>2016</v>
      </c>
      <c r="E63" s="1191">
        <v>40</v>
      </c>
      <c r="F63" s="1192" t="s">
        <v>12</v>
      </c>
      <c r="G63" s="1192" t="s">
        <v>136</v>
      </c>
      <c r="H63" s="1192"/>
      <c r="I63" s="1193">
        <v>5125866.5124842022</v>
      </c>
      <c r="J63" s="1194">
        <f>I63/E63</f>
        <v>128146.66281210506</v>
      </c>
      <c r="K63" s="460">
        <f t="shared" si="3"/>
        <v>256293.32562421012</v>
      </c>
      <c r="L63" s="1440">
        <v>0.05</v>
      </c>
      <c r="M63" s="1195">
        <v>179201</v>
      </c>
      <c r="N63" s="1196">
        <f>M63/K63</f>
        <v>0.69920275747934735</v>
      </c>
      <c r="O63" s="1197"/>
      <c r="P63" s="1195"/>
      <c r="Q63" s="1198"/>
      <c r="R63" s="1199">
        <f>Q63/K63</f>
        <v>0</v>
      </c>
      <c r="S63" s="1195"/>
      <c r="T63" s="1198"/>
      <c r="U63" s="1200">
        <f>T63/K63</f>
        <v>0</v>
      </c>
      <c r="V63" s="1195">
        <v>21429</v>
      </c>
      <c r="W63" s="1198">
        <v>21429</v>
      </c>
      <c r="X63" s="1200">
        <f>W63/K63</f>
        <v>8.3611229234351006E-2</v>
      </c>
      <c r="Y63" s="1201">
        <f>24430+12215+17272</f>
        <v>53917</v>
      </c>
      <c r="Z63" s="1202">
        <v>75346</v>
      </c>
      <c r="AA63" s="1203">
        <f>Z63/K63</f>
        <v>0.29398346529895986</v>
      </c>
      <c r="AB63" s="1204">
        <f>12557+37673</f>
        <v>50230</v>
      </c>
      <c r="AC63" s="1202">
        <v>125576</v>
      </c>
      <c r="AD63" s="1203">
        <f>AC63/K63</f>
        <v>0.48996984097871399</v>
      </c>
      <c r="AE63" s="1201"/>
      <c r="AF63" s="1202">
        <f>125576+12557.65</f>
        <v>138133.65</v>
      </c>
      <c r="AG63" s="1196">
        <f>AF63/K63</f>
        <v>0.53896702016555187</v>
      </c>
      <c r="AH63" s="1201">
        <f>12558+28267</f>
        <v>40825</v>
      </c>
      <c r="AI63" s="1202">
        <v>166401</v>
      </c>
      <c r="AJ63" s="1205">
        <f>AI63/K63</f>
        <v>0.64925998207220326</v>
      </c>
      <c r="AK63" s="1206">
        <v>12800</v>
      </c>
      <c r="AL63" s="1207">
        <f>AK63/K63</f>
        <v>4.9942775407144195E-2</v>
      </c>
      <c r="AM63" s="1208">
        <f>10%*K63</f>
        <v>25629.332562421012</v>
      </c>
      <c r="AN63" s="1209">
        <f>(M63+AM63)/K63</f>
        <v>0.79920275747934744</v>
      </c>
      <c r="AO63" s="1210">
        <f>K63-M63</f>
        <v>77092.32562421012</v>
      </c>
      <c r="AP63" s="1460" t="s">
        <v>237</v>
      </c>
      <c r="AQ63" s="752"/>
      <c r="AR63" s="1475"/>
      <c r="AX63" s="1212"/>
      <c r="AY63" s="1212"/>
    </row>
    <row r="64" spans="1:51" s="1211" customFormat="1" ht="13.5" customHeight="1">
      <c r="A64" s="1395"/>
      <c r="B64" s="1213" t="s">
        <v>294</v>
      </c>
      <c r="C64" s="1214" t="s">
        <v>244</v>
      </c>
      <c r="D64" s="1215">
        <v>2016</v>
      </c>
      <c r="E64" s="1216">
        <v>23</v>
      </c>
      <c r="F64" s="1217"/>
      <c r="G64" s="1217" t="s">
        <v>131</v>
      </c>
      <c r="H64" s="1217" t="s">
        <v>365</v>
      </c>
      <c r="I64" s="1214">
        <v>3202766.9958733749</v>
      </c>
      <c r="J64" s="1218">
        <f>I64/E64</f>
        <v>139250.7389510163</v>
      </c>
      <c r="K64" s="805">
        <f t="shared" si="3"/>
        <v>101410.595275</v>
      </c>
      <c r="L64" s="1439">
        <v>3.1663432090334113E-2</v>
      </c>
      <c r="M64" s="1219">
        <v>101410.595275</v>
      </c>
      <c r="N64" s="1220">
        <f>M64/K64</f>
        <v>1</v>
      </c>
      <c r="O64" s="1221"/>
      <c r="P64" s="1219"/>
      <c r="Q64" s="1214"/>
      <c r="R64" s="1222">
        <f>Q64/K64</f>
        <v>0</v>
      </c>
      <c r="S64" s="1219"/>
      <c r="T64" s="1214"/>
      <c r="U64" s="1223">
        <f>T64/K64</f>
        <v>0</v>
      </c>
      <c r="V64" s="1219"/>
      <c r="W64" s="1214"/>
      <c r="X64" s="1223">
        <f>W64/K64</f>
        <v>0</v>
      </c>
      <c r="Y64" s="1224">
        <v>65917</v>
      </c>
      <c r="Z64" s="1225">
        <v>65917</v>
      </c>
      <c r="AA64" s="1226">
        <f>Z64/K64</f>
        <v>0.65000111498458024</v>
      </c>
      <c r="AB64" s="1227">
        <f>(11003.05+5501.53+11003.05)/1.085</f>
        <v>25352.654377880182</v>
      </c>
      <c r="AC64" s="1225">
        <v>91269.53917050692</v>
      </c>
      <c r="AD64" s="1226">
        <f>AC64/K64</f>
        <v>0.90000003375393778</v>
      </c>
      <c r="AE64" s="1224">
        <f>2750.76/1.085+8252.28/1.085</f>
        <v>10141.050691244242</v>
      </c>
      <c r="AF64" s="1225">
        <v>101410.6</v>
      </c>
      <c r="AG64" s="1220">
        <f>AF64/K64</f>
        <v>1.0000000465927648</v>
      </c>
      <c r="AH64" s="1224"/>
      <c r="AI64" s="1225">
        <v>101410.595275</v>
      </c>
      <c r="AJ64" s="1228">
        <f>AI64/K64</f>
        <v>1</v>
      </c>
      <c r="AK64" s="1229"/>
      <c r="AL64" s="1230">
        <f>AK64/K64</f>
        <v>0</v>
      </c>
      <c r="AM64" s="1231">
        <v>0</v>
      </c>
      <c r="AN64" s="1220">
        <f>(M64+AM64)/K64</f>
        <v>1</v>
      </c>
      <c r="AO64" s="1232">
        <f>K64-M64</f>
        <v>0</v>
      </c>
      <c r="AP64" s="1462"/>
      <c r="AQ64" s="1233"/>
      <c r="AR64" s="1475"/>
      <c r="AX64" s="1212"/>
      <c r="AY64" s="1212"/>
    </row>
    <row r="65" spans="1:51" s="162" customFormat="1" ht="14.1" customHeight="1">
      <c r="A65" s="1395"/>
      <c r="B65" s="799" t="s">
        <v>188</v>
      </c>
      <c r="C65" s="800" t="s">
        <v>189</v>
      </c>
      <c r="D65" s="801">
        <v>2016</v>
      </c>
      <c r="E65" s="802">
        <v>28</v>
      </c>
      <c r="F65" s="803" t="s">
        <v>12</v>
      </c>
      <c r="G65" s="803" t="s">
        <v>132</v>
      </c>
      <c r="H65" s="803"/>
      <c r="I65" s="800">
        <v>3767200</v>
      </c>
      <c r="J65" s="804">
        <f>I65/E65</f>
        <v>134542.85714285713</v>
      </c>
      <c r="K65" s="805">
        <f t="shared" si="3"/>
        <v>188360</v>
      </c>
      <c r="L65" s="1439">
        <v>0.05</v>
      </c>
      <c r="M65" s="806">
        <v>188360</v>
      </c>
      <c r="N65" s="807">
        <f>M65/K65</f>
        <v>1</v>
      </c>
      <c r="O65" s="808"/>
      <c r="P65" s="806"/>
      <c r="Q65" s="800"/>
      <c r="R65" s="809">
        <f>Q65/K65</f>
        <v>0</v>
      </c>
      <c r="S65" s="806"/>
      <c r="T65" s="800"/>
      <c r="U65" s="810">
        <f>T65/K65</f>
        <v>0</v>
      </c>
      <c r="V65" s="806">
        <v>23317</v>
      </c>
      <c r="W65" s="800">
        <v>23317</v>
      </c>
      <c r="X65" s="810">
        <f>W65/K65</f>
        <v>0.12378955192185177</v>
      </c>
      <c r="Y65" s="811">
        <f>23306+23065+14934</f>
        <v>61305</v>
      </c>
      <c r="Z65" s="812">
        <v>84622</v>
      </c>
      <c r="AA65" s="813">
        <f>Z65/K65</f>
        <v>0.44925674240815461</v>
      </c>
      <c r="AB65" s="814">
        <f>14935+7787</f>
        <v>22722</v>
      </c>
      <c r="AC65" s="812">
        <v>107344</v>
      </c>
      <c r="AD65" s="813">
        <f>AC65/K65</f>
        <v>0.56988744956466342</v>
      </c>
      <c r="AE65" s="811">
        <f>19533+15687</f>
        <v>35220</v>
      </c>
      <c r="AF65" s="812">
        <v>142564</v>
      </c>
      <c r="AG65" s="807">
        <f>AF65/K65</f>
        <v>0.75686982374177103</v>
      </c>
      <c r="AH65" s="811">
        <v>37490</v>
      </c>
      <c r="AI65" s="812">
        <v>180054</v>
      </c>
      <c r="AJ65" s="1004">
        <f>AI65/K65</f>
        <v>0.95590358887237203</v>
      </c>
      <c r="AK65" s="1029">
        <v>8306</v>
      </c>
      <c r="AL65" s="1055">
        <f>AK65/K65</f>
        <v>4.4096411127627945E-2</v>
      </c>
      <c r="AM65" s="865"/>
      <c r="AN65" s="807">
        <f>(M65+AM65)/K65</f>
        <v>1</v>
      </c>
      <c r="AO65" s="815">
        <f>K65-M65</f>
        <v>0</v>
      </c>
      <c r="AP65" s="1463" t="s">
        <v>333</v>
      </c>
      <c r="AQ65" s="798" t="s">
        <v>333</v>
      </c>
      <c r="AR65" s="1476"/>
      <c r="AX65" s="540"/>
      <c r="AY65" s="540"/>
    </row>
    <row r="66" spans="1:51" s="1211" customFormat="1" ht="13.8" customHeight="1">
      <c r="A66" s="1395"/>
      <c r="B66" s="1188" t="s">
        <v>186</v>
      </c>
      <c r="C66" s="1189" t="s">
        <v>184</v>
      </c>
      <c r="D66" s="1190">
        <v>2016</v>
      </c>
      <c r="E66" s="1191">
        <v>18</v>
      </c>
      <c r="F66" s="1192" t="s">
        <v>291</v>
      </c>
      <c r="G66" s="1192" t="s">
        <v>139</v>
      </c>
      <c r="H66" s="1192"/>
      <c r="I66" s="1193">
        <v>3262728.2436972028</v>
      </c>
      <c r="J66" s="1194">
        <f>I66/E66</f>
        <v>181262.68020540016</v>
      </c>
      <c r="K66" s="1073">
        <f t="shared" si="3"/>
        <v>97881.847310916084</v>
      </c>
      <c r="L66" s="1438">
        <v>0.03</v>
      </c>
      <c r="M66" s="1195">
        <v>70074</v>
      </c>
      <c r="N66" s="1196">
        <f>M66/K66</f>
        <v>0.71590393852512768</v>
      </c>
      <c r="O66" s="1197"/>
      <c r="P66" s="1195"/>
      <c r="Q66" s="1198"/>
      <c r="R66" s="1199">
        <f>Q66/K66</f>
        <v>0</v>
      </c>
      <c r="S66" s="1195"/>
      <c r="T66" s="1198"/>
      <c r="U66" s="1200">
        <f>T66/K66</f>
        <v>0</v>
      </c>
      <c r="V66" s="1195"/>
      <c r="W66" s="1198"/>
      <c r="X66" s="1200">
        <f>W66/K66</f>
        <v>0</v>
      </c>
      <c r="Y66" s="1201">
        <f>27162+7875+14015+10511</f>
        <v>59563</v>
      </c>
      <c r="Z66" s="1202">
        <v>59563</v>
      </c>
      <c r="AA66" s="1203">
        <f>Z66/K66</f>
        <v>0.6085193693862514</v>
      </c>
      <c r="AB66" s="1204">
        <v>10511</v>
      </c>
      <c r="AC66" s="1202">
        <v>70074</v>
      </c>
      <c r="AD66" s="1203">
        <f>AC66/K66</f>
        <v>0.71590393852512768</v>
      </c>
      <c r="AE66" s="1201"/>
      <c r="AF66" s="1202">
        <v>70074</v>
      </c>
      <c r="AG66" s="1196">
        <f>AF66/K66</f>
        <v>0.71590393852512768</v>
      </c>
      <c r="AH66" s="1201"/>
      <c r="AI66" s="1202">
        <v>70074</v>
      </c>
      <c r="AJ66" s="1205">
        <f>AI66/K66</f>
        <v>0.71590393852512768</v>
      </c>
      <c r="AK66" s="1206"/>
      <c r="AL66" s="1207">
        <f>AK66/K66</f>
        <v>0</v>
      </c>
      <c r="AM66" s="1208">
        <f>0%*K66</f>
        <v>0</v>
      </c>
      <c r="AN66" s="1209">
        <f>(M66+AM66)/K66</f>
        <v>0.71590393852512768</v>
      </c>
      <c r="AO66" s="1210">
        <f>K66-M66</f>
        <v>27807.847310916084</v>
      </c>
      <c r="AP66" s="1460" t="s">
        <v>349</v>
      </c>
      <c r="AQ66" s="752"/>
      <c r="AR66" s="1475"/>
    </row>
    <row r="67" spans="1:51" s="1211" customFormat="1" ht="14.1" customHeight="1" thickBot="1">
      <c r="A67" s="1395"/>
      <c r="B67" s="1188" t="s">
        <v>187</v>
      </c>
      <c r="C67" s="1189" t="s">
        <v>185</v>
      </c>
      <c r="D67" s="1190">
        <v>2016</v>
      </c>
      <c r="E67" s="1191">
        <v>35</v>
      </c>
      <c r="F67" s="1192" t="s">
        <v>12</v>
      </c>
      <c r="G67" s="1192" t="s">
        <v>132</v>
      </c>
      <c r="H67" s="1192"/>
      <c r="I67" s="1193">
        <v>5414135.2837200351</v>
      </c>
      <c r="J67" s="1194">
        <f>I67/E67</f>
        <v>154689.57953485815</v>
      </c>
      <c r="K67" s="460">
        <f t="shared" si="3"/>
        <v>270706.76418600179</v>
      </c>
      <c r="L67" s="1440">
        <v>5.000000000000001E-2</v>
      </c>
      <c r="M67" s="1195">
        <v>270706.76418600179</v>
      </c>
      <c r="N67" s="1196">
        <f>M67/K67</f>
        <v>1</v>
      </c>
      <c r="O67" s="1197"/>
      <c r="P67" s="1195"/>
      <c r="Q67" s="1198"/>
      <c r="R67" s="1199"/>
      <c r="S67" s="1195"/>
      <c r="T67" s="1198"/>
      <c r="U67" s="1200">
        <f>T67/K67</f>
        <v>0</v>
      </c>
      <c r="V67" s="1195">
        <v>26176</v>
      </c>
      <c r="W67" s="1198">
        <v>26176</v>
      </c>
      <c r="X67" s="1200">
        <f>W67/K67</f>
        <v>9.6695034860726822E-2</v>
      </c>
      <c r="Y67" s="1201">
        <f>20368+17712+25703+19277</f>
        <v>83060</v>
      </c>
      <c r="Z67" s="1202">
        <v>109236</v>
      </c>
      <c r="AA67" s="1203">
        <f>Z67/K67</f>
        <v>0.40352150168270001</v>
      </c>
      <c r="AB67" s="1204">
        <f>19276+17382</f>
        <v>36658</v>
      </c>
      <c r="AC67" s="1202">
        <v>145894</v>
      </c>
      <c r="AD67" s="1203">
        <f>AC67/K67</f>
        <v>0.53893740128250611</v>
      </c>
      <c r="AE67" s="1201">
        <f>39789+13263.1</f>
        <v>53052.1</v>
      </c>
      <c r="AF67" s="1202">
        <f>185683+13263.1</f>
        <v>198946.1</v>
      </c>
      <c r="AG67" s="1196">
        <f>AF67/K67</f>
        <v>0.73491366423080862</v>
      </c>
      <c r="AH67" s="1201">
        <f>16398+40377</f>
        <v>56775</v>
      </c>
      <c r="AI67" s="1202">
        <v>255721</v>
      </c>
      <c r="AJ67" s="1205">
        <f>AI67/K67</f>
        <v>0.94464207707900083</v>
      </c>
      <c r="AK67" s="1206">
        <v>14986</v>
      </c>
      <c r="AL67" s="1207">
        <f>AK67/K67</f>
        <v>5.5358794025934147E-2</v>
      </c>
      <c r="AM67" s="1208"/>
      <c r="AN67" s="1209">
        <f>(M67+AM67)/K67</f>
        <v>1</v>
      </c>
      <c r="AO67" s="1210">
        <f>K67-M67</f>
        <v>0</v>
      </c>
      <c r="AP67" s="1460" t="s">
        <v>333</v>
      </c>
      <c r="AQ67" s="752"/>
      <c r="AR67" s="1475"/>
      <c r="AX67" s="463"/>
      <c r="AY67" s="1212"/>
    </row>
    <row r="68" spans="1:51" s="1" customFormat="1" ht="16.2" thickBot="1">
      <c r="A68" s="50"/>
      <c r="B68" s="163"/>
      <c r="C68" s="164"/>
      <c r="D68" s="165">
        <f>COUNTA(D60:D67)</f>
        <v>7</v>
      </c>
      <c r="E68" s="165">
        <f>SUM(E60:E67)</f>
        <v>204</v>
      </c>
      <c r="F68" s="33"/>
      <c r="G68" s="115"/>
      <c r="H68" s="115"/>
      <c r="I68" s="166">
        <f>SUM(I60:I67)</f>
        <v>29320143.847217407</v>
      </c>
      <c r="J68" s="432"/>
      <c r="K68" s="443">
        <f>SUM(K60:K67)</f>
        <v>1278481.5167394057</v>
      </c>
      <c r="L68" s="1430"/>
      <c r="M68" s="658">
        <f>SUM(M60:M67)</f>
        <v>1191133.3594610018</v>
      </c>
      <c r="N68" s="731">
        <f>M68/K68</f>
        <v>0.93167820094797027</v>
      </c>
      <c r="O68" s="413">
        <f>SUM(O60:O67)</f>
        <v>25155</v>
      </c>
      <c r="P68" s="658">
        <f>SUM(P60:P67)</f>
        <v>0</v>
      </c>
      <c r="Q68" s="689">
        <f>SUM(Q60:Q67)</f>
        <v>83195</v>
      </c>
      <c r="R68" s="723">
        <f>Q68/K68</f>
        <v>6.5073291174500197E-2</v>
      </c>
      <c r="S68" s="658">
        <f>SUM(S60:S67)</f>
        <v>131515</v>
      </c>
      <c r="T68" s="689">
        <f>SUM(T60:T67)</f>
        <v>214710</v>
      </c>
      <c r="U68" s="677">
        <f>T68/K68</f>
        <v>0.16794141893235096</v>
      </c>
      <c r="V68" s="658">
        <f>SUM(V60:V67)</f>
        <v>70922</v>
      </c>
      <c r="W68" s="689">
        <f>SUM(W60:W67)</f>
        <v>285632</v>
      </c>
      <c r="X68" s="677">
        <f>W68/K68</f>
        <v>0.22341504062449477</v>
      </c>
      <c r="Y68" s="571">
        <f>SUM(Y60:Y67)</f>
        <v>399873</v>
      </c>
      <c r="Z68" s="586">
        <f>SUM(Z60:Z67)</f>
        <v>685505</v>
      </c>
      <c r="AA68" s="624">
        <f>Z68/K68</f>
        <v>0.53618686779945623</v>
      </c>
      <c r="AB68" s="623">
        <f>SUM(AB60:AB67)</f>
        <v>182025.65437788019</v>
      </c>
      <c r="AC68" s="586">
        <f>SUM(AC60:AC67)</f>
        <v>867529.53917050688</v>
      </c>
      <c r="AD68" s="624">
        <f>AC68/K68</f>
        <v>0.67856244131164578</v>
      </c>
      <c r="AE68" s="571">
        <f>SUM(AE60:AE67)</f>
        <v>141068.15069124426</v>
      </c>
      <c r="AF68" s="586">
        <f>SUM(AF60:AF67)</f>
        <v>1021157.35</v>
      </c>
      <c r="AG68" s="731">
        <f>AF68/K68</f>
        <v>0.79872672121559007</v>
      </c>
      <c r="AH68" s="571">
        <f>SUM(AH60:AH67)</f>
        <v>145781.6</v>
      </c>
      <c r="AI68" s="586">
        <f>SUM(AI60:AI67)</f>
        <v>1155041.595275</v>
      </c>
      <c r="AJ68" s="1005">
        <f>AI68/K68</f>
        <v>0.90344802028955218</v>
      </c>
      <c r="AK68" s="1030">
        <f>SUM(AK60:AK67)</f>
        <v>36092</v>
      </c>
      <c r="AL68" s="1056">
        <f>AK68/K68</f>
        <v>2.8230365106918221E-2</v>
      </c>
      <c r="AM68" s="866">
        <f>SUM(AM60:AM67)</f>
        <v>25629.332562421012</v>
      </c>
      <c r="AN68" s="741">
        <f>(M68+AM68)/K68</f>
        <v>0.95172489871156807</v>
      </c>
      <c r="AO68" s="381">
        <f>SUM(AO60:AO67)</f>
        <v>87348.157278403945</v>
      </c>
      <c r="AP68" s="1484"/>
      <c r="AQ68" s="1483"/>
      <c r="AR68" s="1488"/>
      <c r="AX68" s="162"/>
    </row>
    <row r="69" spans="1:51" s="1211" customFormat="1" ht="13.8" customHeight="1" thickBot="1">
      <c r="A69" s="1396">
        <v>2017</v>
      </c>
      <c r="B69" s="1234" t="s">
        <v>215</v>
      </c>
      <c r="C69" s="1235" t="s">
        <v>219</v>
      </c>
      <c r="D69" s="1236">
        <v>2017</v>
      </c>
      <c r="E69" s="1076">
        <v>26</v>
      </c>
      <c r="F69" s="1237" t="s">
        <v>291</v>
      </c>
      <c r="G69" s="1237" t="s">
        <v>139</v>
      </c>
      <c r="H69" s="1237"/>
      <c r="I69" s="1235">
        <f>4052125+273103</f>
        <v>4325228</v>
      </c>
      <c r="J69" s="1238">
        <f>I69/E69</f>
        <v>166354.92307692306</v>
      </c>
      <c r="K69" s="1074">
        <f t="shared" si="3"/>
        <v>129756.84</v>
      </c>
      <c r="L69" s="1441">
        <v>0.03</v>
      </c>
      <c r="M69" s="1239">
        <f>23880+14653+2769+7277+967+6885+285+20007+750+30667+2722</f>
        <v>110862</v>
      </c>
      <c r="N69" s="1240">
        <f>M69/K69</f>
        <v>0.85438270537414451</v>
      </c>
      <c r="O69" s="1241"/>
      <c r="P69" s="1239"/>
      <c r="Q69" s="1235"/>
      <c r="R69" s="1242">
        <f>Q69/K69</f>
        <v>0</v>
      </c>
      <c r="S69" s="1239"/>
      <c r="T69" s="1235"/>
      <c r="U69" s="1243">
        <f>T69/K69</f>
        <v>0</v>
      </c>
      <c r="V69" s="1239"/>
      <c r="W69" s="1235"/>
      <c r="X69" s="1243">
        <f>W69/K69</f>
        <v>0</v>
      </c>
      <c r="Y69" s="1244">
        <f>23880+14653+2769+7277+967</f>
        <v>49546</v>
      </c>
      <c r="Z69" s="1245">
        <v>49546</v>
      </c>
      <c r="AA69" s="1246">
        <f>Z69/K69</f>
        <v>0.38183728888588842</v>
      </c>
      <c r="AB69" s="1247">
        <f>6885+285+20007+750+30667+2722</f>
        <v>61316</v>
      </c>
      <c r="AC69" s="1245">
        <v>110862</v>
      </c>
      <c r="AD69" s="1246">
        <f>AC69/K69</f>
        <v>0.85438270537414451</v>
      </c>
      <c r="AE69" s="1244"/>
      <c r="AF69" s="1245">
        <v>110862</v>
      </c>
      <c r="AG69" s="1240">
        <f>AF69/K69</f>
        <v>0.85438270537414451</v>
      </c>
      <c r="AH69" s="1244"/>
      <c r="AI69" s="1245">
        <v>110862</v>
      </c>
      <c r="AJ69" s="1248">
        <f>AI69/K69</f>
        <v>0.85438270537414451</v>
      </c>
      <c r="AK69" s="1249"/>
      <c r="AL69" s="1250">
        <f>AK69/K69</f>
        <v>0</v>
      </c>
      <c r="AM69" s="1251"/>
      <c r="AN69" s="1240">
        <f>(M69+AM69)/K69</f>
        <v>0.85438270537414451</v>
      </c>
      <c r="AO69" s="1252">
        <f>K69-M69</f>
        <v>18894.839999999997</v>
      </c>
      <c r="AP69" s="1464" t="s">
        <v>95</v>
      </c>
      <c r="AQ69" s="1253"/>
      <c r="AR69" s="1477" t="s">
        <v>336</v>
      </c>
    </row>
    <row r="70" spans="1:51" s="1211" customFormat="1" ht="14.1" customHeight="1">
      <c r="A70" s="1396"/>
      <c r="B70" s="1254" t="s">
        <v>241</v>
      </c>
      <c r="C70" s="1255" t="s">
        <v>218</v>
      </c>
      <c r="D70" s="1256">
        <v>2017</v>
      </c>
      <c r="E70" s="199">
        <v>84</v>
      </c>
      <c r="F70" s="1257" t="s">
        <v>322</v>
      </c>
      <c r="G70" s="1257" t="s">
        <v>139</v>
      </c>
      <c r="H70" s="1257"/>
      <c r="I70" s="1258">
        <v>12400063.909209061</v>
      </c>
      <c r="J70" s="1259">
        <f>I70/E70</f>
        <v>147619.808442965</v>
      </c>
      <c r="K70" s="1072">
        <f t="shared" si="3"/>
        <v>372001.91727627185</v>
      </c>
      <c r="L70" s="1442">
        <f t="shared" ref="L70" si="4">IF(H70="x",1.5%,3%)</f>
        <v>0.03</v>
      </c>
      <c r="M70" s="1260">
        <v>319371</v>
      </c>
      <c r="N70" s="1261">
        <f>M70/K70</f>
        <v>0.8585197687645657</v>
      </c>
      <c r="O70" s="1262"/>
      <c r="P70" s="1260"/>
      <c r="Q70" s="1263"/>
      <c r="R70" s="1264">
        <f>Q70/K70</f>
        <v>0</v>
      </c>
      <c r="S70" s="1260"/>
      <c r="T70" s="1263"/>
      <c r="U70" s="1265">
        <f>T70/K70</f>
        <v>0</v>
      </c>
      <c r="V70" s="1260"/>
      <c r="W70" s="1263"/>
      <c r="X70" s="1265">
        <f>W70/K70</f>
        <v>0</v>
      </c>
      <c r="Y70" s="1266">
        <v>133744</v>
      </c>
      <c r="Z70" s="1267">
        <v>133744</v>
      </c>
      <c r="AA70" s="1268">
        <f>Z70/K70</f>
        <v>0.35952502873976683</v>
      </c>
      <c r="AB70" s="1269">
        <f>22994+62867</f>
        <v>85861</v>
      </c>
      <c r="AC70" s="1267">
        <v>219605</v>
      </c>
      <c r="AD70" s="1268">
        <f>AC70/K70</f>
        <v>0.59033297894781445</v>
      </c>
      <c r="AE70" s="1266">
        <v>99766</v>
      </c>
      <c r="AF70" s="1267">
        <v>99766</v>
      </c>
      <c r="AG70" s="1261">
        <f>AF70/K70</f>
        <v>0.26818678981675126</v>
      </c>
      <c r="AH70" s="1266"/>
      <c r="AI70" s="1267">
        <v>319371</v>
      </c>
      <c r="AJ70" s="1270">
        <f>AI70/K70</f>
        <v>0.8585197687645657</v>
      </c>
      <c r="AK70" s="1271"/>
      <c r="AL70" s="1272">
        <f>AK70/K70</f>
        <v>0</v>
      </c>
      <c r="AM70" s="1273">
        <f>0%*K70</f>
        <v>0</v>
      </c>
      <c r="AN70" s="1274">
        <f>(M70+AM70)/K70</f>
        <v>0.8585197687645657</v>
      </c>
      <c r="AO70" s="1275">
        <f>K70-M70</f>
        <v>52630.917276271852</v>
      </c>
      <c r="AP70" s="1460" t="s">
        <v>350</v>
      </c>
      <c r="AQ70" s="752"/>
      <c r="AR70" s="1475"/>
      <c r="AT70" s="1276"/>
      <c r="AU70" s="1277"/>
      <c r="AV70" s="1374" t="s">
        <v>279</v>
      </c>
      <c r="AW70" s="1375"/>
    </row>
    <row r="71" spans="1:51" s="1211" customFormat="1" ht="14.1" customHeight="1">
      <c r="A71" s="1396"/>
      <c r="B71" s="1254" t="s">
        <v>216</v>
      </c>
      <c r="C71" s="1255" t="s">
        <v>220</v>
      </c>
      <c r="D71" s="1256">
        <v>2017</v>
      </c>
      <c r="E71" s="199">
        <v>24</v>
      </c>
      <c r="F71" s="1257" t="s">
        <v>104</v>
      </c>
      <c r="G71" s="1257" t="s">
        <v>136</v>
      </c>
      <c r="H71" s="1257"/>
      <c r="I71" s="1258">
        <v>4002129</v>
      </c>
      <c r="J71" s="1259">
        <f>I71/E71</f>
        <v>166755.375</v>
      </c>
      <c r="K71" s="461">
        <f t="shared" si="3"/>
        <v>200106.45</v>
      </c>
      <c r="L71" s="1443">
        <v>0.05</v>
      </c>
      <c r="M71" s="1260">
        <v>190101</v>
      </c>
      <c r="N71" s="1261">
        <f>M71/K71</f>
        <v>0.94999936283912878</v>
      </c>
      <c r="O71" s="1262"/>
      <c r="P71" s="1260"/>
      <c r="Q71" s="1263"/>
      <c r="R71" s="1264">
        <f>Q71/K71</f>
        <v>0</v>
      </c>
      <c r="S71" s="1260"/>
      <c r="T71" s="1263"/>
      <c r="U71" s="1265">
        <f>T71/K71</f>
        <v>0</v>
      </c>
      <c r="V71" s="1260"/>
      <c r="W71" s="1263"/>
      <c r="X71" s="1265">
        <f>W71/K71</f>
        <v>0</v>
      </c>
      <c r="Y71" s="1266">
        <f>19202+18750+7586</f>
        <v>45538</v>
      </c>
      <c r="Z71" s="1267">
        <v>45538</v>
      </c>
      <c r="AA71" s="1268">
        <f>Z71/K71</f>
        <v>0.22756887646550122</v>
      </c>
      <c r="AB71" s="1269">
        <f>2159+20121+9695</f>
        <v>31975</v>
      </c>
      <c r="AC71" s="1267">
        <v>77514</v>
      </c>
      <c r="AD71" s="1268">
        <f>AC71/K71</f>
        <v>0.38736382560382232</v>
      </c>
      <c r="AE71" s="1266">
        <f>20397+9791+9617</f>
        <v>39805</v>
      </c>
      <c r="AF71" s="1267">
        <f>97910+9791+9617</f>
        <v>117318</v>
      </c>
      <c r="AG71" s="1261">
        <f>AF71/K71</f>
        <v>0.58627795355921808</v>
      </c>
      <c r="AH71" s="1266">
        <f>20042+11638+9988</f>
        <v>41668</v>
      </c>
      <c r="AI71" s="1267">
        <v>149195</v>
      </c>
      <c r="AJ71" s="1270">
        <f>AI71/K71</f>
        <v>0.74557816602113525</v>
      </c>
      <c r="AK71" s="1271">
        <v>40906</v>
      </c>
      <c r="AL71" s="1272">
        <f>AK71/K71</f>
        <v>0.20442119681799362</v>
      </c>
      <c r="AM71" s="1273">
        <v>0</v>
      </c>
      <c r="AN71" s="1274">
        <f>(M71+AM71)/K71</f>
        <v>0.94999936283912878</v>
      </c>
      <c r="AO71" s="1275">
        <f>K71-M71</f>
        <v>10005.450000000012</v>
      </c>
      <c r="AP71" s="1460" t="s">
        <v>203</v>
      </c>
      <c r="AQ71" s="752" t="s">
        <v>203</v>
      </c>
      <c r="AR71" s="1475"/>
      <c r="AT71" s="930" t="s">
        <v>301</v>
      </c>
      <c r="AU71" s="1278"/>
      <c r="AV71" s="932">
        <v>0.1</v>
      </c>
      <c r="AW71" s="1279">
        <f>AV71</f>
        <v>0.1</v>
      </c>
    </row>
    <row r="72" spans="1:51" s="1282" customFormat="1" ht="14.1" customHeight="1">
      <c r="A72" s="1396"/>
      <c r="B72" s="1283" t="s">
        <v>346</v>
      </c>
      <c r="C72" s="1284" t="s">
        <v>247</v>
      </c>
      <c r="D72" s="1285">
        <v>2017</v>
      </c>
      <c r="E72" s="1286">
        <v>30</v>
      </c>
      <c r="F72" s="1287" t="s">
        <v>104</v>
      </c>
      <c r="G72" s="1287" t="s">
        <v>136</v>
      </c>
      <c r="H72" s="1287" t="s">
        <v>365</v>
      </c>
      <c r="I72" s="1284">
        <v>3564776</v>
      </c>
      <c r="J72" s="1288">
        <f>I72/E72</f>
        <v>118825.86666666667</v>
      </c>
      <c r="K72" s="960">
        <f t="shared" si="3"/>
        <v>178239</v>
      </c>
      <c r="L72" s="1444">
        <v>5.0000056104506987E-2</v>
      </c>
      <c r="M72" s="1289">
        <v>178239</v>
      </c>
      <c r="N72" s="1290">
        <f>M72/K72</f>
        <v>1</v>
      </c>
      <c r="O72" s="1291"/>
      <c r="P72" s="1289"/>
      <c r="Q72" s="1284"/>
      <c r="R72" s="1292">
        <f>Q72/K72</f>
        <v>0</v>
      </c>
      <c r="S72" s="1289"/>
      <c r="T72" s="1284"/>
      <c r="U72" s="1293">
        <f>T72/K72</f>
        <v>0</v>
      </c>
      <c r="V72" s="1289"/>
      <c r="W72" s="1284"/>
      <c r="X72" s="1293">
        <f>W72/K72</f>
        <v>0</v>
      </c>
      <c r="Y72" s="1294"/>
      <c r="Z72" s="1295"/>
      <c r="AA72" s="1296">
        <f>Z72/K72</f>
        <v>0</v>
      </c>
      <c r="AB72" s="1297">
        <f>43954+54078+17824</f>
        <v>115856</v>
      </c>
      <c r="AC72" s="1295">
        <v>98031</v>
      </c>
      <c r="AD72" s="1296">
        <f>AC72/K72</f>
        <v>0.54999747530001852</v>
      </c>
      <c r="AE72" s="1294">
        <v>16042</v>
      </c>
      <c r="AF72" s="1295">
        <v>131897</v>
      </c>
      <c r="AG72" s="1290">
        <f>AF72/K72</f>
        <v>0.74000078546221648</v>
      </c>
      <c r="AH72" s="1294">
        <f>16041+1783</f>
        <v>17824</v>
      </c>
      <c r="AI72" s="1295">
        <v>149721</v>
      </c>
      <c r="AJ72" s="1298">
        <f>AI72/K72</f>
        <v>0.84000134650665681</v>
      </c>
      <c r="AK72" s="1299">
        <v>28518</v>
      </c>
      <c r="AL72" s="1300">
        <f>AK72/K72</f>
        <v>0.15999865349334322</v>
      </c>
      <c r="AM72" s="1301">
        <v>0</v>
      </c>
      <c r="AN72" s="1290">
        <f>(M72+AM72)/K72</f>
        <v>1</v>
      </c>
      <c r="AO72" s="1302">
        <f>K72-M72</f>
        <v>0</v>
      </c>
      <c r="AP72" s="1462" t="s">
        <v>333</v>
      </c>
      <c r="AQ72" s="1233" t="s">
        <v>202</v>
      </c>
      <c r="AR72" s="1480" t="e">
        <f>VLOOKUP(AQ72,Listes!$A$2:$C$15,3)</f>
        <v>#N/A</v>
      </c>
      <c r="AT72" s="930" t="s">
        <v>94</v>
      </c>
      <c r="AU72" s="1278"/>
      <c r="AV72" s="932">
        <v>0.05</v>
      </c>
      <c r="AW72" s="1279">
        <f>AV72+AW71</f>
        <v>0.15000000000000002</v>
      </c>
      <c r="AX72" s="1211"/>
    </row>
    <row r="73" spans="1:51" s="1211" customFormat="1" ht="14.1" customHeight="1">
      <c r="A73" s="1396"/>
      <c r="B73" s="1283" t="s">
        <v>347</v>
      </c>
      <c r="C73" s="1284" t="s">
        <v>245</v>
      </c>
      <c r="D73" s="1285">
        <v>2017</v>
      </c>
      <c r="E73" s="1286">
        <v>200</v>
      </c>
      <c r="F73" s="1287" t="s">
        <v>7</v>
      </c>
      <c r="G73" s="1287" t="s">
        <v>132</v>
      </c>
      <c r="H73" s="1287" t="s">
        <v>365</v>
      </c>
      <c r="I73" s="1284">
        <v>11616560</v>
      </c>
      <c r="J73" s="1288">
        <f>I73/E73</f>
        <v>58082.8</v>
      </c>
      <c r="K73" s="960">
        <f t="shared" si="3"/>
        <v>481692</v>
      </c>
      <c r="L73" s="1444">
        <v>4.1465976158174191E-2</v>
      </c>
      <c r="M73" s="1289">
        <v>481692</v>
      </c>
      <c r="N73" s="1290">
        <f>M73/K73</f>
        <v>1</v>
      </c>
      <c r="O73" s="1291"/>
      <c r="P73" s="1289"/>
      <c r="Q73" s="1284"/>
      <c r="R73" s="1292">
        <f>Q73/K73</f>
        <v>0</v>
      </c>
      <c r="S73" s="1289"/>
      <c r="T73" s="1284"/>
      <c r="U73" s="1293">
        <f>T73/K73</f>
        <v>0</v>
      </c>
      <c r="V73" s="1289"/>
      <c r="W73" s="1284"/>
      <c r="X73" s="1293">
        <f>W73/K73</f>
        <v>0</v>
      </c>
      <c r="Y73" s="1294">
        <v>51495</v>
      </c>
      <c r="Z73" s="1295">
        <v>51495</v>
      </c>
      <c r="AA73" s="1296">
        <f>Z73/K73</f>
        <v>0.10690441194788371</v>
      </c>
      <c r="AB73" s="1297">
        <f>34330+41862+54723</f>
        <v>130915</v>
      </c>
      <c r="AC73" s="1295">
        <v>182410</v>
      </c>
      <c r="AD73" s="1296">
        <f>AC73/K73</f>
        <v>0.37868596530563098</v>
      </c>
      <c r="AE73" s="1294">
        <f>36482+43778+18241+21889</f>
        <v>120390</v>
      </c>
      <c r="AF73" s="1295">
        <f>302800+36481.9</f>
        <v>339281.9</v>
      </c>
      <c r="AG73" s="1290">
        <f>AF73/K73</f>
        <v>0.70435444225770827</v>
      </c>
      <c r="AH73" s="1294">
        <f>21889+14593+21889+3648.19+116873</f>
        <v>178892.19</v>
      </c>
      <c r="AI73" s="1295">
        <v>481692</v>
      </c>
      <c r="AJ73" s="1298">
        <f>AI73/K73</f>
        <v>1</v>
      </c>
      <c r="AK73" s="1299"/>
      <c r="AL73" s="1300">
        <f>AK73/K73</f>
        <v>0</v>
      </c>
      <c r="AM73" s="1301">
        <v>0</v>
      </c>
      <c r="AN73" s="1290">
        <f>(M73+AM73)/K73</f>
        <v>1</v>
      </c>
      <c r="AO73" s="1302">
        <f>K73-M73</f>
        <v>0</v>
      </c>
      <c r="AP73" s="1462"/>
      <c r="AQ73" s="1233"/>
      <c r="AR73" s="1475"/>
      <c r="AT73" s="930" t="s">
        <v>280</v>
      </c>
      <c r="AU73" s="1278"/>
      <c r="AV73" s="932">
        <v>0.15</v>
      </c>
      <c r="AW73" s="1279">
        <f t="shared" ref="AW73:AW84" si="5">AV73+AW72</f>
        <v>0.30000000000000004</v>
      </c>
    </row>
    <row r="74" spans="1:51" s="1211" customFormat="1" ht="14.1" customHeight="1">
      <c r="A74" s="1396"/>
      <c r="B74" s="1283" t="s">
        <v>348</v>
      </c>
      <c r="C74" s="1284" t="s">
        <v>246</v>
      </c>
      <c r="D74" s="1285">
        <v>2017</v>
      </c>
      <c r="E74" s="1286">
        <v>100</v>
      </c>
      <c r="F74" s="1287" t="s">
        <v>7</v>
      </c>
      <c r="G74" s="1287" t="s">
        <v>132</v>
      </c>
      <c r="H74" s="1287"/>
      <c r="I74" s="1284">
        <v>6236911</v>
      </c>
      <c r="J74" s="1288">
        <f>I74/E74</f>
        <v>62369.11</v>
      </c>
      <c r="K74" s="960">
        <f t="shared" si="3"/>
        <v>303631</v>
      </c>
      <c r="L74" s="1444">
        <v>4.8682913705197971E-2</v>
      </c>
      <c r="M74" s="1289">
        <v>303631</v>
      </c>
      <c r="N74" s="1290">
        <f>M74/K74</f>
        <v>1</v>
      </c>
      <c r="O74" s="1291"/>
      <c r="P74" s="1289"/>
      <c r="Q74" s="1284"/>
      <c r="R74" s="1292">
        <f>Q74/K74</f>
        <v>0</v>
      </c>
      <c r="S74" s="1289"/>
      <c r="T74" s="1284"/>
      <c r="U74" s="1293">
        <f>T74/K74</f>
        <v>0</v>
      </c>
      <c r="V74" s="1289"/>
      <c r="W74" s="1284"/>
      <c r="X74" s="1293">
        <f>W74/K74</f>
        <v>0</v>
      </c>
      <c r="Y74" s="1294">
        <v>46179</v>
      </c>
      <c r="Z74" s="1295">
        <v>46179</v>
      </c>
      <c r="AA74" s="1296">
        <f>Z74/K74</f>
        <v>0.15208921355197591</v>
      </c>
      <c r="AB74" s="1297">
        <v>22525</v>
      </c>
      <c r="AC74" s="1295">
        <v>68704</v>
      </c>
      <c r="AD74" s="1296">
        <f>AC74/K74</f>
        <v>0.22627465574990696</v>
      </c>
      <c r="AE74" s="1294">
        <v>82444</v>
      </c>
      <c r="AF74" s="1295">
        <v>151148</v>
      </c>
      <c r="AG74" s="1290">
        <f>AF74/K74</f>
        <v>0.49780160787271394</v>
      </c>
      <c r="AH74" s="1294">
        <f>11778+19630+11777+1962.96+107335</f>
        <v>152482.96</v>
      </c>
      <c r="AI74" s="1295">
        <v>303631</v>
      </c>
      <c r="AJ74" s="1298">
        <f>AI74/K74</f>
        <v>1</v>
      </c>
      <c r="AK74" s="1299"/>
      <c r="AL74" s="1300">
        <f>AK74/K74</f>
        <v>0</v>
      </c>
      <c r="AM74" s="1301">
        <v>0</v>
      </c>
      <c r="AN74" s="1290">
        <f>(M74+AM74)/K74</f>
        <v>1</v>
      </c>
      <c r="AO74" s="1302">
        <f>K74-M74</f>
        <v>0</v>
      </c>
      <c r="AP74" s="1462"/>
      <c r="AQ74" s="1233"/>
      <c r="AR74" s="1475"/>
      <c r="AT74" s="930" t="s">
        <v>281</v>
      </c>
      <c r="AU74" s="1278"/>
      <c r="AV74" s="932">
        <v>0.15</v>
      </c>
      <c r="AW74" s="1279">
        <f t="shared" si="5"/>
        <v>0.45000000000000007</v>
      </c>
    </row>
    <row r="75" spans="1:51" s="1211" customFormat="1" ht="14.1" customHeight="1">
      <c r="A75" s="1396"/>
      <c r="B75" s="1254" t="s">
        <v>231</v>
      </c>
      <c r="C75" s="1255" t="s">
        <v>217</v>
      </c>
      <c r="D75" s="1256">
        <v>2017</v>
      </c>
      <c r="E75" s="199">
        <v>21</v>
      </c>
      <c r="F75" s="1257" t="s">
        <v>291</v>
      </c>
      <c r="G75" s="1257" t="s">
        <v>136</v>
      </c>
      <c r="H75" s="1257"/>
      <c r="I75" s="1258">
        <v>3951182</v>
      </c>
      <c r="J75" s="1259">
        <f>I75/E75</f>
        <v>188151.52380952382</v>
      </c>
      <c r="K75" s="461">
        <f t="shared" si="3"/>
        <v>195889</v>
      </c>
      <c r="L75" s="1443">
        <v>4.9577316357484927E-2</v>
      </c>
      <c r="M75" s="1260">
        <v>156711</v>
      </c>
      <c r="N75" s="1261">
        <f>M75/K75</f>
        <v>0.79999897901362504</v>
      </c>
      <c r="O75" s="1262"/>
      <c r="P75" s="1260"/>
      <c r="Q75" s="1263"/>
      <c r="R75" s="1264">
        <f>Q75/K75</f>
        <v>0</v>
      </c>
      <c r="S75" s="1260"/>
      <c r="T75" s="1263"/>
      <c r="U75" s="1265">
        <f>T75/K75</f>
        <v>0</v>
      </c>
      <c r="V75" s="1260"/>
      <c r="W75" s="1263"/>
      <c r="X75" s="1265">
        <f>W75/K75</f>
        <v>0</v>
      </c>
      <c r="Y75" s="1266">
        <v>45452</v>
      </c>
      <c r="Z75" s="1267">
        <v>45452</v>
      </c>
      <c r="AA75" s="1268">
        <f>Z75/K75</f>
        <v>0.23202936356814319</v>
      </c>
      <c r="AB75" s="1269">
        <f>21612+28742+9580</f>
        <v>59934</v>
      </c>
      <c r="AC75" s="1267">
        <v>105386</v>
      </c>
      <c r="AD75" s="1268">
        <f>AC75/K75</f>
        <v>0.53798835054546201</v>
      </c>
      <c r="AE75" s="1266"/>
      <c r="AF75" s="1267">
        <f>105386+9580.6</f>
        <v>114966.6</v>
      </c>
      <c r="AG75" s="1261">
        <f>AF75/K75</f>
        <v>0.58689666086406078</v>
      </c>
      <c r="AH75" s="1266">
        <f>21235+9740+9740</f>
        <v>40715</v>
      </c>
      <c r="AI75" s="1267">
        <v>146102</v>
      </c>
      <c r="AJ75" s="1270">
        <f>AI75/K75</f>
        <v>0.74584075675510109</v>
      </c>
      <c r="AK75" s="1271">
        <v>10609</v>
      </c>
      <c r="AL75" s="1272">
        <f>AK75/K75</f>
        <v>5.4158222258523958E-2</v>
      </c>
      <c r="AM75" s="1273">
        <f>5%*K75</f>
        <v>9794.4500000000007</v>
      </c>
      <c r="AN75" s="1274">
        <f>(M75+AM75)/K75</f>
        <v>0.84999897901362509</v>
      </c>
      <c r="AO75" s="1275">
        <f>K75-M75</f>
        <v>39178</v>
      </c>
      <c r="AP75" s="1460" t="s">
        <v>205</v>
      </c>
      <c r="AQ75" s="752"/>
      <c r="AR75" s="1475"/>
      <c r="AT75" s="930" t="s">
        <v>95</v>
      </c>
      <c r="AU75" s="1278"/>
      <c r="AV75" s="932">
        <v>0.05</v>
      </c>
      <c r="AW75" s="1279">
        <f t="shared" si="5"/>
        <v>0.50000000000000011</v>
      </c>
    </row>
    <row r="76" spans="1:51" s="331" customFormat="1" ht="14.1" customHeight="1" thickBot="1">
      <c r="A76" s="1396"/>
      <c r="B76" s="817"/>
      <c r="C76" s="818"/>
      <c r="D76" s="819"/>
      <c r="E76" s="820"/>
      <c r="F76" s="821"/>
      <c r="G76" s="821"/>
      <c r="H76" s="821"/>
      <c r="I76" s="818"/>
      <c r="J76" s="822"/>
      <c r="K76" s="823"/>
      <c r="L76" s="1445"/>
      <c r="M76" s="824"/>
      <c r="N76" s="825"/>
      <c r="O76" s="826"/>
      <c r="P76" s="824"/>
      <c r="Q76" s="818"/>
      <c r="R76" s="827"/>
      <c r="S76" s="824"/>
      <c r="T76" s="818"/>
      <c r="U76" s="828"/>
      <c r="V76" s="824"/>
      <c r="W76" s="818"/>
      <c r="X76" s="828"/>
      <c r="Y76" s="829"/>
      <c r="Z76" s="830"/>
      <c r="AA76" s="831"/>
      <c r="AB76" s="832"/>
      <c r="AC76" s="830"/>
      <c r="AD76" s="831"/>
      <c r="AE76" s="829"/>
      <c r="AF76" s="830"/>
      <c r="AG76" s="825"/>
      <c r="AH76" s="829"/>
      <c r="AI76" s="830"/>
      <c r="AJ76" s="1006"/>
      <c r="AK76" s="964"/>
      <c r="AL76" s="1058" t="e">
        <f>AK76/K76</f>
        <v>#DIV/0!</v>
      </c>
      <c r="AM76" s="867"/>
      <c r="AN76" s="825"/>
      <c r="AO76" s="833"/>
      <c r="AP76" s="1465"/>
      <c r="AQ76" s="834"/>
      <c r="AR76" s="1478"/>
      <c r="AT76" s="930" t="s">
        <v>282</v>
      </c>
      <c r="AU76" s="942"/>
      <c r="AV76" s="932">
        <v>0.05</v>
      </c>
      <c r="AW76" s="933">
        <f t="shared" si="5"/>
        <v>0.55000000000000016</v>
      </c>
      <c r="AX76" s="162"/>
    </row>
    <row r="77" spans="1:51" s="212" customFormat="1" ht="16.2" thickBot="1">
      <c r="A77" s="205"/>
      <c r="B77" s="206"/>
      <c r="C77" s="207"/>
      <c r="D77" s="208">
        <f>COUNTA(D69:D76)</f>
        <v>7</v>
      </c>
      <c r="E77" s="208">
        <f>SUM(E69:E76)</f>
        <v>485</v>
      </c>
      <c r="F77" s="209"/>
      <c r="G77" s="210"/>
      <c r="H77" s="210"/>
      <c r="I77" s="211">
        <f>SUM(I69:I76)</f>
        <v>46096849.909209058</v>
      </c>
      <c r="J77" s="434"/>
      <c r="K77" s="444">
        <f>SUM(K69:K76)</f>
        <v>1861316.2072762719</v>
      </c>
      <c r="L77" s="1431"/>
      <c r="M77" s="659">
        <f>SUM(M69:M76)</f>
        <v>1740607</v>
      </c>
      <c r="N77" s="732">
        <f>M77/K77</f>
        <v>0.9351484681622636</v>
      </c>
      <c r="O77" s="415">
        <f>SUM(O69:O76)</f>
        <v>0</v>
      </c>
      <c r="P77" s="659">
        <f>SUM(P69:P76)</f>
        <v>0</v>
      </c>
      <c r="Q77" s="691">
        <f>SUM(Q69:Q76)</f>
        <v>0</v>
      </c>
      <c r="R77" s="725">
        <f>Q77/K77</f>
        <v>0</v>
      </c>
      <c r="S77" s="659">
        <f>SUM(S69:S76)</f>
        <v>0</v>
      </c>
      <c r="T77" s="691">
        <f>SUM(T69:T76)</f>
        <v>0</v>
      </c>
      <c r="U77" s="679">
        <f>T77/K77</f>
        <v>0</v>
      </c>
      <c r="V77" s="659">
        <f>SUM(V69:V76)</f>
        <v>0</v>
      </c>
      <c r="W77" s="691">
        <f>SUM(W69:W76)</f>
        <v>0</v>
      </c>
      <c r="X77" s="679">
        <f>W77/K77</f>
        <v>0</v>
      </c>
      <c r="Y77" s="572">
        <f>SUM(Y69:Y76)</f>
        <v>371954</v>
      </c>
      <c r="Z77" s="588">
        <f>SUM(Z69:Z76)</f>
        <v>371954</v>
      </c>
      <c r="AA77" s="628">
        <f>Z77/K77</f>
        <v>0.19983385872102469</v>
      </c>
      <c r="AB77" s="627">
        <f>SUM(AB69:AB76)</f>
        <v>508382</v>
      </c>
      <c r="AC77" s="588">
        <f>SUM(AC69:AC76)</f>
        <v>862512</v>
      </c>
      <c r="AD77" s="628">
        <f>AC77/K77</f>
        <v>0.46338821777205902</v>
      </c>
      <c r="AE77" s="572">
        <f>SUM(AE69:AE76)</f>
        <v>358447</v>
      </c>
      <c r="AF77" s="588">
        <f>SUM(AF69:AF76)</f>
        <v>1065239.5</v>
      </c>
      <c r="AG77" s="732">
        <f>AF77/K77</f>
        <v>0.57230442406064985</v>
      </c>
      <c r="AH77" s="572">
        <f>SUM(AH69:AH76)</f>
        <v>431582.15</v>
      </c>
      <c r="AI77" s="588">
        <f>SUM(AI69:AI76)</f>
        <v>1660574</v>
      </c>
      <c r="AJ77" s="1007">
        <f>AI77/K77</f>
        <v>0.89215040061891215</v>
      </c>
      <c r="AK77" s="776">
        <f>SUM(AK69:AK76)</f>
        <v>80033</v>
      </c>
      <c r="AL77" s="1059">
        <f>AK77/K77</f>
        <v>4.2998067543351511E-2</v>
      </c>
      <c r="AM77" s="868">
        <f>SUM(AM69:AM76)</f>
        <v>9794.4500000000007</v>
      </c>
      <c r="AN77" s="742">
        <f>(M77+AM77)/K77</f>
        <v>0.94041057782515236</v>
      </c>
      <c r="AO77" s="383">
        <f>SUM(AO69:AO76)</f>
        <v>120709.20727627186</v>
      </c>
      <c r="AP77" s="1484"/>
      <c r="AQ77" s="1483"/>
      <c r="AR77" s="1485"/>
      <c r="AT77" s="930" t="s">
        <v>206</v>
      </c>
      <c r="AU77" s="942"/>
      <c r="AV77" s="932">
        <v>0.1</v>
      </c>
      <c r="AW77" s="933">
        <f t="shared" si="5"/>
        <v>0.65000000000000013</v>
      </c>
      <c r="AX77" s="162"/>
    </row>
    <row r="78" spans="1:51" s="1211" customFormat="1" ht="14.1" customHeight="1">
      <c r="A78" s="1391">
        <v>2018</v>
      </c>
      <c r="B78" s="1254" t="s">
        <v>266</v>
      </c>
      <c r="C78" s="1255" t="s">
        <v>257</v>
      </c>
      <c r="D78" s="1256"/>
      <c r="E78" s="199">
        <v>30</v>
      </c>
      <c r="F78" s="1257"/>
      <c r="G78" s="1257"/>
      <c r="H78" s="1257"/>
      <c r="I78" s="1258">
        <v>4926823</v>
      </c>
      <c r="J78" s="1259">
        <f>I78/E78</f>
        <v>164227.43333333332</v>
      </c>
      <c r="K78" s="1072">
        <f t="shared" ref="K78:K91" si="6">L78*I78</f>
        <v>147804.69</v>
      </c>
      <c r="L78" s="1442">
        <f t="shared" ref="L78:L79" si="7">IF(H78="x",1.5%,3%)</f>
        <v>0.03</v>
      </c>
      <c r="M78" s="1260">
        <v>98536</v>
      </c>
      <c r="N78" s="1261">
        <f>M78/K78</f>
        <v>0.66666355445148595</v>
      </c>
      <c r="O78" s="1262"/>
      <c r="P78" s="1260"/>
      <c r="Q78" s="1263"/>
      <c r="R78" s="1264">
        <f>Q78/K78</f>
        <v>0</v>
      </c>
      <c r="S78" s="1260"/>
      <c r="T78" s="1263"/>
      <c r="U78" s="1265">
        <f>T78/K78</f>
        <v>0</v>
      </c>
      <c r="V78" s="1260"/>
      <c r="W78" s="1263"/>
      <c r="X78" s="1265">
        <f>W78/K78</f>
        <v>0</v>
      </c>
      <c r="Y78" s="1266"/>
      <c r="Z78" s="1267"/>
      <c r="AA78" s="1268">
        <f>Z78/K78</f>
        <v>0</v>
      </c>
      <c r="AB78" s="1269">
        <v>36530</v>
      </c>
      <c r="AC78" s="1267">
        <v>36530</v>
      </c>
      <c r="AD78" s="1268">
        <f>AC78/K78</f>
        <v>0.24715047946042848</v>
      </c>
      <c r="AE78" s="1266">
        <f>24353+13019+24634.1</f>
        <v>62006.1</v>
      </c>
      <c r="AF78" s="1267">
        <f>73902+24634.1</f>
        <v>98536.1</v>
      </c>
      <c r="AG78" s="1261">
        <f>AF78/K78</f>
        <v>0.66666423102000349</v>
      </c>
      <c r="AH78" s="1266"/>
      <c r="AI78" s="1267">
        <v>98536</v>
      </c>
      <c r="AJ78" s="1270">
        <f>AI78/K78</f>
        <v>0.66666355445148595</v>
      </c>
      <c r="AK78" s="1271"/>
      <c r="AL78" s="1272">
        <f>AK78/K78</f>
        <v>0</v>
      </c>
      <c r="AM78" s="1273">
        <v>0</v>
      </c>
      <c r="AN78" s="1274">
        <f>(M78+AM78)/K78</f>
        <v>0.66666355445148595</v>
      </c>
      <c r="AO78" s="1275">
        <f>K78-M78</f>
        <v>49268.69</v>
      </c>
      <c r="AP78" s="1460"/>
      <c r="AQ78" s="752"/>
      <c r="AR78" s="1475"/>
      <c r="AT78" s="930" t="s">
        <v>236</v>
      </c>
      <c r="AU78" s="1278"/>
      <c r="AV78" s="932">
        <v>0.05</v>
      </c>
      <c r="AW78" s="1279">
        <f t="shared" si="5"/>
        <v>0.70000000000000018</v>
      </c>
    </row>
    <row r="79" spans="1:51" s="212" customFormat="1" ht="16.5" customHeight="1">
      <c r="A79" s="1391"/>
      <c r="B79" s="1254" t="s">
        <v>242</v>
      </c>
      <c r="C79" s="1255" t="s">
        <v>248</v>
      </c>
      <c r="D79" s="1256">
        <v>2018</v>
      </c>
      <c r="E79" s="199">
        <v>56</v>
      </c>
      <c r="F79" s="1257" t="s">
        <v>322</v>
      </c>
      <c r="G79" s="1257" t="s">
        <v>139</v>
      </c>
      <c r="H79" s="1257"/>
      <c r="I79" s="1258">
        <v>9453797.0685173143</v>
      </c>
      <c r="J79" s="1259">
        <f>I79/E79</f>
        <v>168817.80479495204</v>
      </c>
      <c r="K79" s="1072">
        <f t="shared" si="6"/>
        <v>283613.91205551941</v>
      </c>
      <c r="L79" s="1442">
        <f t="shared" si="7"/>
        <v>0.03</v>
      </c>
      <c r="M79" s="1260">
        <v>230674</v>
      </c>
      <c r="N79" s="1261">
        <f>M79/K79</f>
        <v>0.81333809871373286</v>
      </c>
      <c r="O79" s="1262"/>
      <c r="P79" s="1260"/>
      <c r="Q79" s="1263"/>
      <c r="R79" s="1264">
        <f>Q79/K79</f>
        <v>0</v>
      </c>
      <c r="S79" s="1260"/>
      <c r="T79" s="1263"/>
      <c r="U79" s="1265">
        <f>T79/K79</f>
        <v>0</v>
      </c>
      <c r="V79" s="1260"/>
      <c r="W79" s="1263"/>
      <c r="X79" s="1265">
        <f>W79/K79</f>
        <v>0</v>
      </c>
      <c r="Y79" s="1266"/>
      <c r="Z79" s="1267"/>
      <c r="AA79" s="1268">
        <f>Z79/K79</f>
        <v>0</v>
      </c>
      <c r="AB79" s="1269">
        <f>99970+13632</f>
        <v>113602</v>
      </c>
      <c r="AC79" s="1267">
        <v>113602</v>
      </c>
      <c r="AD79" s="1268">
        <f>AC79/K79</f>
        <v>0.40055157794149959</v>
      </c>
      <c r="AE79" s="1266">
        <v>47870</v>
      </c>
      <c r="AF79" s="1267">
        <v>161472</v>
      </c>
      <c r="AG79" s="1261">
        <f>AF79/K79</f>
        <v>0.56933737428363784</v>
      </c>
      <c r="AH79" s="1266">
        <v>69202</v>
      </c>
      <c r="AI79" s="1267">
        <v>230674</v>
      </c>
      <c r="AJ79" s="1270">
        <f>AI79/K79</f>
        <v>0.81333809871373286</v>
      </c>
      <c r="AK79" s="1271"/>
      <c r="AL79" s="1272">
        <f>AK79/K79</f>
        <v>0</v>
      </c>
      <c r="AM79" s="1273">
        <f>0%*K79</f>
        <v>0</v>
      </c>
      <c r="AN79" s="1274">
        <f>(M79+AM79)/K79</f>
        <v>0.81333809871373286</v>
      </c>
      <c r="AO79" s="1275">
        <f>K79-M79</f>
        <v>52939.912055519409</v>
      </c>
      <c r="AP79" s="1460" t="s">
        <v>350</v>
      </c>
      <c r="AQ79" s="752"/>
      <c r="AR79" s="1479"/>
      <c r="AT79" s="930" t="s">
        <v>223</v>
      </c>
      <c r="AU79" s="1278"/>
      <c r="AV79" s="932">
        <v>0.05</v>
      </c>
      <c r="AW79" s="1279">
        <f t="shared" si="5"/>
        <v>0.75000000000000022</v>
      </c>
      <c r="AX79" s="1211"/>
    </row>
    <row r="80" spans="1:51" s="1211" customFormat="1" ht="14.1" customHeight="1">
      <c r="A80" s="1391"/>
      <c r="B80" s="1254" t="s">
        <v>249</v>
      </c>
      <c r="C80" s="1255" t="s">
        <v>252</v>
      </c>
      <c r="D80" s="1256">
        <v>2018</v>
      </c>
      <c r="E80" s="199">
        <v>17</v>
      </c>
      <c r="F80" s="1257" t="s">
        <v>7</v>
      </c>
      <c r="G80" s="1257" t="s">
        <v>136</v>
      </c>
      <c r="H80" s="1257"/>
      <c r="I80" s="1258">
        <v>3251460.2132535796</v>
      </c>
      <c r="J80" s="1259">
        <f>I80/E80</f>
        <v>191262.36548550468</v>
      </c>
      <c r="K80" s="461">
        <f t="shared" si="6"/>
        <v>162573.01066267898</v>
      </c>
      <c r="L80" s="1443">
        <v>0.05</v>
      </c>
      <c r="M80" s="1260">
        <v>105872</v>
      </c>
      <c r="N80" s="1261">
        <f>M80/K80</f>
        <v>0.65122740588025829</v>
      </c>
      <c r="O80" s="1262"/>
      <c r="P80" s="1260"/>
      <c r="Q80" s="1263"/>
      <c r="R80" s="1264">
        <f>Q80/K80</f>
        <v>0</v>
      </c>
      <c r="S80" s="1260"/>
      <c r="T80" s="1263"/>
      <c r="U80" s="1265">
        <f>T80/K80</f>
        <v>0</v>
      </c>
      <c r="V80" s="1260"/>
      <c r="W80" s="1263"/>
      <c r="X80" s="1265">
        <f>W80/K80</f>
        <v>0</v>
      </c>
      <c r="Y80" s="1266"/>
      <c r="Z80" s="1267"/>
      <c r="AA80" s="1268">
        <f>Z80/K80</f>
        <v>0</v>
      </c>
      <c r="AB80" s="1269">
        <f>15110+8318+7809</f>
        <v>31237</v>
      </c>
      <c r="AC80" s="1267">
        <v>31238</v>
      </c>
      <c r="AD80" s="1268">
        <f>AC80/K80</f>
        <v>0.19214751496984575</v>
      </c>
      <c r="AE80" s="1266">
        <f>15619+14463+15330</f>
        <v>45412</v>
      </c>
      <c r="AF80" s="1267">
        <v>76649</v>
      </c>
      <c r="AG80" s="1261">
        <f>AF80/K80</f>
        <v>0.47147432213725932</v>
      </c>
      <c r="AH80" s="1266">
        <f>4791+24432</f>
        <v>29223</v>
      </c>
      <c r="AI80" s="1267">
        <v>105872</v>
      </c>
      <c r="AJ80" s="1270">
        <f>AI80/K80</f>
        <v>0.65122740588025829</v>
      </c>
      <c r="AK80" s="1271"/>
      <c r="AL80" s="1272">
        <f>AK80/K80</f>
        <v>0</v>
      </c>
      <c r="AM80" s="1273">
        <f>15%*K80</f>
        <v>24385.951599401847</v>
      </c>
      <c r="AN80" s="1274">
        <f>(M80+AM80)/K80</f>
        <v>0.80122740588025831</v>
      </c>
      <c r="AO80" s="1275">
        <f>K80-M80</f>
        <v>56701.010662678978</v>
      </c>
      <c r="AP80" s="1460" t="s">
        <v>223</v>
      </c>
      <c r="AQ80" s="752"/>
      <c r="AR80" s="1475"/>
      <c r="AT80" s="930" t="s">
        <v>205</v>
      </c>
      <c r="AU80" s="1278"/>
      <c r="AV80" s="932">
        <v>0.05</v>
      </c>
      <c r="AW80" s="1279">
        <f t="shared" si="5"/>
        <v>0.80000000000000027</v>
      </c>
    </row>
    <row r="81" spans="1:51" s="1211" customFormat="1" ht="14.1" customHeight="1">
      <c r="A81" s="1391"/>
      <c r="B81" s="1254" t="s">
        <v>265</v>
      </c>
      <c r="C81" s="1255" t="s">
        <v>256</v>
      </c>
      <c r="D81" s="1256"/>
      <c r="E81" s="199">
        <v>33</v>
      </c>
      <c r="F81" s="1257"/>
      <c r="G81" s="1257"/>
      <c r="H81" s="1257"/>
      <c r="I81" s="1258">
        <f>5015573+183311</f>
        <v>5198884</v>
      </c>
      <c r="J81" s="1259">
        <f>I81/E81</f>
        <v>157541.93939393939</v>
      </c>
      <c r="K81" s="1072">
        <f t="shared" si="6"/>
        <v>155966.51999999999</v>
      </c>
      <c r="L81" s="1442">
        <f t="shared" ref="L81:L82" si="8">IF(H81="x",1.5%,3%)</f>
        <v>0.03</v>
      </c>
      <c r="M81" s="1260">
        <f>62695+3208</f>
        <v>65903</v>
      </c>
      <c r="N81" s="1261">
        <f>M81/K81</f>
        <v>0.42254581303731087</v>
      </c>
      <c r="O81" s="1262"/>
      <c r="P81" s="1260"/>
      <c r="Q81" s="1263"/>
      <c r="R81" s="1264">
        <f>Q81/K81</f>
        <v>0</v>
      </c>
      <c r="S81" s="1260"/>
      <c r="T81" s="1263"/>
      <c r="U81" s="1265">
        <f>T81/K81</f>
        <v>0</v>
      </c>
      <c r="V81" s="1260"/>
      <c r="W81" s="1263"/>
      <c r="X81" s="1265">
        <f>W81/K81</f>
        <v>0</v>
      </c>
      <c r="Y81" s="1266"/>
      <c r="Z81" s="1267"/>
      <c r="AA81" s="1268">
        <f>Z81/K81</f>
        <v>0</v>
      </c>
      <c r="AB81" s="1269">
        <v>39542</v>
      </c>
      <c r="AC81" s="1267">
        <v>39542</v>
      </c>
      <c r="AD81" s="1268">
        <f>AC81/K81</f>
        <v>0.25352877014887554</v>
      </c>
      <c r="AE81" s="1266">
        <f>1283+25078</f>
        <v>26361</v>
      </c>
      <c r="AF81" s="1267">
        <v>65903</v>
      </c>
      <c r="AG81" s="1261">
        <f>AF81/K81</f>
        <v>0.42254581303731087</v>
      </c>
      <c r="AH81" s="1266"/>
      <c r="AI81" s="1267">
        <v>65903</v>
      </c>
      <c r="AJ81" s="1270">
        <f>AI81/K81</f>
        <v>0.42254581303731087</v>
      </c>
      <c r="AK81" s="1271"/>
      <c r="AL81" s="1272">
        <f>AK81/K81</f>
        <v>0</v>
      </c>
      <c r="AM81" s="1273">
        <v>0</v>
      </c>
      <c r="AN81" s="1274">
        <f>(M81+AM81)/K81</f>
        <v>0.42254581303731087</v>
      </c>
      <c r="AO81" s="1275">
        <f>K81-M81</f>
        <v>90063.51999999999</v>
      </c>
      <c r="AP81" s="1460"/>
      <c r="AQ81" s="752"/>
      <c r="AR81" s="1475"/>
      <c r="AT81" s="930" t="s">
        <v>237</v>
      </c>
      <c r="AU81" s="1278"/>
      <c r="AV81" s="932">
        <v>0.05</v>
      </c>
      <c r="AW81" s="1279">
        <f t="shared" si="5"/>
        <v>0.85000000000000031</v>
      </c>
    </row>
    <row r="82" spans="1:51" s="1211" customFormat="1" ht="14.1" customHeight="1">
      <c r="A82" s="1391"/>
      <c r="B82" s="1254" t="s">
        <v>253</v>
      </c>
      <c r="C82" s="1255" t="s">
        <v>255</v>
      </c>
      <c r="D82" s="1256">
        <v>2018</v>
      </c>
      <c r="E82" s="199">
        <v>39</v>
      </c>
      <c r="F82" s="1257" t="s">
        <v>104</v>
      </c>
      <c r="G82" s="1257" t="s">
        <v>139</v>
      </c>
      <c r="H82" s="1257"/>
      <c r="I82" s="1258">
        <v>7869899.4131003246</v>
      </c>
      <c r="J82" s="1259">
        <f>I82/E82</f>
        <v>201792.29264359808</v>
      </c>
      <c r="K82" s="1072">
        <f t="shared" si="6"/>
        <v>236096.98239300973</v>
      </c>
      <c r="L82" s="1442">
        <f t="shared" si="8"/>
        <v>0.03</v>
      </c>
      <c r="M82" s="1260">
        <v>180970</v>
      </c>
      <c r="N82" s="1261">
        <f>M82/K82</f>
        <v>0.76650704369764144</v>
      </c>
      <c r="O82" s="1262"/>
      <c r="P82" s="1260"/>
      <c r="Q82" s="1263"/>
      <c r="R82" s="1264">
        <f>Q82/K82</f>
        <v>0</v>
      </c>
      <c r="S82" s="1260"/>
      <c r="T82" s="1263"/>
      <c r="U82" s="1265">
        <f>T82/K82</f>
        <v>0</v>
      </c>
      <c r="V82" s="1260"/>
      <c r="W82" s="1263"/>
      <c r="X82" s="1265">
        <f>W82/K82</f>
        <v>0</v>
      </c>
      <c r="Y82" s="1266"/>
      <c r="Z82" s="1267"/>
      <c r="AA82" s="1268">
        <f>Z82/K82</f>
        <v>0</v>
      </c>
      <c r="AB82" s="1269">
        <f>25896+20695</f>
        <v>46591</v>
      </c>
      <c r="AC82" s="1267">
        <v>46592</v>
      </c>
      <c r="AD82" s="1268">
        <f>AC82/K82</f>
        <v>0.19734263236978788</v>
      </c>
      <c r="AE82" s="1266">
        <f>31062+24757+36318+42242</f>
        <v>134379</v>
      </c>
      <c r="AF82" s="1267">
        <v>180970</v>
      </c>
      <c r="AG82" s="1261">
        <f>AF82/K82</f>
        <v>0.76650704369764144</v>
      </c>
      <c r="AH82" s="1266"/>
      <c r="AI82" s="1267">
        <v>180970</v>
      </c>
      <c r="AJ82" s="1270">
        <f>AI82/K82</f>
        <v>0.76650704369764144</v>
      </c>
      <c r="AK82" s="1271"/>
      <c r="AL82" s="1272">
        <f>AK82/K82</f>
        <v>0</v>
      </c>
      <c r="AM82" s="1273">
        <f>0%*K82</f>
        <v>0</v>
      </c>
      <c r="AN82" s="1274">
        <f>(M82+AM82)/K82</f>
        <v>0.76650704369764144</v>
      </c>
      <c r="AO82" s="1275">
        <f>K82-M82</f>
        <v>55126.982393009734</v>
      </c>
      <c r="AP82" s="1460" t="s">
        <v>349</v>
      </c>
      <c r="AQ82" s="752"/>
      <c r="AR82" s="1475"/>
      <c r="AT82" s="930" t="s">
        <v>204</v>
      </c>
      <c r="AU82" s="1278"/>
      <c r="AV82" s="932">
        <v>0.05</v>
      </c>
      <c r="AW82" s="1279">
        <f t="shared" si="5"/>
        <v>0.90000000000000036</v>
      </c>
    </row>
    <row r="83" spans="1:51" s="212" customFormat="1" ht="16.5" customHeight="1" thickBot="1">
      <c r="A83" s="1391"/>
      <c r="B83" s="196"/>
      <c r="C83" s="197"/>
      <c r="D83" s="198"/>
      <c r="E83" s="204"/>
      <c r="F83" s="200"/>
      <c r="G83" s="200"/>
      <c r="H83" s="200"/>
      <c r="I83" s="201">
        <f>180000*E83</f>
        <v>0</v>
      </c>
      <c r="J83" s="433"/>
      <c r="K83" s="461">
        <f t="shared" si="6"/>
        <v>0</v>
      </c>
      <c r="L83" s="1443"/>
      <c r="M83" s="382"/>
      <c r="N83" s="372"/>
      <c r="O83" s="414"/>
      <c r="P83" s="382"/>
      <c r="Q83" s="690"/>
      <c r="R83" s="724" t="e">
        <f>Q83/K83</f>
        <v>#DIV/0!</v>
      </c>
      <c r="S83" s="382"/>
      <c r="T83" s="690"/>
      <c r="U83" s="678" t="e">
        <f>T83/K83</f>
        <v>#DIV/0!</v>
      </c>
      <c r="V83" s="382"/>
      <c r="W83" s="690"/>
      <c r="X83" s="678" t="e">
        <f>W83/K83</f>
        <v>#DIV/0!</v>
      </c>
      <c r="Y83" s="361"/>
      <c r="Z83" s="587"/>
      <c r="AA83" s="626" t="e">
        <f>Z83/K83</f>
        <v>#DIV/0!</v>
      </c>
      <c r="AB83" s="625"/>
      <c r="AC83" s="587"/>
      <c r="AD83" s="626" t="e">
        <f>AC83/K83</f>
        <v>#DIV/0!</v>
      </c>
      <c r="AE83" s="361"/>
      <c r="AF83" s="587"/>
      <c r="AG83" s="372"/>
      <c r="AH83" s="361"/>
      <c r="AI83" s="587"/>
      <c r="AJ83" s="202"/>
      <c r="AK83" s="775"/>
      <c r="AL83" s="1057" t="e">
        <f>AK83/K83</f>
        <v>#DIV/0!</v>
      </c>
      <c r="AM83" s="853"/>
      <c r="AN83" s="555"/>
      <c r="AO83" s="203">
        <f>K83-M83</f>
        <v>0</v>
      </c>
      <c r="AP83" s="1456"/>
      <c r="AQ83" s="751"/>
      <c r="AR83" s="1478"/>
      <c r="AT83" s="930" t="s">
        <v>203</v>
      </c>
      <c r="AU83" s="942"/>
      <c r="AV83" s="932">
        <v>0.05</v>
      </c>
      <c r="AW83" s="933">
        <f t="shared" si="5"/>
        <v>0.9500000000000004</v>
      </c>
      <c r="AX83" s="162"/>
    </row>
    <row r="84" spans="1:51" s="212" customFormat="1" ht="16.2" thickBot="1">
      <c r="A84" s="205"/>
      <c r="B84" s="206"/>
      <c r="C84" s="207"/>
      <c r="D84" s="208">
        <f>COUNTA(D78:D83)</f>
        <v>3</v>
      </c>
      <c r="E84" s="208">
        <f>SUM(E78:E83)</f>
        <v>175</v>
      </c>
      <c r="F84" s="209"/>
      <c r="G84" s="210"/>
      <c r="H84" s="210"/>
      <c r="I84" s="211">
        <f>SUM(I78:I83)</f>
        <v>30700863.694871217</v>
      </c>
      <c r="J84" s="434"/>
      <c r="K84" s="444">
        <f>SUM(K78:K83)</f>
        <v>986055.11511120817</v>
      </c>
      <c r="L84" s="1431"/>
      <c r="M84" s="659">
        <f>SUM(M78:M83)</f>
        <v>681955</v>
      </c>
      <c r="N84" s="732">
        <f>M84/K84</f>
        <v>0.69159927224056694</v>
      </c>
      <c r="O84" s="415">
        <f>SUM(O78:O83)</f>
        <v>0</v>
      </c>
      <c r="P84" s="659">
        <f>SUM(P78:P83)</f>
        <v>0</v>
      </c>
      <c r="Q84" s="691">
        <f>SUM(Q78:Q83)</f>
        <v>0</v>
      </c>
      <c r="R84" s="725">
        <f>Q84/K84</f>
        <v>0</v>
      </c>
      <c r="S84" s="659">
        <f>SUM(S78:S83)</f>
        <v>0</v>
      </c>
      <c r="T84" s="691">
        <f>SUM(T78:T83)</f>
        <v>0</v>
      </c>
      <c r="U84" s="679">
        <f>T84/K84</f>
        <v>0</v>
      </c>
      <c r="V84" s="659">
        <f>SUM(V78:V83)</f>
        <v>0</v>
      </c>
      <c r="W84" s="691">
        <f>SUM(W78:W83)</f>
        <v>0</v>
      </c>
      <c r="X84" s="679">
        <f>W84/K84</f>
        <v>0</v>
      </c>
      <c r="Y84" s="572">
        <f>SUM(Y78:Y83)</f>
        <v>0</v>
      </c>
      <c r="Z84" s="588">
        <f>SUM(Z78:Z83)</f>
        <v>0</v>
      </c>
      <c r="AA84" s="628">
        <f>Z84/K84</f>
        <v>0</v>
      </c>
      <c r="AB84" s="627">
        <f>SUM(AB78:AB83)</f>
        <v>267502</v>
      </c>
      <c r="AC84" s="588">
        <f>SUM(AC78:AC83)</f>
        <v>267504</v>
      </c>
      <c r="AD84" s="628">
        <f>AC84/K84</f>
        <v>0.27128706692001764</v>
      </c>
      <c r="AE84" s="572">
        <f>SUM(AE78:AE83)</f>
        <v>316028.09999999998</v>
      </c>
      <c r="AF84" s="588">
        <f>SUM(AF78:AF83)</f>
        <v>583530.1</v>
      </c>
      <c r="AG84" s="732">
        <f>AF84/K84</f>
        <v>0.59178243797679497</v>
      </c>
      <c r="AH84" s="572">
        <f>SUM(AH78:AH83)</f>
        <v>98425</v>
      </c>
      <c r="AI84" s="588">
        <f>SUM(AI78:AI83)</f>
        <v>681955</v>
      </c>
      <c r="AJ84" s="1007">
        <f>AI84/K84</f>
        <v>0.69159927224056694</v>
      </c>
      <c r="AK84" s="776">
        <f>SUM(AK78:AK83)</f>
        <v>0</v>
      </c>
      <c r="AL84" s="1059">
        <f>AK84/K84</f>
        <v>0</v>
      </c>
      <c r="AM84" s="869">
        <f>SUM(AM78:AM83)</f>
        <v>24385.951599401847</v>
      </c>
      <c r="AN84" s="742">
        <f>(M84+AM84)/K84</f>
        <v>0.71633009227860467</v>
      </c>
      <c r="AO84" s="383">
        <f>SUM(AO78:AO83)</f>
        <v>304100.11511120811</v>
      </c>
      <c r="AP84" s="1484"/>
      <c r="AQ84" s="1483"/>
      <c r="AR84" s="1485"/>
      <c r="AT84" s="947" t="s">
        <v>202</v>
      </c>
      <c r="AU84" s="948"/>
      <c r="AV84" s="949">
        <v>0.05</v>
      </c>
      <c r="AW84" s="950">
        <f t="shared" si="5"/>
        <v>1.0000000000000004</v>
      </c>
      <c r="AX84" s="162"/>
    </row>
    <row r="85" spans="1:51" s="1211" customFormat="1" ht="14.1" customHeight="1">
      <c r="A85" s="1392">
        <v>2019</v>
      </c>
      <c r="B85" s="1254" t="s">
        <v>351</v>
      </c>
      <c r="C85" s="1255" t="s">
        <v>287</v>
      </c>
      <c r="D85" s="1256">
        <v>2019</v>
      </c>
      <c r="E85" s="199">
        <v>66</v>
      </c>
      <c r="F85" s="1281" t="s">
        <v>104</v>
      </c>
      <c r="G85" s="1257" t="s">
        <v>139</v>
      </c>
      <c r="H85" s="1257" t="s">
        <v>365</v>
      </c>
      <c r="I85" s="1258">
        <v>10605600</v>
      </c>
      <c r="J85" s="1259">
        <f>I85/E85</f>
        <v>160690.90909090909</v>
      </c>
      <c r="K85" s="461">
        <f t="shared" si="6"/>
        <v>318168</v>
      </c>
      <c r="L85" s="1443">
        <v>0.03</v>
      </c>
      <c r="M85" s="1260">
        <v>206809</v>
      </c>
      <c r="N85" s="1261">
        <f>M85/K85</f>
        <v>0.64999937140127229</v>
      </c>
      <c r="O85" s="1262"/>
      <c r="P85" s="1260"/>
      <c r="Q85" s="1263"/>
      <c r="R85" s="1264">
        <f>Q85/K85</f>
        <v>0</v>
      </c>
      <c r="S85" s="1260"/>
      <c r="T85" s="1263"/>
      <c r="U85" s="1265">
        <f>T85/K85</f>
        <v>0</v>
      </c>
      <c r="V85" s="1260"/>
      <c r="W85" s="1263"/>
      <c r="X85" s="1265">
        <f>W85/K85</f>
        <v>0</v>
      </c>
      <c r="Y85" s="1266"/>
      <c r="Z85" s="1267"/>
      <c r="AA85" s="1268">
        <f>Z85/K85</f>
        <v>0</v>
      </c>
      <c r="AB85" s="1269"/>
      <c r="AC85" s="1267"/>
      <c r="AD85" s="1268">
        <f>AC85/K85</f>
        <v>0</v>
      </c>
      <c r="AE85" s="1266">
        <v>31650</v>
      </c>
      <c r="AF85" s="1267">
        <v>31650</v>
      </c>
      <c r="AG85" s="1261">
        <f>AF85/K85</f>
        <v>9.9475748661084704E-2</v>
      </c>
      <c r="AH85" s="1266">
        <v>63800</v>
      </c>
      <c r="AI85" s="1267">
        <v>63800</v>
      </c>
      <c r="AJ85" s="1270">
        <f>AI85/K85</f>
        <v>0.20052299414145985</v>
      </c>
      <c r="AK85" s="1271">
        <v>111359</v>
      </c>
      <c r="AL85" s="1272">
        <f>AK85/K85</f>
        <v>0.35000062859872771</v>
      </c>
      <c r="AM85" s="1273">
        <v>0</v>
      </c>
      <c r="AN85" s="1274">
        <f>(M85+AM85)/K85</f>
        <v>0.64999937140127229</v>
      </c>
      <c r="AO85" s="1275">
        <f>K85-M85</f>
        <v>111359</v>
      </c>
      <c r="AP85" s="1460" t="s">
        <v>95</v>
      </c>
      <c r="AQ85" s="752" t="s">
        <v>206</v>
      </c>
      <c r="AR85" s="1480">
        <f>VLOOKUP(AQ85,Listes!$A$2:$C$15,3)</f>
        <v>0.65000000000000013</v>
      </c>
      <c r="AT85" s="1303"/>
    </row>
    <row r="86" spans="1:51" s="162" customFormat="1" ht="14.1" customHeight="1">
      <c r="A86" s="1392"/>
      <c r="B86" s="1254" t="s">
        <v>352</v>
      </c>
      <c r="C86" s="1255" t="s">
        <v>292</v>
      </c>
      <c r="D86" s="1256">
        <v>2019</v>
      </c>
      <c r="E86" s="199">
        <v>58</v>
      </c>
      <c r="F86" s="1281" t="s">
        <v>7</v>
      </c>
      <c r="G86" s="1257" t="s">
        <v>136</v>
      </c>
      <c r="H86" s="1257" t="s">
        <v>365</v>
      </c>
      <c r="I86" s="1258">
        <v>10763595</v>
      </c>
      <c r="J86" s="1259">
        <f>I86/E86</f>
        <v>185579.22413793104</v>
      </c>
      <c r="K86" s="461">
        <f t="shared" si="6"/>
        <v>374676</v>
      </c>
      <c r="L86" s="1443">
        <v>3.4809559445519826E-2</v>
      </c>
      <c r="M86" s="1260">
        <v>187338</v>
      </c>
      <c r="N86" s="1261">
        <f>M86/K86</f>
        <v>0.5</v>
      </c>
      <c r="O86" s="1262"/>
      <c r="P86" s="1260"/>
      <c r="Q86" s="1263"/>
      <c r="R86" s="1264">
        <f>Q86/K86</f>
        <v>0</v>
      </c>
      <c r="S86" s="1260"/>
      <c r="T86" s="1263"/>
      <c r="U86" s="1265">
        <f>T86/K86</f>
        <v>0</v>
      </c>
      <c r="V86" s="1260"/>
      <c r="W86" s="1263"/>
      <c r="X86" s="1265">
        <f>W86/K86</f>
        <v>0</v>
      </c>
      <c r="Y86" s="1266"/>
      <c r="Z86" s="1267"/>
      <c r="AA86" s="1268">
        <f>Z86/K86</f>
        <v>0</v>
      </c>
      <c r="AB86" s="1269"/>
      <c r="AC86" s="1267"/>
      <c r="AD86" s="1268">
        <f>AC86/K86</f>
        <v>0</v>
      </c>
      <c r="AE86" s="1266">
        <v>76954</v>
      </c>
      <c r="AF86" s="1267">
        <v>76954</v>
      </c>
      <c r="AG86" s="1261">
        <f>AF86/K86</f>
        <v>0.20538812200407819</v>
      </c>
      <c r="AH86" s="1266">
        <f>15391+94993</f>
        <v>110384</v>
      </c>
      <c r="AI86" s="1267">
        <v>187338</v>
      </c>
      <c r="AJ86" s="1270">
        <f>AI86/K86</f>
        <v>0.5</v>
      </c>
      <c r="AK86" s="1271"/>
      <c r="AL86" s="1272">
        <f>AK86/K86</f>
        <v>0</v>
      </c>
      <c r="AM86" s="1273">
        <f>15%*K86</f>
        <v>56201.4</v>
      </c>
      <c r="AN86" s="1274">
        <f>(M86+AM86)/K86</f>
        <v>0.65</v>
      </c>
      <c r="AO86" s="1275">
        <f>K86-M86</f>
        <v>187338</v>
      </c>
      <c r="AP86" s="1460" t="s">
        <v>206</v>
      </c>
      <c r="AQ86" s="752" t="s">
        <v>206</v>
      </c>
      <c r="AR86" s="1480">
        <f>VLOOKUP(AQ86,Listes!$A$2:$C$15,3)</f>
        <v>0.65000000000000013</v>
      </c>
    </row>
    <row r="87" spans="1:51" s="162" customFormat="1" ht="14.1" customHeight="1">
      <c r="A87" s="1392"/>
      <c r="B87" s="1234" t="s">
        <v>353</v>
      </c>
      <c r="C87" s="1235" t="s">
        <v>286</v>
      </c>
      <c r="D87" s="1236">
        <v>2019</v>
      </c>
      <c r="E87" s="1076">
        <v>35</v>
      </c>
      <c r="F87" s="1237" t="s">
        <v>12</v>
      </c>
      <c r="G87" s="1237" t="s">
        <v>139</v>
      </c>
      <c r="H87" s="1237" t="s">
        <v>365</v>
      </c>
      <c r="I87" s="1235">
        <v>5619288</v>
      </c>
      <c r="J87" s="1238">
        <f>I87/E87</f>
        <v>160551.08571428573</v>
      </c>
      <c r="K87" s="1074">
        <f t="shared" si="6"/>
        <v>160500</v>
      </c>
      <c r="L87" s="1441">
        <v>2.8562337434920582E-2</v>
      </c>
      <c r="M87" s="1239">
        <v>48150</v>
      </c>
      <c r="N87" s="1240">
        <f>M87/K87</f>
        <v>0.3</v>
      </c>
      <c r="O87" s="1241"/>
      <c r="P87" s="1239"/>
      <c r="Q87" s="1235"/>
      <c r="R87" s="1242">
        <f>Q87/K87</f>
        <v>0</v>
      </c>
      <c r="S87" s="1239"/>
      <c r="T87" s="1235"/>
      <c r="U87" s="1243">
        <f>T87/K87</f>
        <v>0</v>
      </c>
      <c r="V87" s="1239"/>
      <c r="W87" s="1235"/>
      <c r="X87" s="1243">
        <f>W87/K87</f>
        <v>0</v>
      </c>
      <c r="Y87" s="1244"/>
      <c r="Z87" s="1245"/>
      <c r="AA87" s="1246">
        <f>Z87/K87</f>
        <v>0</v>
      </c>
      <c r="AB87" s="1247"/>
      <c r="AC87" s="1245"/>
      <c r="AD87" s="1246">
        <f>AC87/K87</f>
        <v>0</v>
      </c>
      <c r="AE87" s="1244">
        <v>16050</v>
      </c>
      <c r="AF87" s="1245">
        <v>16050</v>
      </c>
      <c r="AG87" s="1240">
        <f>AF87/K87</f>
        <v>0.1</v>
      </c>
      <c r="AH87" s="1244">
        <f>8025+24075</f>
        <v>32100</v>
      </c>
      <c r="AI87" s="1245">
        <v>48150</v>
      </c>
      <c r="AJ87" s="1248">
        <f>AI87/K87</f>
        <v>0.3</v>
      </c>
      <c r="AK87" s="1249"/>
      <c r="AL87" s="1250">
        <f>AK87/K87</f>
        <v>0</v>
      </c>
      <c r="AM87" s="1251"/>
      <c r="AN87" s="1240">
        <f>(M87+AM87)/K87</f>
        <v>0.3</v>
      </c>
      <c r="AO87" s="1252">
        <f>K87-M87</f>
        <v>112350</v>
      </c>
      <c r="AP87" s="1466" t="s">
        <v>95</v>
      </c>
      <c r="AQ87" s="1075"/>
      <c r="AR87" s="1481" t="s">
        <v>336</v>
      </c>
    </row>
    <row r="88" spans="1:51" s="162" customFormat="1" ht="14.1" customHeight="1" thickBot="1">
      <c r="A88" s="1392"/>
      <c r="B88" s="1234" t="s">
        <v>354</v>
      </c>
      <c r="C88" s="1235" t="s">
        <v>287</v>
      </c>
      <c r="D88" s="1236">
        <v>2019</v>
      </c>
      <c r="E88" s="1076">
        <v>41</v>
      </c>
      <c r="F88" s="1237" t="s">
        <v>12</v>
      </c>
      <c r="G88" s="1237" t="s">
        <v>139</v>
      </c>
      <c r="H88" s="1237" t="s">
        <v>365</v>
      </c>
      <c r="I88" s="1235">
        <v>6200000</v>
      </c>
      <c r="J88" s="1238">
        <f>I88/E88</f>
        <v>151219.51219512196</v>
      </c>
      <c r="K88" s="1074">
        <f t="shared" si="6"/>
        <v>186000</v>
      </c>
      <c r="L88" s="1441">
        <v>0.03</v>
      </c>
      <c r="M88" s="1239">
        <v>55800</v>
      </c>
      <c r="N88" s="1240">
        <f>M88/K88</f>
        <v>0.3</v>
      </c>
      <c r="O88" s="1241"/>
      <c r="P88" s="1239"/>
      <c r="Q88" s="1235"/>
      <c r="R88" s="1242">
        <f>Q88/K88</f>
        <v>0</v>
      </c>
      <c r="S88" s="1239"/>
      <c r="T88" s="1235"/>
      <c r="U88" s="1243">
        <f>T88/K88</f>
        <v>0</v>
      </c>
      <c r="V88" s="1239"/>
      <c r="W88" s="1235"/>
      <c r="X88" s="1243">
        <f>W88/K88</f>
        <v>0</v>
      </c>
      <c r="Y88" s="1244"/>
      <c r="Z88" s="1245"/>
      <c r="AA88" s="1246">
        <f>Z88/K88</f>
        <v>0</v>
      </c>
      <c r="AB88" s="1247"/>
      <c r="AC88" s="1245"/>
      <c r="AD88" s="1246">
        <f>AC88/K88</f>
        <v>0</v>
      </c>
      <c r="AE88" s="1244">
        <v>18300</v>
      </c>
      <c r="AF88" s="1245">
        <v>18300</v>
      </c>
      <c r="AG88" s="1240">
        <f>AF88/K88</f>
        <v>9.838709677419355E-2</v>
      </c>
      <c r="AH88" s="1244">
        <v>37500</v>
      </c>
      <c r="AI88" s="1245">
        <v>55800</v>
      </c>
      <c r="AJ88" s="1248">
        <f>AI88/K88</f>
        <v>0.3</v>
      </c>
      <c r="AK88" s="1249"/>
      <c r="AL88" s="1250">
        <f>AK88/K88</f>
        <v>0</v>
      </c>
      <c r="AM88" s="1251"/>
      <c r="AN88" s="1240">
        <f>(M88+AM88)/K88</f>
        <v>0.3</v>
      </c>
      <c r="AO88" s="1252">
        <f>K88-M88</f>
        <v>130200</v>
      </c>
      <c r="AP88" s="1466"/>
      <c r="AQ88" s="1075"/>
      <c r="AR88" s="1481" t="s">
        <v>336</v>
      </c>
      <c r="AT88" s="1"/>
    </row>
    <row r="89" spans="1:51" s="162" customFormat="1" ht="14.1" customHeight="1">
      <c r="A89" s="1392"/>
      <c r="B89" s="1254" t="s">
        <v>355</v>
      </c>
      <c r="C89" s="1255" t="s">
        <v>288</v>
      </c>
      <c r="D89" s="1256">
        <v>2019</v>
      </c>
      <c r="E89" s="199">
        <v>60</v>
      </c>
      <c r="F89" s="1257" t="s">
        <v>7</v>
      </c>
      <c r="G89" s="1257" t="s">
        <v>95</v>
      </c>
      <c r="H89" s="1257" t="s">
        <v>365</v>
      </c>
      <c r="I89" s="1258">
        <v>11010000</v>
      </c>
      <c r="J89" s="1259">
        <f>I89/E89</f>
        <v>183500</v>
      </c>
      <c r="K89" s="461">
        <f t="shared" si="6"/>
        <v>330300</v>
      </c>
      <c r="L89" s="1443">
        <v>0.03</v>
      </c>
      <c r="M89" s="1260">
        <v>99090</v>
      </c>
      <c r="N89" s="1261">
        <f>M89/K89</f>
        <v>0.3</v>
      </c>
      <c r="O89" s="1262"/>
      <c r="P89" s="1260"/>
      <c r="Q89" s="1263"/>
      <c r="R89" s="1264">
        <f>Q89/K89</f>
        <v>0</v>
      </c>
      <c r="S89" s="1260"/>
      <c r="T89" s="1263"/>
      <c r="U89" s="1265">
        <f>T89/K89</f>
        <v>0</v>
      </c>
      <c r="V89" s="1260"/>
      <c r="W89" s="1263"/>
      <c r="X89" s="1265">
        <f>W89/K89</f>
        <v>0</v>
      </c>
      <c r="Y89" s="1266"/>
      <c r="Z89" s="1267"/>
      <c r="AA89" s="1268">
        <f>Z89/K89</f>
        <v>0</v>
      </c>
      <c r="AB89" s="1269"/>
      <c r="AC89" s="1267"/>
      <c r="AD89" s="1268">
        <f>AC89/K89</f>
        <v>0</v>
      </c>
      <c r="AE89" s="1266">
        <v>49545</v>
      </c>
      <c r="AF89" s="1267">
        <v>49545</v>
      </c>
      <c r="AG89" s="1261">
        <f>AF89/K89</f>
        <v>0.15</v>
      </c>
      <c r="AH89" s="1266">
        <f>50045</f>
        <v>50045</v>
      </c>
      <c r="AI89" s="1267">
        <v>99090</v>
      </c>
      <c r="AJ89" s="1270">
        <f>AI89/K89</f>
        <v>0.3</v>
      </c>
      <c r="AK89" s="1271"/>
      <c r="AL89" s="1272">
        <f>AK89/K89</f>
        <v>0</v>
      </c>
      <c r="AM89" s="1273">
        <f>35%*K89</f>
        <v>115604.99999999999</v>
      </c>
      <c r="AN89" s="1274">
        <f>(M89+AM89)/K89</f>
        <v>0.65</v>
      </c>
      <c r="AO89" s="1275">
        <f>K89-M89</f>
        <v>231210</v>
      </c>
      <c r="AP89" s="1456" t="s">
        <v>206</v>
      </c>
      <c r="AQ89" s="751" t="s">
        <v>206</v>
      </c>
      <c r="AR89" s="1480">
        <f>VLOOKUP(AQ89,Listes!$A$2:$C$15,3)</f>
        <v>0.65000000000000013</v>
      </c>
      <c r="AT89" s="926"/>
      <c r="AU89" s="927"/>
      <c r="AV89" s="928" t="s">
        <v>278</v>
      </c>
      <c r="AW89" s="929"/>
    </row>
    <row r="90" spans="1:51" s="162" customFormat="1" ht="14.1" customHeight="1">
      <c r="A90" s="1392"/>
      <c r="B90" s="1254" t="s">
        <v>305</v>
      </c>
      <c r="C90" s="1255" t="s">
        <v>293</v>
      </c>
      <c r="D90" s="1256">
        <v>2019</v>
      </c>
      <c r="E90" s="199">
        <v>30</v>
      </c>
      <c r="F90" s="1281" t="s">
        <v>104</v>
      </c>
      <c r="G90" s="1257" t="s">
        <v>138</v>
      </c>
      <c r="H90" s="1257"/>
      <c r="I90" s="1258">
        <v>5812746</v>
      </c>
      <c r="J90" s="1259">
        <f>I90/E90</f>
        <v>193758.2</v>
      </c>
      <c r="K90" s="1072">
        <f t="shared" si="6"/>
        <v>174382.38</v>
      </c>
      <c r="L90" s="1442">
        <f t="shared" ref="L90:L91" si="9">IF(H90="x",1.5%,3%)</f>
        <v>0.03</v>
      </c>
      <c r="M90" s="1260">
        <v>87191</v>
      </c>
      <c r="N90" s="1261">
        <f>M90/K90</f>
        <v>0.4999989104403782</v>
      </c>
      <c r="O90" s="1262"/>
      <c r="P90" s="1260"/>
      <c r="Q90" s="1263"/>
      <c r="R90" s="1264">
        <f>Q90/K90</f>
        <v>0</v>
      </c>
      <c r="S90" s="1260"/>
      <c r="T90" s="1263"/>
      <c r="U90" s="1265">
        <f>T90/K90</f>
        <v>0</v>
      </c>
      <c r="V90" s="1260"/>
      <c r="W90" s="1263"/>
      <c r="X90" s="1265">
        <f>W90/K90</f>
        <v>0</v>
      </c>
      <c r="Y90" s="1266"/>
      <c r="Z90" s="1267"/>
      <c r="AA90" s="1268">
        <f>Z90/K90</f>
        <v>0</v>
      </c>
      <c r="AB90" s="1269"/>
      <c r="AC90" s="1267"/>
      <c r="AD90" s="1268">
        <f>AC90/K90</f>
        <v>0</v>
      </c>
      <c r="AE90" s="1266">
        <v>30190</v>
      </c>
      <c r="AF90" s="1267">
        <v>30190</v>
      </c>
      <c r="AG90" s="1261">
        <f>AF90/K90</f>
        <v>0.17312528937843374</v>
      </c>
      <c r="AH90" s="1266">
        <v>57001</v>
      </c>
      <c r="AI90" s="1267">
        <v>87191</v>
      </c>
      <c r="AJ90" s="1270">
        <f>AI90/K90</f>
        <v>0.4999989104403782</v>
      </c>
      <c r="AK90" s="1271"/>
      <c r="AL90" s="1272">
        <f>AK90/K90</f>
        <v>0</v>
      </c>
      <c r="AM90" s="1273">
        <f>0%*K90</f>
        <v>0</v>
      </c>
      <c r="AN90" s="1274">
        <f>(M90+AM90)/K90</f>
        <v>0.4999989104403782</v>
      </c>
      <c r="AO90" s="1275">
        <f>K90-M90</f>
        <v>87191.38</v>
      </c>
      <c r="AP90" s="1460" t="s">
        <v>356</v>
      </c>
      <c r="AQ90" s="752"/>
      <c r="AR90" s="1480"/>
      <c r="AT90" s="930" t="s">
        <v>235</v>
      </c>
      <c r="AU90" s="931"/>
      <c r="AV90" s="932">
        <v>0.1</v>
      </c>
      <c r="AW90" s="933">
        <f>AV90</f>
        <v>0.1</v>
      </c>
    </row>
    <row r="91" spans="1:51" s="162" customFormat="1" ht="14.1" customHeight="1">
      <c r="A91" s="1392"/>
      <c r="B91" s="1254" t="s">
        <v>304</v>
      </c>
      <c r="C91" s="1255" t="s">
        <v>293</v>
      </c>
      <c r="D91" s="1256">
        <v>2019</v>
      </c>
      <c r="E91" s="199"/>
      <c r="F91" s="1281"/>
      <c r="G91" s="1257"/>
      <c r="H91" s="1257"/>
      <c r="I91" s="1258">
        <v>598612</v>
      </c>
      <c r="J91" s="1259" t="e">
        <f>I91/E91</f>
        <v>#DIV/0!</v>
      </c>
      <c r="K91" s="1072">
        <f t="shared" si="6"/>
        <v>17958.36</v>
      </c>
      <c r="L91" s="1442">
        <f t="shared" si="9"/>
        <v>0.03</v>
      </c>
      <c r="M91" s="1260">
        <v>8381</v>
      </c>
      <c r="N91" s="1261">
        <f>M91/K91</f>
        <v>0.46669072231540071</v>
      </c>
      <c r="O91" s="1262"/>
      <c r="P91" s="1260"/>
      <c r="Q91" s="1263"/>
      <c r="R91" s="1264">
        <f>Q91/K91</f>
        <v>0</v>
      </c>
      <c r="S91" s="1260"/>
      <c r="T91" s="1263"/>
      <c r="U91" s="1265">
        <f>T91/K91</f>
        <v>0</v>
      </c>
      <c r="V91" s="1260"/>
      <c r="W91" s="1263"/>
      <c r="X91" s="1265">
        <f>W91/K91</f>
        <v>0</v>
      </c>
      <c r="Y91" s="1266"/>
      <c r="Z91" s="1267"/>
      <c r="AA91" s="1268">
        <f>Z91/K91</f>
        <v>0</v>
      </c>
      <c r="AB91" s="1269"/>
      <c r="AC91" s="1267"/>
      <c r="AD91" s="1268">
        <f>AC91/K91</f>
        <v>0</v>
      </c>
      <c r="AE91" s="1266">
        <v>30190</v>
      </c>
      <c r="AF91" s="1267">
        <v>30190</v>
      </c>
      <c r="AG91" s="1261">
        <f>AF91/K91</f>
        <v>1.6811111927815234</v>
      </c>
      <c r="AH91" s="1266">
        <v>8381</v>
      </c>
      <c r="AI91" s="1267">
        <v>8381</v>
      </c>
      <c r="AJ91" s="1270">
        <f>AI91/K91</f>
        <v>0.46669072231540071</v>
      </c>
      <c r="AK91" s="1271"/>
      <c r="AL91" s="1272">
        <f>AK91/K91</f>
        <v>0</v>
      </c>
      <c r="AM91" s="1273">
        <f>0%*K91</f>
        <v>0</v>
      </c>
      <c r="AN91" s="1274">
        <f>(M91+AM91)/K91</f>
        <v>0.46669072231540071</v>
      </c>
      <c r="AO91" s="1275">
        <f>K91-M91</f>
        <v>9577.36</v>
      </c>
      <c r="AP91" s="1460" t="s">
        <v>356</v>
      </c>
      <c r="AQ91" s="752"/>
      <c r="AR91" s="1480"/>
      <c r="AT91" s="930" t="s">
        <v>162</v>
      </c>
      <c r="AU91" s="934"/>
      <c r="AV91" s="932">
        <v>0.05</v>
      </c>
      <c r="AW91" s="933">
        <f>AV91+AW90</f>
        <v>0.15000000000000002</v>
      </c>
      <c r="AX91" s="1"/>
      <c r="AY91" s="212"/>
    </row>
    <row r="92" spans="1:51" s="212" customFormat="1" ht="16.5" customHeight="1" thickBot="1">
      <c r="A92" s="1392"/>
      <c r="B92" s="196"/>
      <c r="C92" s="197"/>
      <c r="D92" s="198"/>
      <c r="E92" s="204"/>
      <c r="F92" s="200"/>
      <c r="G92" s="200"/>
      <c r="H92" s="200"/>
      <c r="I92" s="201"/>
      <c r="J92" s="433"/>
      <c r="K92" s="461"/>
      <c r="L92" s="1443" t="e">
        <f t="shared" ref="L92" si="10">K92/I92</f>
        <v>#DIV/0!</v>
      </c>
      <c r="M92" s="382"/>
      <c r="N92" s="372"/>
      <c r="O92" s="414"/>
      <c r="P92" s="382"/>
      <c r="Q92" s="690"/>
      <c r="R92" s="724" t="e">
        <f>Q92/K92</f>
        <v>#DIV/0!</v>
      </c>
      <c r="S92" s="382"/>
      <c r="T92" s="690"/>
      <c r="U92" s="678" t="e">
        <f>T92/K92</f>
        <v>#DIV/0!</v>
      </c>
      <c r="V92" s="382"/>
      <c r="W92" s="690"/>
      <c r="X92" s="678" t="e">
        <f>W92/K92</f>
        <v>#DIV/0!</v>
      </c>
      <c r="Y92" s="361"/>
      <c r="Z92" s="587"/>
      <c r="AA92" s="626" t="e">
        <f>Z92/K92</f>
        <v>#DIV/0!</v>
      </c>
      <c r="AB92" s="625"/>
      <c r="AC92" s="587"/>
      <c r="AD92" s="626" t="e">
        <f>AC92/K92</f>
        <v>#DIV/0!</v>
      </c>
      <c r="AE92" s="361"/>
      <c r="AF92" s="587"/>
      <c r="AG92" s="372"/>
      <c r="AH92" s="361"/>
      <c r="AI92" s="587"/>
      <c r="AJ92" s="202"/>
      <c r="AK92" s="775"/>
      <c r="AL92" s="1057" t="e">
        <f>AK92/K92</f>
        <v>#DIV/0!</v>
      </c>
      <c r="AM92" s="853">
        <f>25%*K92</f>
        <v>0</v>
      </c>
      <c r="AN92" s="555"/>
      <c r="AO92" s="203">
        <f>K92-M92</f>
        <v>0</v>
      </c>
      <c r="AP92" s="1456"/>
      <c r="AQ92" s="751"/>
      <c r="AR92" s="1480"/>
      <c r="AT92" s="930" t="s">
        <v>117</v>
      </c>
      <c r="AU92" s="935"/>
      <c r="AV92" s="932">
        <v>0.05</v>
      </c>
      <c r="AW92" s="933">
        <f t="shared" ref="AW92:AW106" si="11">AV92+AW91</f>
        <v>0.2</v>
      </c>
      <c r="AX92" s="5"/>
    </row>
    <row r="93" spans="1:51" s="212" customFormat="1" ht="16.5" customHeight="1" thickBot="1">
      <c r="A93" s="474"/>
      <c r="B93" s="206"/>
      <c r="C93" s="207"/>
      <c r="D93" s="208">
        <f>COUNTA(D85:D92)</f>
        <v>7</v>
      </c>
      <c r="E93" s="208">
        <f>SUM(E85:E92)</f>
        <v>290</v>
      </c>
      <c r="F93" s="42"/>
      <c r="G93" s="42"/>
      <c r="H93" s="42"/>
      <c r="I93" s="211">
        <f>SUM(I85:I92)</f>
        <v>50609841</v>
      </c>
      <c r="J93" s="211"/>
      <c r="K93" s="444">
        <f>SUM(K85:K92)</f>
        <v>1561984.74</v>
      </c>
      <c r="L93" s="1431"/>
      <c r="M93" s="659">
        <f>SUM(M85:M92)</f>
        <v>692759</v>
      </c>
      <c r="N93" s="732">
        <f>M93/K93</f>
        <v>0.44351201536066226</v>
      </c>
      <c r="O93" s="415">
        <f>SUM(O85:O92)</f>
        <v>0</v>
      </c>
      <c r="P93" s="704">
        <f>SUM(P85:P92)</f>
        <v>0</v>
      </c>
      <c r="Q93" s="691">
        <f>SUM(Q85:Q92)</f>
        <v>0</v>
      </c>
      <c r="R93" s="725">
        <f>Q93/K93</f>
        <v>0</v>
      </c>
      <c r="S93" s="659">
        <f>SUM(S85:S92)</f>
        <v>0</v>
      </c>
      <c r="T93" s="691">
        <f>SUM(T85:T92)</f>
        <v>0</v>
      </c>
      <c r="U93" s="679">
        <f>T93/K93</f>
        <v>0</v>
      </c>
      <c r="V93" s="659">
        <f>SUM(V85:V92)</f>
        <v>0</v>
      </c>
      <c r="W93" s="691">
        <f>SUM(W85:W92)</f>
        <v>0</v>
      </c>
      <c r="X93" s="679">
        <f>W93/K93</f>
        <v>0</v>
      </c>
      <c r="Y93" s="572">
        <f>SUM(Y85:Y92)</f>
        <v>0</v>
      </c>
      <c r="Z93" s="588">
        <f>SUM(Z85:Z92)</f>
        <v>0</v>
      </c>
      <c r="AA93" s="628">
        <f>Z93/K93</f>
        <v>0</v>
      </c>
      <c r="AB93" s="627">
        <f>SUM(AB85:AB92)</f>
        <v>0</v>
      </c>
      <c r="AC93" s="588">
        <f>SUM(AC85:AC92)</f>
        <v>0</v>
      </c>
      <c r="AD93" s="628">
        <f>AC93/K93</f>
        <v>0</v>
      </c>
      <c r="AE93" s="572">
        <f>SUM(AE85:AE92)</f>
        <v>252879</v>
      </c>
      <c r="AF93" s="588">
        <f>SUM(AF85:AF92)</f>
        <v>252879</v>
      </c>
      <c r="AG93" s="732">
        <f>AF93/K93</f>
        <v>0.16189594784389508</v>
      </c>
      <c r="AH93" s="572">
        <f>SUM(AH85:AH92)</f>
        <v>359211</v>
      </c>
      <c r="AI93" s="588">
        <f>SUM(AI85:AI92)</f>
        <v>549750</v>
      </c>
      <c r="AJ93" s="1007">
        <f>AI93/K93</f>
        <v>0.3519560632839473</v>
      </c>
      <c r="AK93" s="776">
        <f>SUM(AK85:AK92)</f>
        <v>111359</v>
      </c>
      <c r="AL93" s="1059">
        <f>AK93/K93</f>
        <v>7.1293270125033364E-2</v>
      </c>
      <c r="AM93" s="869">
        <f>SUM(AM85:AM92)</f>
        <v>171806.4</v>
      </c>
      <c r="AN93" s="743">
        <f>(M93+AM93)/K93</f>
        <v>0.55350438314781492</v>
      </c>
      <c r="AO93" s="383">
        <f>SUM(AO85:AO92)</f>
        <v>869225.74</v>
      </c>
      <c r="AP93" s="1487"/>
      <c r="AQ93" s="1486"/>
      <c r="AR93" s="1485"/>
      <c r="AT93" s="930" t="s">
        <v>114</v>
      </c>
      <c r="AU93" s="936"/>
      <c r="AV93" s="932">
        <v>0.1</v>
      </c>
      <c r="AW93" s="933">
        <f t="shared" si="11"/>
        <v>0.30000000000000004</v>
      </c>
      <c r="AX93" s="162"/>
      <c r="AY93" s="162"/>
    </row>
    <row r="94" spans="1:51" s="1211" customFormat="1" ht="14.1" customHeight="1">
      <c r="A94" s="1393">
        <v>2020</v>
      </c>
      <c r="B94" s="1254" t="s">
        <v>289</v>
      </c>
      <c r="C94" s="1255" t="s">
        <v>290</v>
      </c>
      <c r="D94" s="1256">
        <v>2020</v>
      </c>
      <c r="E94" s="199">
        <v>35</v>
      </c>
      <c r="F94" s="1281" t="s">
        <v>291</v>
      </c>
      <c r="G94" s="1257" t="s">
        <v>117</v>
      </c>
      <c r="H94" s="1257"/>
      <c r="I94" s="1258">
        <v>6044257.6773846084</v>
      </c>
      <c r="J94" s="1259">
        <f>I94/E94</f>
        <v>172693.07649670308</v>
      </c>
      <c r="K94" s="1072">
        <f t="shared" ref="K94:K113" si="12">L94*I94</f>
        <v>181327.73032153826</v>
      </c>
      <c r="L94" s="1442">
        <f t="shared" ref="L94:L103" si="13">IF(H94="x",1.5%,3%)</f>
        <v>0.03</v>
      </c>
      <c r="M94" s="1260">
        <v>88750</v>
      </c>
      <c r="N94" s="1261">
        <f>M94/K94</f>
        <v>0.48944527040968649</v>
      </c>
      <c r="O94" s="1262"/>
      <c r="P94" s="1260"/>
      <c r="Q94" s="1263"/>
      <c r="R94" s="1264">
        <f>Q94/K94</f>
        <v>0</v>
      </c>
      <c r="S94" s="1260"/>
      <c r="T94" s="1263"/>
      <c r="U94" s="1265">
        <f>T94/K94</f>
        <v>0</v>
      </c>
      <c r="V94" s="1260"/>
      <c r="W94" s="1263"/>
      <c r="X94" s="1265">
        <f>W94/K94</f>
        <v>0</v>
      </c>
      <c r="Y94" s="1266"/>
      <c r="Z94" s="1267"/>
      <c r="AA94" s="1268">
        <f>Z94/K94</f>
        <v>0</v>
      </c>
      <c r="AB94" s="1269"/>
      <c r="AC94" s="1267"/>
      <c r="AD94" s="1268">
        <f>AC94/K94</f>
        <v>0</v>
      </c>
      <c r="AE94" s="1266"/>
      <c r="AF94" s="1267"/>
      <c r="AG94" s="1261">
        <f>AF94/K94</f>
        <v>0</v>
      </c>
      <c r="AH94" s="1266">
        <f>31301+13195+29639</f>
        <v>74135</v>
      </c>
      <c r="AI94" s="1267">
        <v>74135</v>
      </c>
      <c r="AJ94" s="1270">
        <f>AI94/K94</f>
        <v>0.40884535348531953</v>
      </c>
      <c r="AK94" s="1271">
        <v>14615</v>
      </c>
      <c r="AL94" s="1272">
        <f>AK94/K94</f>
        <v>8.0599916924366966E-2</v>
      </c>
      <c r="AM94" s="1273">
        <v>0</v>
      </c>
      <c r="AN94" s="1274">
        <f>(M94+AM94)/K94</f>
        <v>0.48944527040968649</v>
      </c>
      <c r="AO94" s="1275">
        <f>K94-M94</f>
        <v>92577.730321538256</v>
      </c>
      <c r="AP94" s="1460" t="s">
        <v>138</v>
      </c>
      <c r="AQ94" s="752"/>
      <c r="AR94" s="1480"/>
      <c r="AT94" s="930" t="s">
        <v>138</v>
      </c>
      <c r="AU94" s="1304"/>
      <c r="AV94" s="932">
        <v>0.1</v>
      </c>
      <c r="AW94" s="1279">
        <f t="shared" si="11"/>
        <v>0.4</v>
      </c>
    </row>
    <row r="95" spans="1:51" s="162" customFormat="1" ht="13.8" customHeight="1">
      <c r="A95" s="1393"/>
      <c r="B95" s="1254" t="s">
        <v>295</v>
      </c>
      <c r="C95" s="1255" t="s">
        <v>297</v>
      </c>
      <c r="D95" s="1256">
        <v>2020</v>
      </c>
      <c r="E95" s="199">
        <v>40</v>
      </c>
      <c r="F95" s="1257" t="s">
        <v>12</v>
      </c>
      <c r="G95" s="1257" t="s">
        <v>114</v>
      </c>
      <c r="H95" s="1257"/>
      <c r="I95" s="1258">
        <v>5298260</v>
      </c>
      <c r="J95" s="1259">
        <f>I95/E95</f>
        <v>132456.5</v>
      </c>
      <c r="K95" s="1072">
        <f t="shared" si="12"/>
        <v>158947.79999999999</v>
      </c>
      <c r="L95" s="1442">
        <f t="shared" si="13"/>
        <v>0.03</v>
      </c>
      <c r="M95" s="1260">
        <v>26189</v>
      </c>
      <c r="N95" s="1261">
        <f>M95/K95</f>
        <v>0.16476478441349929</v>
      </c>
      <c r="O95" s="1262"/>
      <c r="P95" s="1260"/>
      <c r="Q95" s="1263"/>
      <c r="R95" s="1264">
        <f>Q95/K95</f>
        <v>0</v>
      </c>
      <c r="S95" s="1260"/>
      <c r="T95" s="1263"/>
      <c r="U95" s="1265">
        <f>T95/K95</f>
        <v>0</v>
      </c>
      <c r="V95" s="1260"/>
      <c r="W95" s="1263"/>
      <c r="X95" s="1265">
        <f>W95/K95</f>
        <v>0</v>
      </c>
      <c r="Y95" s="1266"/>
      <c r="Z95" s="1267"/>
      <c r="AA95" s="1268">
        <f>Z95/K95</f>
        <v>0</v>
      </c>
      <c r="AB95" s="1269"/>
      <c r="AC95" s="1267"/>
      <c r="AD95" s="1268">
        <f>AC95/K95</f>
        <v>0</v>
      </c>
      <c r="AE95" s="1266"/>
      <c r="AF95" s="1267"/>
      <c r="AG95" s="1261">
        <f>AF95/K95</f>
        <v>0</v>
      </c>
      <c r="AH95" s="1266">
        <v>26189</v>
      </c>
      <c r="AI95" s="1267">
        <v>26189</v>
      </c>
      <c r="AJ95" s="1270">
        <f>AI95/K95</f>
        <v>0.16476478441349929</v>
      </c>
      <c r="AK95" s="1271"/>
      <c r="AL95" s="1272">
        <f>AK95/K95</f>
        <v>0</v>
      </c>
      <c r="AM95" s="1273">
        <f>14%*K95</f>
        <v>22252.691999999999</v>
      </c>
      <c r="AN95" s="1274">
        <f>(M95+AM95)/K95</f>
        <v>0.30476478441349925</v>
      </c>
      <c r="AO95" s="1275">
        <f>K95-M95</f>
        <v>132758.79999999999</v>
      </c>
      <c r="AP95" s="1460" t="s">
        <v>114</v>
      </c>
      <c r="AQ95" s="752"/>
      <c r="AR95" s="1480"/>
      <c r="AT95" s="930" t="s">
        <v>91</v>
      </c>
      <c r="AU95" s="936"/>
      <c r="AV95" s="932">
        <v>0.1</v>
      </c>
      <c r="AW95" s="933">
        <f t="shared" si="11"/>
        <v>0.5</v>
      </c>
      <c r="AX95" s="212"/>
    </row>
    <row r="96" spans="1:51" s="1211" customFormat="1" ht="14.1" customHeight="1">
      <c r="A96" s="1393"/>
      <c r="B96" s="1254" t="s">
        <v>357</v>
      </c>
      <c r="C96" s="1255" t="s">
        <v>334</v>
      </c>
      <c r="D96" s="1256">
        <v>2020</v>
      </c>
      <c r="E96" s="199">
        <v>30</v>
      </c>
      <c r="F96" s="1257" t="s">
        <v>335</v>
      </c>
      <c r="G96" s="1257" t="s">
        <v>114</v>
      </c>
      <c r="H96" s="1257" t="s">
        <v>365</v>
      </c>
      <c r="I96" s="1258">
        <v>5000789</v>
      </c>
      <c r="J96" s="1259">
        <f>I96/E96</f>
        <v>166692.96666666667</v>
      </c>
      <c r="K96" s="1072">
        <f t="shared" si="12"/>
        <v>75011.834999999992</v>
      </c>
      <c r="L96" s="1448">
        <f t="shared" si="13"/>
        <v>1.4999999999999999E-2</v>
      </c>
      <c r="M96" s="1260">
        <v>22504</v>
      </c>
      <c r="N96" s="1261">
        <f>M96/K96</f>
        <v>0.30000599238773457</v>
      </c>
      <c r="O96" s="1262"/>
      <c r="P96" s="1260"/>
      <c r="Q96" s="1263"/>
      <c r="R96" s="1264">
        <f>Q96/K96</f>
        <v>0</v>
      </c>
      <c r="S96" s="1260"/>
      <c r="T96" s="1263"/>
      <c r="U96" s="1265">
        <f>T96/K96</f>
        <v>0</v>
      </c>
      <c r="V96" s="1260"/>
      <c r="W96" s="1263"/>
      <c r="X96" s="1265">
        <f>W96/K96</f>
        <v>0</v>
      </c>
      <c r="Y96" s="1266"/>
      <c r="Z96" s="1267"/>
      <c r="AA96" s="1268">
        <f>Z96/K96</f>
        <v>0</v>
      </c>
      <c r="AB96" s="1269"/>
      <c r="AC96" s="1267"/>
      <c r="AD96" s="1268">
        <f>AC96/K96</f>
        <v>0</v>
      </c>
      <c r="AE96" s="1266"/>
      <c r="AF96" s="1267"/>
      <c r="AG96" s="1261">
        <f>AF96/K96</f>
        <v>0</v>
      </c>
      <c r="AH96" s="1266"/>
      <c r="AI96" s="1267"/>
      <c r="AJ96" s="1270">
        <f>AI96/K96</f>
        <v>0</v>
      </c>
      <c r="AK96" s="1271">
        <v>22504</v>
      </c>
      <c r="AL96" s="1272">
        <f>AK96/K96</f>
        <v>0.30000599238773457</v>
      </c>
      <c r="AM96" s="1273"/>
      <c r="AN96" s="1274">
        <f>(M96+AM96)/K96</f>
        <v>0.30000599238773457</v>
      </c>
      <c r="AO96" s="1275">
        <f>K96-M96</f>
        <v>52507.834999999992</v>
      </c>
      <c r="AP96" s="1460" t="s">
        <v>337</v>
      </c>
      <c r="AQ96" s="752" t="s">
        <v>280</v>
      </c>
      <c r="AR96" s="1480">
        <f>VLOOKUP(AQ96,Listes!$A$2:$C$15,3)</f>
        <v>0.30000000000000004</v>
      </c>
      <c r="AT96" s="930"/>
      <c r="AU96" s="1304"/>
      <c r="AV96" s="932"/>
      <c r="AW96" s="1279">
        <f t="shared" si="11"/>
        <v>0.5</v>
      </c>
      <c r="AX96" s="212"/>
    </row>
    <row r="97" spans="1:51" s="1211" customFormat="1" ht="13.8" customHeight="1">
      <c r="A97" s="1393"/>
      <c r="B97" s="1280" t="s">
        <v>309</v>
      </c>
      <c r="C97" s="1255" t="s">
        <v>308</v>
      </c>
      <c r="D97" s="1256">
        <v>2020</v>
      </c>
      <c r="E97" s="199">
        <v>123</v>
      </c>
      <c r="F97" s="1281" t="s">
        <v>291</v>
      </c>
      <c r="G97" s="1257" t="s">
        <v>114</v>
      </c>
      <c r="H97" s="1257" t="s">
        <v>365</v>
      </c>
      <c r="I97" s="1258">
        <v>18939550</v>
      </c>
      <c r="J97" s="1259">
        <f>I97/E97</f>
        <v>153980.08130081301</v>
      </c>
      <c r="K97" s="1072">
        <f t="shared" si="12"/>
        <v>284093.25</v>
      </c>
      <c r="L97" s="1448">
        <f t="shared" si="13"/>
        <v>1.4999999999999999E-2</v>
      </c>
      <c r="M97" s="1260">
        <v>170456</v>
      </c>
      <c r="N97" s="1261">
        <f>M97/K97</f>
        <v>0.60000017599854982</v>
      </c>
      <c r="O97" s="1262"/>
      <c r="P97" s="1260"/>
      <c r="Q97" s="1263"/>
      <c r="R97" s="1264">
        <f>Q97/K97</f>
        <v>0</v>
      </c>
      <c r="S97" s="1260"/>
      <c r="T97" s="1263"/>
      <c r="U97" s="1265">
        <f>T97/K97</f>
        <v>0</v>
      </c>
      <c r="V97" s="1260"/>
      <c r="W97" s="1263"/>
      <c r="X97" s="1265">
        <f>W97/K97</f>
        <v>0</v>
      </c>
      <c r="Y97" s="1266"/>
      <c r="Z97" s="1267"/>
      <c r="AA97" s="1268">
        <f>Z97/K97</f>
        <v>0</v>
      </c>
      <c r="AB97" s="1269"/>
      <c r="AC97" s="1267"/>
      <c r="AD97" s="1268">
        <f>AC97/K97</f>
        <v>0</v>
      </c>
      <c r="AE97" s="1266"/>
      <c r="AF97" s="1267"/>
      <c r="AG97" s="1261">
        <f>AF97/K97</f>
        <v>0</v>
      </c>
      <c r="AH97" s="1266">
        <v>85228</v>
      </c>
      <c r="AI97" s="1267">
        <v>85228</v>
      </c>
      <c r="AJ97" s="1270">
        <f>AI97/K97</f>
        <v>0.30000008799927491</v>
      </c>
      <c r="AK97" s="1271">
        <v>85228</v>
      </c>
      <c r="AL97" s="1272">
        <f>AK97/K97</f>
        <v>0.30000008799927491</v>
      </c>
      <c r="AM97" s="1273">
        <f>15%*K97</f>
        <v>42613.987499999996</v>
      </c>
      <c r="AN97" s="1274">
        <f>(M97+AM97)/K97</f>
        <v>0.75000017599854973</v>
      </c>
      <c r="AO97" s="1275">
        <f>K97-M97</f>
        <v>113637.25</v>
      </c>
      <c r="AP97" s="1460" t="s">
        <v>332</v>
      </c>
      <c r="AQ97" s="752" t="s">
        <v>281</v>
      </c>
      <c r="AR97" s="1480">
        <f>VLOOKUP(AQ97,Listes!$A$2:$C$15,3)</f>
        <v>1.0000000000000004</v>
      </c>
      <c r="AT97" s="930" t="s">
        <v>268</v>
      </c>
      <c r="AU97" s="938"/>
      <c r="AV97" s="932">
        <v>0.05</v>
      </c>
      <c r="AW97" s="1279">
        <f t="shared" si="11"/>
        <v>0.55000000000000004</v>
      </c>
      <c r="AX97" s="212"/>
    </row>
    <row r="98" spans="1:51" s="162" customFormat="1" ht="14.1" customHeight="1">
      <c r="A98" s="1393"/>
      <c r="B98" s="1280" t="s">
        <v>358</v>
      </c>
      <c r="C98" s="1255"/>
      <c r="D98" s="1256">
        <v>2020</v>
      </c>
      <c r="E98" s="199">
        <v>70</v>
      </c>
      <c r="F98" s="1281" t="s">
        <v>291</v>
      </c>
      <c r="G98" s="1257" t="s">
        <v>114</v>
      </c>
      <c r="H98" s="1257" t="s">
        <v>365</v>
      </c>
      <c r="I98" s="1258">
        <v>12479242</v>
      </c>
      <c r="J98" s="1259">
        <f>I98/E98</f>
        <v>178274.88571428572</v>
      </c>
      <c r="K98" s="1072">
        <f t="shared" si="12"/>
        <v>187188.63</v>
      </c>
      <c r="L98" s="1448">
        <f t="shared" si="13"/>
        <v>1.4999999999999999E-2</v>
      </c>
      <c r="M98" s="1260">
        <v>56157</v>
      </c>
      <c r="N98" s="1261">
        <f>M98/K98</f>
        <v>0.30000219564617786</v>
      </c>
      <c r="O98" s="1262"/>
      <c r="P98" s="1260"/>
      <c r="Q98" s="1263"/>
      <c r="R98" s="1264">
        <f>Q98/K98</f>
        <v>0</v>
      </c>
      <c r="S98" s="1260"/>
      <c r="T98" s="1263"/>
      <c r="U98" s="1265">
        <f>T98/K98</f>
        <v>0</v>
      </c>
      <c r="V98" s="1260"/>
      <c r="W98" s="1263"/>
      <c r="X98" s="1265">
        <f>W98/K98</f>
        <v>0</v>
      </c>
      <c r="Y98" s="1266"/>
      <c r="Z98" s="1267"/>
      <c r="AA98" s="1268">
        <f>Z98/K98</f>
        <v>0</v>
      </c>
      <c r="AB98" s="1269"/>
      <c r="AC98" s="1267"/>
      <c r="AD98" s="1268">
        <f>AC98/K98</f>
        <v>0</v>
      </c>
      <c r="AE98" s="1266"/>
      <c r="AF98" s="1267"/>
      <c r="AG98" s="1261">
        <f>AF98/K98</f>
        <v>0</v>
      </c>
      <c r="AH98" s="1266">
        <v>56157</v>
      </c>
      <c r="AI98" s="1267">
        <v>56157</v>
      </c>
      <c r="AJ98" s="1270">
        <f>AI98/K98</f>
        <v>0.30000219564617786</v>
      </c>
      <c r="AK98" s="1271"/>
      <c r="AL98" s="1272">
        <f>AK98/K98</f>
        <v>0</v>
      </c>
      <c r="AM98" s="1273"/>
      <c r="AN98" s="1274">
        <f>(M98+AM98)/K98</f>
        <v>0.30000219564617786</v>
      </c>
      <c r="AO98" s="1275">
        <f>K98-M98</f>
        <v>131031.63</v>
      </c>
      <c r="AP98" s="1460" t="s">
        <v>337</v>
      </c>
      <c r="AQ98" s="752" t="s">
        <v>280</v>
      </c>
      <c r="AR98" s="1480">
        <f>VLOOKUP(AQ98,Listes!$A$2:$C$15,3)</f>
        <v>0.30000000000000004</v>
      </c>
      <c r="AT98" s="930" t="s">
        <v>95</v>
      </c>
      <c r="AU98" s="936"/>
      <c r="AV98" s="932">
        <v>0.1</v>
      </c>
      <c r="AW98" s="933">
        <f t="shared" si="11"/>
        <v>0.65</v>
      </c>
      <c r="AX98" s="925"/>
      <c r="AY98" s="925"/>
    </row>
    <row r="99" spans="1:51" s="925" customFormat="1" ht="14.1" customHeight="1">
      <c r="A99" s="1393"/>
      <c r="B99" s="1305" t="s">
        <v>298</v>
      </c>
      <c r="C99" s="1306" t="s">
        <v>299</v>
      </c>
      <c r="D99" s="1307">
        <v>2020</v>
      </c>
      <c r="E99" s="1308">
        <v>56</v>
      </c>
      <c r="F99" s="1309" t="s">
        <v>12</v>
      </c>
      <c r="G99" s="1309" t="s">
        <v>114</v>
      </c>
      <c r="H99" s="1309"/>
      <c r="I99" s="1258">
        <v>7671343.5122746397</v>
      </c>
      <c r="J99" s="1259">
        <f>I99/E99</f>
        <v>136988.27700490429</v>
      </c>
      <c r="K99" s="1072">
        <f t="shared" si="12"/>
        <v>230140.30536823918</v>
      </c>
      <c r="L99" s="1442">
        <f t="shared" si="13"/>
        <v>0.03</v>
      </c>
      <c r="M99" s="660">
        <v>106179</v>
      </c>
      <c r="N99" s="373">
        <f>M99/K99</f>
        <v>0.46136638182567291</v>
      </c>
      <c r="O99" s="416"/>
      <c r="P99" s="660"/>
      <c r="Q99" s="29"/>
      <c r="R99" s="1310">
        <f>Q99/K99</f>
        <v>0</v>
      </c>
      <c r="S99" s="660"/>
      <c r="T99" s="29"/>
      <c r="U99" s="680">
        <f>T99/K99</f>
        <v>0</v>
      </c>
      <c r="V99" s="660"/>
      <c r="W99" s="29"/>
      <c r="X99" s="680">
        <f>W99/K99</f>
        <v>0</v>
      </c>
      <c r="Y99" s="573"/>
      <c r="Z99" s="291"/>
      <c r="AA99" s="1311">
        <f>Z99/K99</f>
        <v>0</v>
      </c>
      <c r="AB99" s="629"/>
      <c r="AC99" s="291"/>
      <c r="AD99" s="1311">
        <f>AC99/K99</f>
        <v>0</v>
      </c>
      <c r="AE99" s="573"/>
      <c r="AF99" s="291"/>
      <c r="AG99" s="373">
        <f>AF99/K99</f>
        <v>0</v>
      </c>
      <c r="AH99" s="573">
        <f>39768+15520+32916</f>
        <v>88204</v>
      </c>
      <c r="AI99" s="291">
        <v>88204</v>
      </c>
      <c r="AJ99" s="394">
        <f>AI99/K99</f>
        <v>0.38326185349788239</v>
      </c>
      <c r="AK99" s="777">
        <v>17975</v>
      </c>
      <c r="AL99" s="1061">
        <f>AK99/K99</f>
        <v>7.8104528327790537E-2</v>
      </c>
      <c r="AM99" s="1273"/>
      <c r="AN99" s="744">
        <f>(M99+AM99)/K99</f>
        <v>0.46136638182567291</v>
      </c>
      <c r="AO99" s="1312">
        <f>K99-M99</f>
        <v>123961.30536823918</v>
      </c>
      <c r="AP99" s="1460" t="s">
        <v>138</v>
      </c>
      <c r="AQ99" s="1313"/>
      <c r="AR99" s="1480"/>
      <c r="AT99" s="930" t="s">
        <v>206</v>
      </c>
      <c r="AU99" s="938"/>
      <c r="AV99" s="932">
        <v>0.05</v>
      </c>
      <c r="AW99" s="933">
        <f t="shared" si="11"/>
        <v>0.70000000000000007</v>
      </c>
      <c r="AX99" s="212"/>
      <c r="AY99" s="162"/>
    </row>
    <row r="100" spans="1:51" s="162" customFormat="1" ht="14.1" customHeight="1">
      <c r="A100" s="1393"/>
      <c r="B100" s="1254" t="s">
        <v>360</v>
      </c>
      <c r="C100" s="1255" t="s">
        <v>310</v>
      </c>
      <c r="D100" s="1256">
        <v>2020</v>
      </c>
      <c r="E100" s="199">
        <v>114</v>
      </c>
      <c r="F100" s="1257" t="s">
        <v>291</v>
      </c>
      <c r="G100" s="1257" t="s">
        <v>114</v>
      </c>
      <c r="H100" s="1257" t="s">
        <v>365</v>
      </c>
      <c r="I100" s="1258">
        <v>14160252</v>
      </c>
      <c r="J100" s="1259">
        <f>I100/E100</f>
        <v>124212.73684210527</v>
      </c>
      <c r="K100" s="1072">
        <f t="shared" si="12"/>
        <v>212403.78</v>
      </c>
      <c r="L100" s="1448">
        <f t="shared" si="13"/>
        <v>1.4999999999999999E-2</v>
      </c>
      <c r="M100" s="1260">
        <v>63721</v>
      </c>
      <c r="N100" s="1261">
        <f>M100/K100</f>
        <v>0.29999936912610503</v>
      </c>
      <c r="O100" s="1262"/>
      <c r="P100" s="1260"/>
      <c r="Q100" s="1263"/>
      <c r="R100" s="1264">
        <f>Q100/K100</f>
        <v>0</v>
      </c>
      <c r="S100" s="1260"/>
      <c r="T100" s="1263"/>
      <c r="U100" s="1265">
        <f>T100/K100</f>
        <v>0</v>
      </c>
      <c r="V100" s="1260"/>
      <c r="W100" s="1263"/>
      <c r="X100" s="1265">
        <f>W100/K100</f>
        <v>0</v>
      </c>
      <c r="Y100" s="1266"/>
      <c r="Z100" s="1267"/>
      <c r="AA100" s="1268">
        <f>Z100/K100</f>
        <v>0</v>
      </c>
      <c r="AB100" s="1269"/>
      <c r="AC100" s="1267"/>
      <c r="AD100" s="1268">
        <f>AC100/K100</f>
        <v>0</v>
      </c>
      <c r="AE100" s="1266"/>
      <c r="AF100" s="1267"/>
      <c r="AG100" s="1261">
        <f>AF100/K100</f>
        <v>0</v>
      </c>
      <c r="AH100" s="1266">
        <v>63721</v>
      </c>
      <c r="AI100" s="1267">
        <v>63721</v>
      </c>
      <c r="AJ100" s="1270">
        <f>AI100/K100</f>
        <v>0.29999936912610503</v>
      </c>
      <c r="AK100" s="1271"/>
      <c r="AL100" s="1272">
        <f>AK100/K100</f>
        <v>0</v>
      </c>
      <c r="AM100" s="1314">
        <v>0</v>
      </c>
      <c r="AN100" s="1274">
        <f>(M100+AM100)/K100</f>
        <v>0.29999936912610503</v>
      </c>
      <c r="AO100" s="1275">
        <f>K100-M100</f>
        <v>148682.78</v>
      </c>
      <c r="AP100" s="1460" t="s">
        <v>337</v>
      </c>
      <c r="AQ100" s="752" t="s">
        <v>280</v>
      </c>
      <c r="AR100" s="1480">
        <f>VLOOKUP(AQ100,Listes!$A$2:$C$15,3)</f>
        <v>0.30000000000000004</v>
      </c>
      <c r="AT100" s="930" t="s">
        <v>236</v>
      </c>
      <c r="AU100" s="939"/>
      <c r="AV100" s="932">
        <v>0.05</v>
      </c>
      <c r="AW100" s="933">
        <f t="shared" si="11"/>
        <v>0.75000000000000011</v>
      </c>
      <c r="AX100" s="212"/>
    </row>
    <row r="101" spans="1:51" s="162" customFormat="1" ht="14.1" customHeight="1">
      <c r="A101" s="1393"/>
      <c r="B101" s="1254" t="s">
        <v>361</v>
      </c>
      <c r="C101" s="1255" t="s">
        <v>310</v>
      </c>
      <c r="D101" s="1256">
        <v>2020</v>
      </c>
      <c r="E101" s="199">
        <v>114</v>
      </c>
      <c r="F101" s="1257" t="s">
        <v>291</v>
      </c>
      <c r="G101" s="1257" t="s">
        <v>114</v>
      </c>
      <c r="H101" s="1257" t="s">
        <v>365</v>
      </c>
      <c r="I101" s="1258">
        <v>684000</v>
      </c>
      <c r="J101" s="1259">
        <f>I101/E101</f>
        <v>6000</v>
      </c>
      <c r="K101" s="1072">
        <f t="shared" si="12"/>
        <v>10260</v>
      </c>
      <c r="L101" s="1448">
        <f t="shared" si="13"/>
        <v>1.4999999999999999E-2</v>
      </c>
      <c r="M101" s="1260">
        <v>5130</v>
      </c>
      <c r="N101" s="1261">
        <f>M101/K101</f>
        <v>0.5</v>
      </c>
      <c r="O101" s="1262"/>
      <c r="P101" s="1260"/>
      <c r="Q101" s="1263"/>
      <c r="R101" s="1264">
        <f>Q101/K101</f>
        <v>0</v>
      </c>
      <c r="S101" s="1260"/>
      <c r="T101" s="1263"/>
      <c r="U101" s="1265">
        <f>T101/K101</f>
        <v>0</v>
      </c>
      <c r="V101" s="1260"/>
      <c r="W101" s="1263"/>
      <c r="X101" s="1265">
        <f>W101/K101</f>
        <v>0</v>
      </c>
      <c r="Y101" s="1266"/>
      <c r="Z101" s="1267"/>
      <c r="AA101" s="1268">
        <f>Z101/K101</f>
        <v>0</v>
      </c>
      <c r="AB101" s="1269"/>
      <c r="AC101" s="1267"/>
      <c r="AD101" s="1268">
        <f>AC101/K101</f>
        <v>0</v>
      </c>
      <c r="AE101" s="1266"/>
      <c r="AF101" s="1267"/>
      <c r="AG101" s="1261">
        <f>AF101/K101</f>
        <v>0</v>
      </c>
      <c r="AH101" s="1266">
        <v>5130</v>
      </c>
      <c r="AI101" s="1267">
        <v>5130</v>
      </c>
      <c r="AJ101" s="1270">
        <f>AI101/K101</f>
        <v>0.5</v>
      </c>
      <c r="AK101" s="1271"/>
      <c r="AL101" s="1272">
        <f>AK101/K101</f>
        <v>0</v>
      </c>
      <c r="AM101" s="1314">
        <v>0</v>
      </c>
      <c r="AN101" s="1274">
        <f>(M101+AM101)/K101</f>
        <v>0.5</v>
      </c>
      <c r="AO101" s="1275">
        <f>K101-M101</f>
        <v>5130</v>
      </c>
      <c r="AP101" s="1460" t="s">
        <v>337</v>
      </c>
      <c r="AQ101" s="752" t="s">
        <v>280</v>
      </c>
      <c r="AR101" s="1480">
        <f>VLOOKUP(AQ101,Listes!$A$2:$C$15,3)</f>
        <v>0.30000000000000004</v>
      </c>
      <c r="AT101" s="930" t="s">
        <v>223</v>
      </c>
      <c r="AU101" s="940"/>
      <c r="AV101" s="932">
        <v>0.05</v>
      </c>
      <c r="AW101" s="933">
        <f t="shared" si="11"/>
        <v>0.80000000000000016</v>
      </c>
      <c r="AX101" s="1"/>
      <c r="AY101" s="212"/>
    </row>
    <row r="102" spans="1:51" s="162" customFormat="1" ht="14.1" customHeight="1">
      <c r="A102" s="1393"/>
      <c r="B102" s="1254" t="s">
        <v>362</v>
      </c>
      <c r="C102" s="1255" t="s">
        <v>312</v>
      </c>
      <c r="D102" s="1256">
        <v>2020</v>
      </c>
      <c r="E102" s="199">
        <v>44</v>
      </c>
      <c r="F102" s="1257" t="s">
        <v>104</v>
      </c>
      <c r="G102" s="1257" t="s">
        <v>114</v>
      </c>
      <c r="H102" s="1257" t="s">
        <v>365</v>
      </c>
      <c r="I102" s="1258">
        <v>8370000</v>
      </c>
      <c r="J102" s="1259">
        <f>I102/E102</f>
        <v>190227.27272727274</v>
      </c>
      <c r="K102" s="1072">
        <f t="shared" si="12"/>
        <v>125550</v>
      </c>
      <c r="L102" s="1448">
        <f t="shared" si="13"/>
        <v>1.4999999999999999E-2</v>
      </c>
      <c r="M102" s="1260">
        <v>75330</v>
      </c>
      <c r="N102" s="1261">
        <f>M102/K102</f>
        <v>0.6</v>
      </c>
      <c r="O102" s="1262"/>
      <c r="P102" s="1260"/>
      <c r="Q102" s="1263"/>
      <c r="R102" s="1264">
        <f>Q102/K102</f>
        <v>0</v>
      </c>
      <c r="S102" s="1260"/>
      <c r="T102" s="1263"/>
      <c r="U102" s="1265">
        <f>T102/K102</f>
        <v>0</v>
      </c>
      <c r="V102" s="1260"/>
      <c r="W102" s="1263"/>
      <c r="X102" s="1265">
        <f>W102/K102</f>
        <v>0</v>
      </c>
      <c r="Y102" s="1266"/>
      <c r="Z102" s="1267"/>
      <c r="AA102" s="1268">
        <f>Z102/K102</f>
        <v>0</v>
      </c>
      <c r="AB102" s="1269"/>
      <c r="AC102" s="1267"/>
      <c r="AD102" s="1268">
        <f>AC102/K102</f>
        <v>0</v>
      </c>
      <c r="AE102" s="1266"/>
      <c r="AF102" s="1267"/>
      <c r="AG102" s="1261">
        <f>AF102/K102</f>
        <v>0</v>
      </c>
      <c r="AH102" s="1266">
        <v>75330</v>
      </c>
      <c r="AI102" s="1267">
        <v>75330</v>
      </c>
      <c r="AJ102" s="1270">
        <f>AI102/K102</f>
        <v>0.6</v>
      </c>
      <c r="AK102" s="1271"/>
      <c r="AL102" s="1272">
        <f>AK102/K102</f>
        <v>0</v>
      </c>
      <c r="AM102" s="1314">
        <v>0</v>
      </c>
      <c r="AN102" s="1274">
        <f>(M102+AM102)/K102</f>
        <v>0.6</v>
      </c>
      <c r="AO102" s="1275">
        <f>K102-M102</f>
        <v>50220</v>
      </c>
      <c r="AP102" s="1460" t="s">
        <v>332</v>
      </c>
      <c r="AQ102" s="752" t="s">
        <v>281</v>
      </c>
      <c r="AR102" s="1480">
        <f>VLOOKUP(AQ102,Listes!$A$2:$C$15,3)</f>
        <v>1.0000000000000004</v>
      </c>
      <c r="AT102" s="930" t="s">
        <v>205</v>
      </c>
      <c r="AU102" s="941"/>
      <c r="AV102" s="932">
        <v>0.05</v>
      </c>
      <c r="AW102" s="933">
        <f t="shared" si="11"/>
        <v>0.8500000000000002</v>
      </c>
      <c r="AX102" s="5"/>
      <c r="AY102" s="212"/>
    </row>
    <row r="103" spans="1:51" s="212" customFormat="1" ht="16.5" customHeight="1" thickBot="1">
      <c r="A103" s="1393"/>
      <c r="B103" s="1254" t="s">
        <v>363</v>
      </c>
      <c r="C103" s="1255" t="s">
        <v>307</v>
      </c>
      <c r="D103" s="1256">
        <v>2020</v>
      </c>
      <c r="E103" s="199">
        <v>178</v>
      </c>
      <c r="F103" s="1257" t="s">
        <v>103</v>
      </c>
      <c r="G103" s="1257" t="s">
        <v>114</v>
      </c>
      <c r="H103" s="1257" t="s">
        <v>365</v>
      </c>
      <c r="I103" s="1258">
        <v>32746546</v>
      </c>
      <c r="J103" s="1259">
        <f>I103/E103</f>
        <v>183969.35955056178</v>
      </c>
      <c r="K103" s="1072">
        <f t="shared" si="12"/>
        <v>491198.19</v>
      </c>
      <c r="L103" s="1448">
        <f t="shared" si="13"/>
        <v>1.4999999999999999E-2</v>
      </c>
      <c r="M103" s="1260">
        <v>141111</v>
      </c>
      <c r="N103" s="1261">
        <f>M103/K103</f>
        <v>0.28727915304411034</v>
      </c>
      <c r="O103" s="1262"/>
      <c r="P103" s="1260"/>
      <c r="Q103" s="1263"/>
      <c r="R103" s="1264">
        <f>Q103/K103</f>
        <v>0</v>
      </c>
      <c r="S103" s="1260"/>
      <c r="T103" s="1263"/>
      <c r="U103" s="1265">
        <f>T103/K103</f>
        <v>0</v>
      </c>
      <c r="V103" s="1260"/>
      <c r="W103" s="1263"/>
      <c r="X103" s="1265">
        <f>W103/K103</f>
        <v>0</v>
      </c>
      <c r="Y103" s="1266"/>
      <c r="Z103" s="1267"/>
      <c r="AA103" s="1268">
        <f>Z103/K103</f>
        <v>0</v>
      </c>
      <c r="AB103" s="1269"/>
      <c r="AC103" s="1267"/>
      <c r="AD103" s="1268">
        <f>AC103/K103</f>
        <v>0</v>
      </c>
      <c r="AE103" s="1266"/>
      <c r="AF103" s="1267"/>
      <c r="AG103" s="1261">
        <f>AF103/K103</f>
        <v>0</v>
      </c>
      <c r="AH103" s="1266">
        <v>141111</v>
      </c>
      <c r="AI103" s="1267">
        <v>141111</v>
      </c>
      <c r="AJ103" s="1270">
        <f>AI103/K103</f>
        <v>0.28727915304411034</v>
      </c>
      <c r="AK103" s="1271"/>
      <c r="AL103" s="1272">
        <f>AK103/K103</f>
        <v>0</v>
      </c>
      <c r="AM103" s="1273">
        <v>0</v>
      </c>
      <c r="AN103" s="1274">
        <f>(M103+AM103)/K103</f>
        <v>0.28727915304411034</v>
      </c>
      <c r="AO103" s="1275">
        <f>K103-M103</f>
        <v>350087.19</v>
      </c>
      <c r="AP103" s="1460"/>
      <c r="AQ103" s="752" t="s">
        <v>94</v>
      </c>
      <c r="AR103" s="1480">
        <f>VLOOKUP(AQ103,Listes!$A$2:$C$15,3)</f>
        <v>0.30000000000000004</v>
      </c>
      <c r="AT103" s="930" t="s">
        <v>237</v>
      </c>
      <c r="AU103" s="942"/>
      <c r="AV103" s="932">
        <v>0.05</v>
      </c>
      <c r="AW103" s="933">
        <f t="shared" si="11"/>
        <v>0.90000000000000024</v>
      </c>
      <c r="AX103" s="162"/>
      <c r="AY103" s="162"/>
    </row>
    <row r="104" spans="1:51" s="212" customFormat="1" ht="16.5" customHeight="1" thickBot="1">
      <c r="A104" s="474"/>
      <c r="B104" s="206"/>
      <c r="C104" s="207"/>
      <c r="D104" s="208">
        <f>COUNTA(D94:D103)</f>
        <v>10</v>
      </c>
      <c r="E104" s="208">
        <f>SUM(Prog2020)</f>
        <v>804</v>
      </c>
      <c r="F104" s="42"/>
      <c r="G104" s="42"/>
      <c r="H104" s="42"/>
      <c r="I104" s="211">
        <f>SUM(I94:I103)</f>
        <v>111394240.18965924</v>
      </c>
      <c r="J104" s="211"/>
      <c r="K104" s="444">
        <f>SUM(K94:K103)</f>
        <v>1956121.5206897773</v>
      </c>
      <c r="L104" s="1431"/>
      <c r="M104" s="659">
        <f>SUM(M94:M103)</f>
        <v>755527</v>
      </c>
      <c r="N104" s="732">
        <f>M104/K104</f>
        <v>0.38623725162718026</v>
      </c>
      <c r="O104" s="415">
        <f>SUM(O94:O103)</f>
        <v>0</v>
      </c>
      <c r="P104" s="704">
        <f>SUM(P94:P103)</f>
        <v>0</v>
      </c>
      <c r="Q104" s="691">
        <f>SUM(Q94:Q103)</f>
        <v>0</v>
      </c>
      <c r="R104" s="725">
        <f>Q104/K104</f>
        <v>0</v>
      </c>
      <c r="S104" s="659">
        <f>SUM(S94:S103)</f>
        <v>0</v>
      </c>
      <c r="T104" s="691">
        <f>SUM(T94:T103)</f>
        <v>0</v>
      </c>
      <c r="U104" s="679">
        <f>T104/K104</f>
        <v>0</v>
      </c>
      <c r="V104" s="659">
        <f>SUM(V94:V103)</f>
        <v>0</v>
      </c>
      <c r="W104" s="691">
        <f>SUM(W94:W103)</f>
        <v>0</v>
      </c>
      <c r="X104" s="679">
        <f>W104/K104</f>
        <v>0</v>
      </c>
      <c r="Y104" s="572">
        <f>SUM(Rem2020en2016)</f>
        <v>0</v>
      </c>
      <c r="Z104" s="588">
        <f>SUM(Z94:Z103)</f>
        <v>0</v>
      </c>
      <c r="AA104" s="628">
        <f>Z104/K104</f>
        <v>0</v>
      </c>
      <c r="AB104" s="627">
        <f>SUM(Rem2020en2017)</f>
        <v>0</v>
      </c>
      <c r="AC104" s="588">
        <f>SUM(AC94:AC103)</f>
        <v>0</v>
      </c>
      <c r="AD104" s="628">
        <f>AC104/K104</f>
        <v>0</v>
      </c>
      <c r="AE104" s="572">
        <f>SUM(Rem2020en2018)</f>
        <v>0</v>
      </c>
      <c r="AF104" s="588">
        <f>SUM(AF94:AF103)</f>
        <v>0</v>
      </c>
      <c r="AG104" s="732">
        <f>AF104/K104</f>
        <v>0</v>
      </c>
      <c r="AH104" s="572">
        <f>SUM(Rem2020en2019)</f>
        <v>615205</v>
      </c>
      <c r="AI104" s="588">
        <f>SUM(AI94:AI103)</f>
        <v>615205</v>
      </c>
      <c r="AJ104" s="1007">
        <f>AI104/K104</f>
        <v>0.31450244450204878</v>
      </c>
      <c r="AK104" s="776">
        <f>SUM(AK94:AK103)</f>
        <v>140322</v>
      </c>
      <c r="AL104" s="1059">
        <f>AK104/K104</f>
        <v>7.1734807125131445E-2</v>
      </c>
      <c r="AM104" s="869">
        <f>SUM(Rem2020Preven2020)</f>
        <v>64866.679499999998</v>
      </c>
      <c r="AN104" s="743">
        <f>(M104+AM104)/K104</f>
        <v>0.41939811551723466</v>
      </c>
      <c r="AO104" s="383">
        <f>SUM(RemRest2020)</f>
        <v>1200594.5206897773</v>
      </c>
      <c r="AP104" s="1487"/>
      <c r="AQ104" s="1486"/>
      <c r="AR104" s="1485"/>
      <c r="AT104" s="930" t="s">
        <v>204</v>
      </c>
      <c r="AU104" s="939"/>
      <c r="AV104" s="932">
        <v>0.03</v>
      </c>
      <c r="AW104" s="933">
        <f t="shared" si="11"/>
        <v>0.93000000000000027</v>
      </c>
      <c r="AX104" s="162"/>
      <c r="AY104" s="162"/>
    </row>
    <row r="105" spans="1:51" s="162" customFormat="1" ht="14.1" customHeight="1">
      <c r="A105" s="1376">
        <v>2021</v>
      </c>
      <c r="B105" s="1254" t="s">
        <v>359</v>
      </c>
      <c r="C105" s="1255" t="s">
        <v>311</v>
      </c>
      <c r="D105" s="1256">
        <v>2021</v>
      </c>
      <c r="E105" s="199">
        <v>49</v>
      </c>
      <c r="F105" s="1281" t="s">
        <v>291</v>
      </c>
      <c r="G105" s="1257" t="s">
        <v>114</v>
      </c>
      <c r="H105" s="1257" t="s">
        <v>365</v>
      </c>
      <c r="I105" s="1258">
        <v>7411871</v>
      </c>
      <c r="J105" s="1259">
        <f>I105/E105</f>
        <v>151262.67346938775</v>
      </c>
      <c r="K105" s="1072">
        <f t="shared" si="12"/>
        <v>111178.065</v>
      </c>
      <c r="L105" s="1448">
        <f>IF(H105="x",1.5%,3%)</f>
        <v>1.4999999999999999E-2</v>
      </c>
      <c r="M105" s="1260">
        <v>33353</v>
      </c>
      <c r="N105" s="1261">
        <f>M105/K105</f>
        <v>0.29999622677368959</v>
      </c>
      <c r="O105" s="1262"/>
      <c r="P105" s="1260"/>
      <c r="Q105" s="1263"/>
      <c r="R105" s="1264">
        <f>Q105/K105</f>
        <v>0</v>
      </c>
      <c r="S105" s="1260"/>
      <c r="T105" s="1263"/>
      <c r="U105" s="1265">
        <f>T105/K105</f>
        <v>0</v>
      </c>
      <c r="V105" s="1260"/>
      <c r="W105" s="1263"/>
      <c r="X105" s="1265">
        <f>W105/K105</f>
        <v>0</v>
      </c>
      <c r="Y105" s="1266"/>
      <c r="Z105" s="1267"/>
      <c r="AA105" s="1268">
        <f>Z105/K105</f>
        <v>0</v>
      </c>
      <c r="AB105" s="1269"/>
      <c r="AC105" s="1267"/>
      <c r="AD105" s="1268">
        <f>AC105/K105</f>
        <v>0</v>
      </c>
      <c r="AE105" s="1266"/>
      <c r="AF105" s="1267"/>
      <c r="AG105" s="1261">
        <f>AF105/K105</f>
        <v>0</v>
      </c>
      <c r="AH105" s="1266">
        <v>33353</v>
      </c>
      <c r="AI105" s="1267">
        <v>33353</v>
      </c>
      <c r="AJ105" s="1270">
        <f>AI105/K105</f>
        <v>0.29999622677368959</v>
      </c>
      <c r="AK105" s="1271"/>
      <c r="AL105" s="1272">
        <f>AK105/K105</f>
        <v>0</v>
      </c>
      <c r="AM105" s="1273">
        <v>0</v>
      </c>
      <c r="AN105" s="1274">
        <f>(M105+AM105)/K105</f>
        <v>0.29999622677368959</v>
      </c>
      <c r="AO105" s="1275">
        <f>K105-M105</f>
        <v>77825.065000000002</v>
      </c>
      <c r="AP105" s="1460" t="s">
        <v>337</v>
      </c>
      <c r="AQ105" s="752" t="s">
        <v>280</v>
      </c>
      <c r="AR105" s="1476"/>
      <c r="AT105" s="930" t="s">
        <v>203</v>
      </c>
      <c r="AU105" s="940"/>
      <c r="AV105" s="932">
        <v>0.02</v>
      </c>
      <c r="AW105" s="933">
        <f t="shared" si="11"/>
        <v>0.95000000000000029</v>
      </c>
    </row>
    <row r="106" spans="1:51" s="162" customFormat="1" ht="14.1" customHeight="1">
      <c r="A106" s="1376"/>
      <c r="B106" s="1234" t="s">
        <v>221</v>
      </c>
      <c r="C106" s="1235" t="s">
        <v>222</v>
      </c>
      <c r="D106" s="1236">
        <v>2021</v>
      </c>
      <c r="E106" s="1076">
        <v>22</v>
      </c>
      <c r="F106" s="1237"/>
      <c r="G106" s="1237"/>
      <c r="H106" s="1237"/>
      <c r="I106" s="1235">
        <v>3854523</v>
      </c>
      <c r="J106" s="1238">
        <f>I106/E106</f>
        <v>175205.59090909091</v>
      </c>
      <c r="K106" s="1074">
        <f t="shared" si="12"/>
        <v>192726.15000000002</v>
      </c>
      <c r="L106" s="1441">
        <v>0.05</v>
      </c>
      <c r="M106" s="1239">
        <v>19273</v>
      </c>
      <c r="N106" s="1240">
        <f>M106/K106</f>
        <v>0.1000019976531467</v>
      </c>
      <c r="O106" s="1241"/>
      <c r="P106" s="1239"/>
      <c r="Q106" s="1235"/>
      <c r="R106" s="1242">
        <f>Q106/K106</f>
        <v>0</v>
      </c>
      <c r="S106" s="1239"/>
      <c r="T106" s="1235"/>
      <c r="U106" s="1243">
        <f>T106/K106</f>
        <v>0</v>
      </c>
      <c r="V106" s="1239"/>
      <c r="W106" s="1235"/>
      <c r="X106" s="1243">
        <f>W106/K106</f>
        <v>0</v>
      </c>
      <c r="Y106" s="1244">
        <v>19273</v>
      </c>
      <c r="Z106" s="1245">
        <v>19273</v>
      </c>
      <c r="AA106" s="1246">
        <f>Z106/K106</f>
        <v>0.1000019976531467</v>
      </c>
      <c r="AB106" s="1247"/>
      <c r="AC106" s="1245">
        <v>19273</v>
      </c>
      <c r="AD106" s="1246">
        <f>AC106/K106</f>
        <v>0.1000019976531467</v>
      </c>
      <c r="AE106" s="1244">
        <v>0</v>
      </c>
      <c r="AF106" s="1245">
        <v>19273</v>
      </c>
      <c r="AG106" s="1240">
        <f>AF106/K106</f>
        <v>0.1000019976531467</v>
      </c>
      <c r="AH106" s="1244"/>
      <c r="AI106" s="1245">
        <v>19273</v>
      </c>
      <c r="AJ106" s="1248">
        <f>AI106/K106</f>
        <v>0.1000019976531467</v>
      </c>
      <c r="AK106" s="1249"/>
      <c r="AL106" s="1250">
        <f>AK106/K106</f>
        <v>0</v>
      </c>
      <c r="AM106" s="1251">
        <v>0</v>
      </c>
      <c r="AN106" s="1240">
        <f>(M106+AM106)/K106</f>
        <v>0.1000019976531467</v>
      </c>
      <c r="AO106" s="1252">
        <f>K106-M106</f>
        <v>173453.15000000002</v>
      </c>
      <c r="AP106" s="1464"/>
      <c r="AQ106" s="1253"/>
      <c r="AR106" s="1481" t="s">
        <v>336</v>
      </c>
      <c r="AT106" s="930" t="s">
        <v>202</v>
      </c>
      <c r="AU106" s="942"/>
      <c r="AV106" s="932">
        <v>0.05</v>
      </c>
      <c r="AW106" s="933">
        <f t="shared" si="11"/>
        <v>1.0000000000000002</v>
      </c>
      <c r="AX106" s="212"/>
    </row>
    <row r="107" spans="1:51" s="162" customFormat="1" ht="14.1" customHeight="1" thickBot="1">
      <c r="A107" s="1376"/>
      <c r="B107" s="1254" t="s">
        <v>338</v>
      </c>
      <c r="C107" s="1255" t="s">
        <v>339</v>
      </c>
      <c r="D107" s="1256">
        <v>2021</v>
      </c>
      <c r="E107" s="199">
        <v>55</v>
      </c>
      <c r="F107" s="1257" t="s">
        <v>291</v>
      </c>
      <c r="G107" s="1257" t="s">
        <v>162</v>
      </c>
      <c r="H107" s="1257"/>
      <c r="I107" s="1258">
        <v>7040532</v>
      </c>
      <c r="J107" s="1259">
        <f>I107/E107</f>
        <v>128009.67272727273</v>
      </c>
      <c r="K107" s="1072">
        <f t="shared" si="12"/>
        <v>211215.96</v>
      </c>
      <c r="L107" s="1442">
        <f t="shared" ref="L107:L113" si="14">IF(H107="x",1.5%,3%)</f>
        <v>0.03</v>
      </c>
      <c r="M107" s="1260">
        <v>0</v>
      </c>
      <c r="N107" s="1261">
        <f>M107/K107</f>
        <v>0</v>
      </c>
      <c r="O107" s="1262"/>
      <c r="P107" s="1260"/>
      <c r="Q107" s="1263"/>
      <c r="R107" s="1264">
        <f>Q107/K107</f>
        <v>0</v>
      </c>
      <c r="S107" s="1260"/>
      <c r="T107" s="1263"/>
      <c r="U107" s="1265">
        <f>T107/K107</f>
        <v>0</v>
      </c>
      <c r="V107" s="1260"/>
      <c r="W107" s="1263"/>
      <c r="X107" s="1265">
        <f>W107/K107</f>
        <v>0</v>
      </c>
      <c r="Y107" s="1266"/>
      <c r="Z107" s="1267"/>
      <c r="AA107" s="1268">
        <f>Z107/K107</f>
        <v>0</v>
      </c>
      <c r="AB107" s="1269"/>
      <c r="AC107" s="1267"/>
      <c r="AD107" s="1268">
        <f>AC107/K107</f>
        <v>0</v>
      </c>
      <c r="AE107" s="1266"/>
      <c r="AF107" s="1267"/>
      <c r="AG107" s="1261">
        <f>AF107/K107</f>
        <v>0</v>
      </c>
      <c r="AH107" s="1266"/>
      <c r="AI107" s="1267"/>
      <c r="AJ107" s="1270">
        <f>AI107/K107</f>
        <v>0</v>
      </c>
      <c r="AK107" s="1271"/>
      <c r="AL107" s="1272">
        <f>AK107/K107</f>
        <v>0</v>
      </c>
      <c r="AM107" s="1273">
        <f>10%*K107</f>
        <v>21121.596000000001</v>
      </c>
      <c r="AN107" s="1274">
        <f>(M107+AM107)/K107</f>
        <v>0.1</v>
      </c>
      <c r="AO107" s="1275">
        <f>K107-M107</f>
        <v>211215.96</v>
      </c>
      <c r="AP107" s="1460" t="s">
        <v>93</v>
      </c>
      <c r="AQ107" s="752"/>
      <c r="AR107" s="1476"/>
      <c r="AT107" s="943"/>
      <c r="AU107" s="944"/>
      <c r="AV107" s="945">
        <f>SUM(AV91:AV106)</f>
        <v>0.90000000000000036</v>
      </c>
      <c r="AW107" s="946"/>
      <c r="AX107" s="212"/>
    </row>
    <row r="108" spans="1:51" s="1211" customFormat="1" ht="14.1" customHeight="1" thickBot="1">
      <c r="A108" s="1376"/>
      <c r="B108" s="1280" t="s">
        <v>366</v>
      </c>
      <c r="C108" s="1255"/>
      <c r="D108" s="1256">
        <v>2021</v>
      </c>
      <c r="E108" s="199">
        <v>78</v>
      </c>
      <c r="F108" s="1281" t="s">
        <v>340</v>
      </c>
      <c r="G108" s="1257" t="s">
        <v>114</v>
      </c>
      <c r="H108" s="1257" t="s">
        <v>365</v>
      </c>
      <c r="I108" s="1258">
        <v>13540000</v>
      </c>
      <c r="J108" s="1259">
        <f>I108/E108</f>
        <v>173589.74358974359</v>
      </c>
      <c r="K108" s="1072">
        <f t="shared" si="12"/>
        <v>203100</v>
      </c>
      <c r="L108" s="1448">
        <f t="shared" si="14"/>
        <v>1.4999999999999999E-2</v>
      </c>
      <c r="M108" s="1260"/>
      <c r="N108" s="1261">
        <f>M108/K108</f>
        <v>0</v>
      </c>
      <c r="O108" s="1262"/>
      <c r="P108" s="1260"/>
      <c r="Q108" s="1263"/>
      <c r="R108" s="1264">
        <f>Q108/K108</f>
        <v>0</v>
      </c>
      <c r="S108" s="1260"/>
      <c r="T108" s="1263"/>
      <c r="U108" s="1265">
        <f>T108/K108</f>
        <v>0</v>
      </c>
      <c r="V108" s="1260"/>
      <c r="W108" s="1263"/>
      <c r="X108" s="1265">
        <f>W108/K108</f>
        <v>0</v>
      </c>
      <c r="Y108" s="1266"/>
      <c r="Z108" s="1267"/>
      <c r="AA108" s="1268">
        <f>Z108/K108</f>
        <v>0</v>
      </c>
      <c r="AB108" s="1269"/>
      <c r="AC108" s="1267"/>
      <c r="AD108" s="1268">
        <f>AC108/K108</f>
        <v>0</v>
      </c>
      <c r="AE108" s="1266"/>
      <c r="AF108" s="1267"/>
      <c r="AG108" s="1261">
        <f>AF108/K108</f>
        <v>0</v>
      </c>
      <c r="AH108" s="1266"/>
      <c r="AI108" s="1267"/>
      <c r="AJ108" s="1270">
        <f>AI108/K108</f>
        <v>0</v>
      </c>
      <c r="AK108" s="1271"/>
      <c r="AL108" s="1272">
        <f>AK108/K108</f>
        <v>0</v>
      </c>
      <c r="AM108" s="1273">
        <f>15%*K108</f>
        <v>30465</v>
      </c>
      <c r="AN108" s="1274">
        <f>(M108+AM108)/K108</f>
        <v>0.15</v>
      </c>
      <c r="AO108" s="1275">
        <f>K108-M108</f>
        <v>203100</v>
      </c>
      <c r="AP108" s="1460" t="s">
        <v>94</v>
      </c>
      <c r="AQ108" s="752" t="s">
        <v>94</v>
      </c>
      <c r="AR108" s="1475"/>
      <c r="AT108" s="1452"/>
      <c r="AU108" s="1"/>
      <c r="AV108" s="1"/>
      <c r="AW108" s="1"/>
      <c r="AX108" s="1453"/>
      <c r="AY108" s="1453"/>
    </row>
    <row r="109" spans="1:51" s="162" customFormat="1" ht="14.1" customHeight="1">
      <c r="A109" s="1376"/>
      <c r="B109" s="1280"/>
      <c r="C109" s="197"/>
      <c r="D109" s="198"/>
      <c r="E109" s="204"/>
      <c r="F109" s="504"/>
      <c r="G109" s="200"/>
      <c r="H109" s="200"/>
      <c r="I109" s="201"/>
      <c r="J109" s="433" t="e">
        <f>I109/E109</f>
        <v>#DIV/0!</v>
      </c>
      <c r="K109" s="461">
        <f t="shared" si="12"/>
        <v>0</v>
      </c>
      <c r="L109" s="1443">
        <f t="shared" si="14"/>
        <v>0.03</v>
      </c>
      <c r="M109" s="382"/>
      <c r="N109" s="372" t="e">
        <f>M109/K109</f>
        <v>#DIV/0!</v>
      </c>
      <c r="O109" s="414"/>
      <c r="P109" s="382"/>
      <c r="Q109" s="690"/>
      <c r="R109" s="724" t="e">
        <f>Q109/K109</f>
        <v>#DIV/0!</v>
      </c>
      <c r="S109" s="382"/>
      <c r="T109" s="690"/>
      <c r="U109" s="678" t="e">
        <f>T109/K109</f>
        <v>#DIV/0!</v>
      </c>
      <c r="V109" s="382"/>
      <c r="W109" s="690"/>
      <c r="X109" s="678" t="e">
        <f>W109/K109</f>
        <v>#DIV/0!</v>
      </c>
      <c r="Y109" s="361"/>
      <c r="Z109" s="587"/>
      <c r="AA109" s="626" t="e">
        <f>Z109/K109</f>
        <v>#DIV/0!</v>
      </c>
      <c r="AB109" s="625"/>
      <c r="AC109" s="587"/>
      <c r="AD109" s="626" t="e">
        <f>AC109/K109</f>
        <v>#DIV/0!</v>
      </c>
      <c r="AE109" s="361"/>
      <c r="AF109" s="587"/>
      <c r="AG109" s="372" t="e">
        <f>AF109/K109</f>
        <v>#DIV/0!</v>
      </c>
      <c r="AH109" s="361"/>
      <c r="AI109" s="587"/>
      <c r="AJ109" s="202" t="e">
        <f>AI109/K109</f>
        <v>#DIV/0!</v>
      </c>
      <c r="AK109" s="775"/>
      <c r="AL109" s="1057" t="e">
        <f>AK109/K109</f>
        <v>#DIV/0!</v>
      </c>
      <c r="AM109" s="853">
        <f>30%*K109</f>
        <v>0</v>
      </c>
      <c r="AN109" s="555" t="e">
        <f>(M109+AM109)/K109</f>
        <v>#DIV/0!</v>
      </c>
      <c r="AO109" s="203">
        <f>K109-M109</f>
        <v>0</v>
      </c>
      <c r="AP109" s="1456"/>
      <c r="AQ109" s="751"/>
      <c r="AR109" s="1476"/>
      <c r="AT109" s="926"/>
      <c r="AU109" s="927"/>
      <c r="AV109" s="928" t="s">
        <v>303</v>
      </c>
      <c r="AW109" s="929"/>
      <c r="AX109" s="212"/>
    </row>
    <row r="110" spans="1:51" s="925" customFormat="1" ht="14.1" customHeight="1">
      <c r="A110" s="1376"/>
      <c r="B110" s="1305"/>
      <c r="C110" s="907"/>
      <c r="D110" s="908"/>
      <c r="E110" s="909"/>
      <c r="F110" s="910"/>
      <c r="G110" s="910"/>
      <c r="H110" s="910"/>
      <c r="I110" s="201"/>
      <c r="J110" s="433" t="e">
        <f>I110/E110</f>
        <v>#DIV/0!</v>
      </c>
      <c r="K110" s="461">
        <f t="shared" si="12"/>
        <v>0</v>
      </c>
      <c r="L110" s="1443">
        <f t="shared" si="14"/>
        <v>0.03</v>
      </c>
      <c r="M110" s="911"/>
      <c r="N110" s="912" t="e">
        <f>M110/K110</f>
        <v>#DIV/0!</v>
      </c>
      <c r="O110" s="913"/>
      <c r="P110" s="911"/>
      <c r="Q110" s="914"/>
      <c r="R110" s="915" t="e">
        <f>Q110/K110</f>
        <v>#DIV/0!</v>
      </c>
      <c r="S110" s="911"/>
      <c r="T110" s="914"/>
      <c r="U110" s="916" t="e">
        <f>T110/K110</f>
        <v>#DIV/0!</v>
      </c>
      <c r="V110" s="911"/>
      <c r="W110" s="914"/>
      <c r="X110" s="916" t="e">
        <f>W110/K110</f>
        <v>#DIV/0!</v>
      </c>
      <c r="Y110" s="917"/>
      <c r="Z110" s="918"/>
      <c r="AA110" s="919" t="e">
        <f>Z110/K110</f>
        <v>#DIV/0!</v>
      </c>
      <c r="AB110" s="920"/>
      <c r="AC110" s="918"/>
      <c r="AD110" s="919" t="e">
        <f>AC110/K110</f>
        <v>#DIV/0!</v>
      </c>
      <c r="AE110" s="917"/>
      <c r="AF110" s="918"/>
      <c r="AG110" s="372" t="e">
        <f>AF110/K110</f>
        <v>#DIV/0!</v>
      </c>
      <c r="AH110" s="917"/>
      <c r="AI110" s="918"/>
      <c r="AJ110" s="1008" t="e">
        <f>AI110/K110</f>
        <v>#DIV/0!</v>
      </c>
      <c r="AK110" s="1031"/>
      <c r="AL110" s="1060" t="e">
        <f>AK110/K110</f>
        <v>#DIV/0!</v>
      </c>
      <c r="AM110" s="921">
        <f>30%*K110</f>
        <v>0</v>
      </c>
      <c r="AN110" s="922" t="e">
        <f>(M110+AM110)/K110</f>
        <v>#DIV/0!</v>
      </c>
      <c r="AO110" s="923">
        <f>K110-M110</f>
        <v>0</v>
      </c>
      <c r="AP110" s="1467"/>
      <c r="AQ110" s="924"/>
      <c r="AR110" s="1482"/>
      <c r="AT110" s="930" t="s">
        <v>235</v>
      </c>
      <c r="AU110" s="931"/>
      <c r="AV110" s="932">
        <v>0.1</v>
      </c>
      <c r="AW110" s="933">
        <f>AV110</f>
        <v>0.1</v>
      </c>
      <c r="AX110" s="212"/>
      <c r="AY110" s="162"/>
    </row>
    <row r="111" spans="1:51" s="162" customFormat="1" ht="14.1" customHeight="1">
      <c r="A111" s="1376"/>
      <c r="B111" s="1254"/>
      <c r="C111" s="197"/>
      <c r="D111" s="198"/>
      <c r="E111" s="204"/>
      <c r="F111" s="200"/>
      <c r="G111" s="200"/>
      <c r="H111" s="200"/>
      <c r="I111" s="201"/>
      <c r="J111" s="433" t="e">
        <f>I111/E111</f>
        <v>#DIV/0!</v>
      </c>
      <c r="K111" s="461">
        <f t="shared" si="12"/>
        <v>0</v>
      </c>
      <c r="L111" s="1443">
        <f t="shared" si="14"/>
        <v>0.03</v>
      </c>
      <c r="M111" s="382"/>
      <c r="N111" s="372" t="e">
        <f>M111/K111</f>
        <v>#DIV/0!</v>
      </c>
      <c r="O111" s="414"/>
      <c r="P111" s="382"/>
      <c r="Q111" s="690"/>
      <c r="R111" s="724" t="e">
        <f>Q111/K111</f>
        <v>#DIV/0!</v>
      </c>
      <c r="S111" s="382"/>
      <c r="T111" s="690"/>
      <c r="U111" s="678" t="e">
        <f>T111/K111</f>
        <v>#DIV/0!</v>
      </c>
      <c r="V111" s="382"/>
      <c r="W111" s="690"/>
      <c r="X111" s="678" t="e">
        <f>W111/K111</f>
        <v>#DIV/0!</v>
      </c>
      <c r="Y111" s="361"/>
      <c r="Z111" s="587"/>
      <c r="AA111" s="626" t="e">
        <f>Z111/K111</f>
        <v>#DIV/0!</v>
      </c>
      <c r="AB111" s="625"/>
      <c r="AC111" s="587"/>
      <c r="AD111" s="626" t="e">
        <f>AC111/K111</f>
        <v>#DIV/0!</v>
      </c>
      <c r="AE111" s="361"/>
      <c r="AF111" s="587"/>
      <c r="AG111" s="372" t="e">
        <f>AF111/K111</f>
        <v>#DIV/0!</v>
      </c>
      <c r="AH111" s="361"/>
      <c r="AI111" s="587"/>
      <c r="AJ111" s="202" t="e">
        <f>AI111/K111</f>
        <v>#DIV/0!</v>
      </c>
      <c r="AK111" s="775"/>
      <c r="AL111" s="1057" t="e">
        <f>AK111/K111</f>
        <v>#DIV/0!</v>
      </c>
      <c r="AM111" s="853">
        <f>30%*K111</f>
        <v>0</v>
      </c>
      <c r="AN111" s="555" t="e">
        <f>(M111+AM111)/K111</f>
        <v>#DIV/0!</v>
      </c>
      <c r="AO111" s="203">
        <f>K111-M111</f>
        <v>0</v>
      </c>
      <c r="AP111" s="1456"/>
      <c r="AQ111" s="751"/>
      <c r="AR111" s="1476"/>
      <c r="AT111" s="930" t="s">
        <v>162</v>
      </c>
      <c r="AU111" s="934"/>
      <c r="AV111" s="932">
        <v>0.05</v>
      </c>
      <c r="AW111" s="933">
        <f t="shared" ref="AU111:AW123" si="15">AV111+AW110</f>
        <v>0.15000000000000002</v>
      </c>
      <c r="AX111" s="1"/>
      <c r="AY111" s="212"/>
    </row>
    <row r="112" spans="1:51" s="162" customFormat="1" ht="14.1" customHeight="1">
      <c r="A112" s="1376"/>
      <c r="B112" s="1254"/>
      <c r="C112" s="197"/>
      <c r="D112" s="198"/>
      <c r="E112" s="204"/>
      <c r="F112" s="200"/>
      <c r="G112" s="200"/>
      <c r="H112" s="200"/>
      <c r="I112" s="201"/>
      <c r="J112" s="433" t="e">
        <f>I112/E112</f>
        <v>#DIV/0!</v>
      </c>
      <c r="K112" s="461">
        <f t="shared" si="12"/>
        <v>0</v>
      </c>
      <c r="L112" s="1443">
        <f t="shared" si="14"/>
        <v>0.03</v>
      </c>
      <c r="M112" s="382"/>
      <c r="N112" s="372" t="e">
        <f>M112/K112</f>
        <v>#DIV/0!</v>
      </c>
      <c r="O112" s="414"/>
      <c r="P112" s="382"/>
      <c r="Q112" s="690"/>
      <c r="R112" s="724" t="e">
        <f>Q112/K112</f>
        <v>#DIV/0!</v>
      </c>
      <c r="S112" s="382"/>
      <c r="T112" s="690"/>
      <c r="U112" s="678" t="e">
        <f>T112/K112</f>
        <v>#DIV/0!</v>
      </c>
      <c r="V112" s="382"/>
      <c r="W112" s="690"/>
      <c r="X112" s="678" t="e">
        <f>W112/K112</f>
        <v>#DIV/0!</v>
      </c>
      <c r="Y112" s="361"/>
      <c r="Z112" s="587"/>
      <c r="AA112" s="626" t="e">
        <f>Z112/K112</f>
        <v>#DIV/0!</v>
      </c>
      <c r="AB112" s="625"/>
      <c r="AC112" s="587"/>
      <c r="AD112" s="626" t="e">
        <f>AC112/K112</f>
        <v>#DIV/0!</v>
      </c>
      <c r="AE112" s="361"/>
      <c r="AF112" s="587"/>
      <c r="AG112" s="372" t="e">
        <f>AF112/K112</f>
        <v>#DIV/0!</v>
      </c>
      <c r="AH112" s="361"/>
      <c r="AI112" s="587"/>
      <c r="AJ112" s="202" t="e">
        <f>AI112/K112</f>
        <v>#DIV/0!</v>
      </c>
      <c r="AK112" s="775"/>
      <c r="AL112" s="1057" t="e">
        <f>AK112/K112</f>
        <v>#DIV/0!</v>
      </c>
      <c r="AM112" s="853">
        <f>30%*K112</f>
        <v>0</v>
      </c>
      <c r="AN112" s="555" t="e">
        <f>(M112+AM112)/K112</f>
        <v>#DIV/0!</v>
      </c>
      <c r="AO112" s="203">
        <f>K112-M112</f>
        <v>0</v>
      </c>
      <c r="AP112" s="1456"/>
      <c r="AQ112" s="751"/>
      <c r="AR112" s="1476"/>
      <c r="AT112" s="930" t="s">
        <v>117</v>
      </c>
      <c r="AU112" s="935"/>
      <c r="AV112" s="932">
        <v>0.1</v>
      </c>
      <c r="AW112" s="933">
        <f t="shared" si="15"/>
        <v>0.25</v>
      </c>
      <c r="AX112" s="5"/>
      <c r="AY112" s="212"/>
    </row>
    <row r="113" spans="1:51" s="212" customFormat="1" ht="16.5" customHeight="1" thickBot="1">
      <c r="A113" s="1376"/>
      <c r="B113" s="1254" t="s">
        <v>367</v>
      </c>
      <c r="C113" s="197" t="s">
        <v>306</v>
      </c>
      <c r="D113" s="198">
        <v>2021</v>
      </c>
      <c r="E113" s="204">
        <v>205</v>
      </c>
      <c r="F113" s="200" t="s">
        <v>103</v>
      </c>
      <c r="G113" s="200" t="s">
        <v>114</v>
      </c>
      <c r="H113" s="200" t="s">
        <v>365</v>
      </c>
      <c r="I113" s="201">
        <v>25520524</v>
      </c>
      <c r="J113" s="433">
        <f>I113/E113</f>
        <v>124490.36097560976</v>
      </c>
      <c r="K113" s="1072">
        <f t="shared" si="12"/>
        <v>382807.86</v>
      </c>
      <c r="L113" s="1448">
        <f t="shared" si="14"/>
        <v>1.4999999999999999E-2</v>
      </c>
      <c r="M113" s="382">
        <v>110000</v>
      </c>
      <c r="N113" s="372">
        <f>M113/K113</f>
        <v>0.28735042169719294</v>
      </c>
      <c r="O113" s="414"/>
      <c r="P113" s="382"/>
      <c r="Q113" s="690"/>
      <c r="R113" s="724">
        <f>Q113/K113</f>
        <v>0</v>
      </c>
      <c r="S113" s="382"/>
      <c r="T113" s="690"/>
      <c r="U113" s="678">
        <f>T113/K113</f>
        <v>0</v>
      </c>
      <c r="V113" s="382"/>
      <c r="W113" s="690"/>
      <c r="X113" s="678">
        <f>W113/K113</f>
        <v>0</v>
      </c>
      <c r="Y113" s="361"/>
      <c r="Z113" s="587"/>
      <c r="AA113" s="626">
        <f>Z113/K113</f>
        <v>0</v>
      </c>
      <c r="AB113" s="625"/>
      <c r="AC113" s="587"/>
      <c r="AD113" s="626">
        <f>AC113/K113</f>
        <v>0</v>
      </c>
      <c r="AE113" s="361"/>
      <c r="AF113" s="587"/>
      <c r="AG113" s="372">
        <f>AF113/K113</f>
        <v>0</v>
      </c>
      <c r="AH113" s="361">
        <v>110000</v>
      </c>
      <c r="AI113" s="587">
        <v>110000</v>
      </c>
      <c r="AJ113" s="202">
        <f>AI113/K113</f>
        <v>0.28735042169719294</v>
      </c>
      <c r="AK113" s="775"/>
      <c r="AL113" s="1057">
        <f>AK113/K113</f>
        <v>0</v>
      </c>
      <c r="AM113" s="853">
        <v>0</v>
      </c>
      <c r="AN113" s="555">
        <f>(M113+AM113)/K113</f>
        <v>0.28735042169719294</v>
      </c>
      <c r="AO113" s="203">
        <f>K113-M113</f>
        <v>272807.86</v>
      </c>
      <c r="AP113" s="1456"/>
      <c r="AQ113" s="751" t="s">
        <v>94</v>
      </c>
      <c r="AR113" s="1478"/>
      <c r="AT113" s="930" t="s">
        <v>138</v>
      </c>
      <c r="AU113" s="936"/>
      <c r="AV113" s="932">
        <v>0.1</v>
      </c>
      <c r="AW113" s="933">
        <f t="shared" si="15"/>
        <v>0.35</v>
      </c>
      <c r="AX113"/>
      <c r="AY113" s="1"/>
    </row>
    <row r="114" spans="1:51" s="212" customFormat="1" ht="16.5" customHeight="1" thickBot="1">
      <c r="A114" s="474"/>
      <c r="B114" s="206"/>
      <c r="C114" s="207"/>
      <c r="D114" s="208">
        <f>COUNTA(D105:D113)</f>
        <v>5</v>
      </c>
      <c r="E114" s="208">
        <f>SUM(E105:E113)</f>
        <v>409</v>
      </c>
      <c r="F114" s="42"/>
      <c r="G114" s="42"/>
      <c r="H114" s="42"/>
      <c r="I114" s="211">
        <f>SUM(I105:I113)</f>
        <v>57367450</v>
      </c>
      <c r="J114" s="211"/>
      <c r="K114" s="444">
        <f>SUM(K105:K113)</f>
        <v>1101028.0350000001</v>
      </c>
      <c r="L114" s="1431"/>
      <c r="M114" s="659">
        <f>SUM(M105:M113)</f>
        <v>162626</v>
      </c>
      <c r="N114" s="732">
        <f>M114/K114</f>
        <v>0.14770377758818828</v>
      </c>
      <c r="O114" s="415">
        <f>SUM(O105:O113)</f>
        <v>0</v>
      </c>
      <c r="P114" s="704">
        <f>SUM(P105:P113)</f>
        <v>0</v>
      </c>
      <c r="Q114" s="691">
        <f>SUM(Q105:Q113)</f>
        <v>0</v>
      </c>
      <c r="R114" s="725">
        <f>Q114/K114</f>
        <v>0</v>
      </c>
      <c r="S114" s="659">
        <f>SUM(S105:S113)</f>
        <v>0</v>
      </c>
      <c r="T114" s="691">
        <f>SUM(T105:T113)</f>
        <v>0</v>
      </c>
      <c r="U114" s="679">
        <f>T114/K114</f>
        <v>0</v>
      </c>
      <c r="V114" s="659">
        <f>SUM(V105:V113)</f>
        <v>0</v>
      </c>
      <c r="W114" s="691">
        <f>SUM(W105:W113)</f>
        <v>0</v>
      </c>
      <c r="X114" s="679">
        <f>W114/K114</f>
        <v>0</v>
      </c>
      <c r="Y114" s="572">
        <f>SUM(Y105:Y113)</f>
        <v>19273</v>
      </c>
      <c r="Z114" s="588">
        <f>SUM(Z105:Z113)</f>
        <v>19273</v>
      </c>
      <c r="AA114" s="628">
        <f>Z114/K114</f>
        <v>1.7504549736555981E-2</v>
      </c>
      <c r="AB114" s="627">
        <f>SUM(AB105:AB113)</f>
        <v>0</v>
      </c>
      <c r="AC114" s="588">
        <f>SUM(AC105:AC113)</f>
        <v>19273</v>
      </c>
      <c r="AD114" s="628">
        <f>AC114/K114</f>
        <v>1.7504549736555981E-2</v>
      </c>
      <c r="AE114" s="572">
        <f>SUM(AE105:AE113)</f>
        <v>0</v>
      </c>
      <c r="AF114" s="588">
        <f>SUM(AF105:AF113)</f>
        <v>19273</v>
      </c>
      <c r="AG114" s="732">
        <f>AF114/K114</f>
        <v>1.7504549736555981E-2</v>
      </c>
      <c r="AH114" s="572">
        <f>SUM(AH105:AH113)</f>
        <v>143353</v>
      </c>
      <c r="AI114" s="588">
        <f>SUM(AI105:AI113)</f>
        <v>162626</v>
      </c>
      <c r="AJ114" s="1007">
        <f>AI114/K114</f>
        <v>0.14770377758818828</v>
      </c>
      <c r="AK114" s="776">
        <f>SUM(AK105:AK113)</f>
        <v>0</v>
      </c>
      <c r="AL114" s="1059">
        <f>AK114/K114</f>
        <v>0</v>
      </c>
      <c r="AM114" s="869">
        <f>SUM(AM105:AM113)</f>
        <v>51586.596000000005</v>
      </c>
      <c r="AN114" s="743">
        <f>(M114+AM114)/K114</f>
        <v>0.1945568951838724</v>
      </c>
      <c r="AO114" s="383">
        <f>SUM(AO105:AO113)</f>
        <v>938402.03500000003</v>
      </c>
      <c r="AP114" s="753"/>
      <c r="AQ114" s="753"/>
      <c r="AR114" s="544"/>
      <c r="AT114" s="930" t="s">
        <v>91</v>
      </c>
      <c r="AU114" s="936"/>
      <c r="AV114" s="932">
        <v>0.15</v>
      </c>
      <c r="AW114" s="933">
        <f>AV114+AW113</f>
        <v>0.5</v>
      </c>
      <c r="AX114"/>
      <c r="AY114" s="5"/>
    </row>
    <row r="115" spans="1:51" s="1" customFormat="1" ht="16.2" thickBot="1">
      <c r="A115" s="474"/>
      <c r="B115" s="28"/>
      <c r="C115" s="14" t="s">
        <v>69</v>
      </c>
      <c r="D115" s="15">
        <f>D8+D12+D18+D31+D42+D50+D59+D68+D77+D93+D84+D114+D104</f>
        <v>87</v>
      </c>
      <c r="E115" s="475">
        <f>E8+E12+E18+E31+E42+E50+E59+E68+E77+E93+E84+E114+E104</f>
        <v>4042</v>
      </c>
      <c r="F115" s="42"/>
      <c r="G115" s="42"/>
      <c r="H115" s="42"/>
      <c r="I115" s="29">
        <f>I8+I12+I18+I31+I42+I50+I59+I68+I77+I93+I84+I114+I104</f>
        <v>596285829.07415915</v>
      </c>
      <c r="J115" s="816">
        <f>J8+J12+J18+J31+J42+J50+J59+J68+J77+J93+J84+J114</f>
        <v>0</v>
      </c>
      <c r="K115" s="445">
        <f>K8+K12+K18+K31+K42+K50+K59+K68+K77+K93+K84+K114+K104</f>
        <v>22195761.140264131</v>
      </c>
      <c r="L115" s="1402"/>
      <c r="M115" s="660">
        <f>M8+M12+M18+M31+M42+M50+M59+M68+M77+M93+M84+M114+M104</f>
        <v>18456359.750060081</v>
      </c>
      <c r="N115" s="373">
        <f>M115/K115</f>
        <v>0.83152632763646916</v>
      </c>
      <c r="O115" s="416">
        <f>O8+O12+O18+O31+O42+O50+O59+O68+O77+O93+O84+O114+O104</f>
        <v>1991049</v>
      </c>
      <c r="P115" s="660">
        <f>P8+P12+P18+P31+P42+P50+P59+P68+P77+P93+P84+P114+P104</f>
        <v>1990100.33</v>
      </c>
      <c r="Q115" s="29">
        <f>Q8+Q12+Q18+Q31+Q42+Q50+Q59+Q68+Q77+Q93+Q84+Q114+Q104</f>
        <v>6743410.6817923598</v>
      </c>
      <c r="R115" s="680">
        <f>Q115/K115</f>
        <v>0.30381524828898537</v>
      </c>
      <c r="S115" s="660">
        <f>S8+S12+S18+S31+S42+S50+S59+S68+S77+S93+S84+S114+S104</f>
        <v>1923688.4423041474</v>
      </c>
      <c r="T115" s="29">
        <f>T8+T12+T18+T31+T42+T50+T59+T68+T77+T93+T84+T114+T104</f>
        <v>8651348.620000001</v>
      </c>
      <c r="U115" s="680">
        <f>T115/K115</f>
        <v>0.38977481174574624</v>
      </c>
      <c r="V115" s="660">
        <f>V8+V12+V18+V31+V42+V50+V59+V68+V77+V93+V84+V114+V104</f>
        <v>2120304.9124423964</v>
      </c>
      <c r="W115" s="29">
        <f>W8+W12+W18+W31+W42+W50+W59+W68+W77+W93+W84+W114+W104</f>
        <v>10771676.034746544</v>
      </c>
      <c r="X115" s="680">
        <f>W115/K115</f>
        <v>0.48530329582643728</v>
      </c>
      <c r="Y115" s="573">
        <f>Y8+Y12+Y18+Y31+Y42+Y50+Y59+Y68+Y77+Y93+Y84+Y114+Y104</f>
        <v>1979415.1336405529</v>
      </c>
      <c r="Z115" s="291">
        <f>Z8+Z12+Z18+Z31+Z42+Z50+Z59+Z68+Z77+Z93+Z84+Z114+Z104</f>
        <v>12748375.550875576</v>
      </c>
      <c r="AA115" s="630">
        <f>Z115/K115</f>
        <v>0.57436081918134529</v>
      </c>
      <c r="AB115" s="629">
        <f>AB8+AB12+AB18+AB31+AB42+AB50+AB59+AB68+AB77+AB93+AB84+AB114+AB104</f>
        <v>1785765.4587557605</v>
      </c>
      <c r="AC115" s="291">
        <f>AC8+AC12+AC18+AC31+AC42+AC50+AC59+AC68+AC77+AC93+AC84+AC114+AC104</f>
        <v>14534070.754654378</v>
      </c>
      <c r="AD115" s="630">
        <f>AC115/K115</f>
        <v>0.65481290156294325</v>
      </c>
      <c r="AE115" s="573">
        <f>AE8+AE12+AE18+AE31+AE42+AE50+AE59+AE68+AE77+AE93+AE84+AE114+AE104</f>
        <v>1587877.9028110602</v>
      </c>
      <c r="AF115" s="835">
        <f>AF8+AF12+AF18+AF31+AF42+AF50+AF59+AF68+AF77+AF93+AF84+AF114+AF104</f>
        <v>15962159.873917049</v>
      </c>
      <c r="AG115" s="373">
        <f>AF115/K115</f>
        <v>0.7191535254432414</v>
      </c>
      <c r="AH115" s="573">
        <f>AH8+AH12+AH18+AH31+AH42+AH50+AH59+AH68+AH77+AH93+AH84+AH114+AH104</f>
        <v>1961165.3306451612</v>
      </c>
      <c r="AI115" s="291">
        <f>AI8+AI12+AI18+AI31+AI42+AI50+AI59+AI68+AI77+AI93+AI84+AI114+AI104</f>
        <v>11433879.215874078</v>
      </c>
      <c r="AJ115" s="394">
        <f>AI115/K115</f>
        <v>0.51513796456984284</v>
      </c>
      <c r="AK115" s="777">
        <f>AK8+AK12+AK18+AK31+AK42+AK50+AK59+AK68+AK77+AK93+AK84+AK114+AK104</f>
        <v>378149</v>
      </c>
      <c r="AL115" s="1061">
        <f>AK115/K115</f>
        <v>1.7036991775606213E-2</v>
      </c>
      <c r="AM115" s="854">
        <f>AM8+AM12+AM18+AM31+AM42+AM50+AM59+AM68+AM77+AM93+AM84+AM114+AM104</f>
        <v>513187.88397203432</v>
      </c>
      <c r="AN115" s="744">
        <f>(M115+AM115)/K115</f>
        <v>0.85464731369903257</v>
      </c>
      <c r="AO115" s="41">
        <f>AO8+AO12+AO18+AO31+AO42+AO50+AO59+AO68+AO77+AO93+AO84+AO114+AO104</f>
        <v>3754339.3902040534</v>
      </c>
      <c r="AP115" s="753"/>
      <c r="AQ115" s="753"/>
      <c r="AR115" s="140"/>
      <c r="AT115" s="930" t="s">
        <v>268</v>
      </c>
      <c r="AU115" s="936"/>
      <c r="AV115" s="932">
        <v>0.05</v>
      </c>
      <c r="AW115" s="933">
        <f t="shared" si="15"/>
        <v>0.55000000000000004</v>
      </c>
      <c r="AX115"/>
      <c r="AY115"/>
    </row>
    <row r="116" spans="1:51" ht="16.2" thickBot="1">
      <c r="F116" s="33"/>
      <c r="G116" s="33"/>
      <c r="H116" s="33"/>
      <c r="I116" s="17"/>
      <c r="J116" s="17"/>
      <c r="K116" s="17"/>
      <c r="L116" s="17"/>
      <c r="M116" s="33"/>
      <c r="N116" s="33"/>
      <c r="O116" s="31"/>
      <c r="P116" s="31"/>
      <c r="Q116" s="31"/>
      <c r="R116" s="31"/>
      <c r="S116" s="31"/>
      <c r="T116" s="31"/>
      <c r="U116" s="94"/>
      <c r="V116" s="94"/>
      <c r="W116" s="94"/>
      <c r="X116" s="5"/>
      <c r="Y116" s="168"/>
      <c r="Z116" s="71"/>
      <c r="AA116" s="71"/>
      <c r="AB116" s="71"/>
      <c r="AC116" s="71"/>
      <c r="AD116" s="5"/>
      <c r="AE116" s="168">
        <f>AE115/Y118</f>
        <v>1</v>
      </c>
      <c r="AF116" s="168"/>
      <c r="AG116" s="168"/>
      <c r="AH116" s="168"/>
      <c r="AI116" s="168"/>
      <c r="AJ116" s="168"/>
      <c r="AK116" s="168"/>
      <c r="AL116" s="168"/>
      <c r="AN116"/>
      <c r="AO116" s="5"/>
      <c r="AP116" s="753"/>
      <c r="AQ116" s="43"/>
      <c r="AR116" s="139"/>
      <c r="AT116" s="930" t="s">
        <v>95</v>
      </c>
      <c r="AU116" s="937"/>
      <c r="AV116" s="932">
        <v>0.1</v>
      </c>
      <c r="AW116" s="933">
        <f t="shared" si="15"/>
        <v>0.65</v>
      </c>
      <c r="AX116"/>
      <c r="AY116"/>
    </row>
    <row r="117" spans="1:51">
      <c r="F117" s="33"/>
      <c r="G117" s="33"/>
      <c r="H117" s="292"/>
      <c r="I117" s="21"/>
      <c r="J117" s="22"/>
      <c r="K117" s="22"/>
      <c r="L117" s="135"/>
      <c r="M117" s="476"/>
      <c r="N117" s="476"/>
      <c r="O117" s="476"/>
      <c r="P117" s="476"/>
      <c r="Q117" s="476"/>
      <c r="R117" s="476"/>
      <c r="S117" s="477"/>
      <c r="T117" s="478" t="s">
        <v>238</v>
      </c>
      <c r="U117" s="477"/>
      <c r="V117" s="479"/>
      <c r="W117" s="480">
        <v>2016</v>
      </c>
      <c r="X117" s="480">
        <v>2017</v>
      </c>
      <c r="Y117" s="890">
        <v>2018</v>
      </c>
      <c r="Z117" s="1077">
        <v>2019</v>
      </c>
      <c r="AA117" s="968">
        <v>2020</v>
      </c>
      <c r="AB117" s="965" t="s">
        <v>324</v>
      </c>
      <c r="AC117" s="5"/>
      <c r="AD117" s="5"/>
      <c r="AE117" s="5"/>
      <c r="AF117" s="168"/>
      <c r="AG117" s="168"/>
      <c r="AH117" s="168"/>
      <c r="AI117" s="168"/>
      <c r="AJ117" s="168"/>
      <c r="AK117" s="168"/>
      <c r="AM117"/>
      <c r="AN117" s="5"/>
      <c r="AP117" s="43"/>
      <c r="AQ117" s="139"/>
      <c r="AR117" s="958">
        <v>0.2</v>
      </c>
      <c r="AS117" s="936"/>
      <c r="AT117" s="932">
        <v>0.05</v>
      </c>
      <c r="AU117" s="933">
        <f>AT117+AW116</f>
        <v>0.70000000000000007</v>
      </c>
      <c r="AV117"/>
      <c r="AW117"/>
    </row>
    <row r="118" spans="1:51">
      <c r="C118" s="30"/>
      <c r="F118" s="33"/>
      <c r="G118" s="33"/>
      <c r="H118" s="69" t="s">
        <v>207</v>
      </c>
      <c r="I118" s="24"/>
      <c r="J118" s="24"/>
      <c r="K118" s="24"/>
      <c r="L118" s="136"/>
      <c r="M118" s="481">
        <v>1842966</v>
      </c>
      <c r="N118" s="481">
        <f>+P115</f>
        <v>1990100.33</v>
      </c>
      <c r="O118" s="482"/>
      <c r="P118" s="482"/>
      <c r="Q118" s="481">
        <f>+S115</f>
        <v>1923688.4423041474</v>
      </c>
      <c r="R118" s="482"/>
      <c r="S118" s="482"/>
      <c r="T118" s="481">
        <f>+V115</f>
        <v>2120304.9124423964</v>
      </c>
      <c r="U118" s="483"/>
      <c r="V118" s="484"/>
      <c r="W118" s="485">
        <f>Y115</f>
        <v>1979415.1336405529</v>
      </c>
      <c r="X118" s="485">
        <f>AB115</f>
        <v>1785765.4587557605</v>
      </c>
      <c r="Y118" s="891">
        <f>AE115</f>
        <v>1587877.9028110602</v>
      </c>
      <c r="Z118" s="1078">
        <f>AH115</f>
        <v>1961165.3306451612</v>
      </c>
      <c r="AA118" s="1070">
        <f>AK115+AM115</f>
        <v>891336.88397203432</v>
      </c>
      <c r="AB118" s="966">
        <v>1187920</v>
      </c>
      <c r="AC118" s="5"/>
      <c r="AD118" s="5"/>
      <c r="AE118" s="5"/>
      <c r="AF118" s="168"/>
      <c r="AG118" s="168"/>
      <c r="AH118" s="168"/>
      <c r="AI118" s="168"/>
      <c r="AJ118" s="168"/>
      <c r="AK118" s="168"/>
      <c r="AM118"/>
      <c r="AN118" s="5"/>
      <c r="AP118" s="43"/>
      <c r="AQ118" s="139"/>
      <c r="AR118" s="958">
        <v>0.4</v>
      </c>
      <c r="AS118" s="938"/>
      <c r="AT118" s="932">
        <v>0.05</v>
      </c>
      <c r="AU118" s="933">
        <f t="shared" si="15"/>
        <v>0.75000000000000011</v>
      </c>
      <c r="AV118"/>
      <c r="AW118"/>
    </row>
    <row r="119" spans="1:51">
      <c r="F119" s="33"/>
      <c r="G119" s="33"/>
      <c r="H119" s="23"/>
      <c r="I119" s="24"/>
      <c r="J119" s="24"/>
      <c r="K119" s="24"/>
      <c r="L119" s="136"/>
      <c r="M119" s="481"/>
      <c r="N119" s="481"/>
      <c r="O119" s="482"/>
      <c r="P119" s="482"/>
      <c r="Q119" s="481"/>
      <c r="R119" s="482"/>
      <c r="S119" s="482"/>
      <c r="T119" s="481"/>
      <c r="U119" s="483"/>
      <c r="V119" s="484"/>
      <c r="W119" s="485"/>
      <c r="X119" s="485"/>
      <c r="Y119" s="891"/>
      <c r="Z119" s="1078"/>
      <c r="AA119" s="969"/>
      <c r="AB119" s="966"/>
      <c r="AC119" s="5"/>
      <c r="AD119" s="5"/>
      <c r="AE119" s="5"/>
      <c r="AF119" s="168"/>
      <c r="AG119" s="168"/>
      <c r="AH119" s="168"/>
      <c r="AI119" s="168"/>
      <c r="AJ119" s="168"/>
      <c r="AK119" s="168"/>
      <c r="AM119"/>
      <c r="AN119" s="5"/>
      <c r="AP119" s="43"/>
      <c r="AQ119" s="139"/>
      <c r="AR119" s="958">
        <v>0.55000000000000004</v>
      </c>
      <c r="AS119" s="939"/>
      <c r="AT119" s="932">
        <v>0.05</v>
      </c>
      <c r="AU119" s="933">
        <f t="shared" si="15"/>
        <v>0.80000000000000016</v>
      </c>
      <c r="AV119"/>
      <c r="AW119"/>
    </row>
    <row r="120" spans="1:51">
      <c r="F120" s="33"/>
      <c r="G120" s="33"/>
      <c r="H120" s="23" t="s">
        <v>70</v>
      </c>
      <c r="I120" s="24"/>
      <c r="J120" s="24"/>
      <c r="K120" s="24"/>
      <c r="L120" s="136"/>
      <c r="M120" s="481">
        <v>226994.55000000002</v>
      </c>
      <c r="N120" s="481">
        <v>424974.01</v>
      </c>
      <c r="O120" s="482"/>
      <c r="P120" s="482"/>
      <c r="Q120" s="481">
        <v>649998.60000000009</v>
      </c>
      <c r="R120" s="482"/>
      <c r="S120" s="482"/>
      <c r="T120" s="481">
        <v>349712</v>
      </c>
      <c r="U120" s="483"/>
      <c r="V120" s="484"/>
      <c r="W120" s="485">
        <v>193940</v>
      </c>
      <c r="X120" s="485">
        <v>204692.2</v>
      </c>
      <c r="Y120" s="891">
        <v>153580</v>
      </c>
      <c r="Z120" s="1078">
        <v>73713</v>
      </c>
      <c r="AA120" s="1070" t="e">
        <f>#REF!</f>
        <v>#REF!</v>
      </c>
      <c r="AB120" s="966">
        <v>105100</v>
      </c>
      <c r="AC120" s="5"/>
      <c r="AD120" s="5"/>
      <c r="AE120" s="5"/>
      <c r="AF120" s="168"/>
      <c r="AG120" s="168"/>
      <c r="AH120" s="168"/>
      <c r="AI120" s="168"/>
      <c r="AJ120" s="168"/>
      <c r="AK120" s="168"/>
      <c r="AM120"/>
      <c r="AN120" s="5"/>
      <c r="AP120" s="43"/>
      <c r="AQ120" s="139"/>
      <c r="AR120" s="958">
        <v>0.75</v>
      </c>
      <c r="AS120" s="940"/>
      <c r="AT120" s="932">
        <v>0.05</v>
      </c>
      <c r="AU120" s="933">
        <f t="shared" si="15"/>
        <v>0.8500000000000002</v>
      </c>
      <c r="AV120"/>
      <c r="AW120"/>
    </row>
    <row r="121" spans="1:51">
      <c r="F121" s="33"/>
      <c r="G121" s="33"/>
      <c r="H121" s="23"/>
      <c r="I121" s="24"/>
      <c r="J121" s="24"/>
      <c r="K121" s="24"/>
      <c r="L121" s="136"/>
      <c r="M121" s="481"/>
      <c r="N121" s="481"/>
      <c r="O121" s="482"/>
      <c r="P121" s="482"/>
      <c r="Q121" s="481"/>
      <c r="R121" s="482"/>
      <c r="S121" s="482"/>
      <c r="T121" s="481"/>
      <c r="U121" s="483"/>
      <c r="V121" s="484"/>
      <c r="W121" s="485"/>
      <c r="X121" s="485"/>
      <c r="Y121" s="891"/>
      <c r="Z121" s="1078"/>
      <c r="AA121" s="969"/>
      <c r="AB121" s="966"/>
      <c r="AC121" s="5"/>
      <c r="AD121" s="5"/>
      <c r="AE121" s="5"/>
      <c r="AF121" s="168"/>
      <c r="AG121" s="168"/>
      <c r="AH121" s="168"/>
      <c r="AI121" s="168"/>
      <c r="AJ121" s="168"/>
      <c r="AK121" s="168"/>
      <c r="AM121"/>
      <c r="AN121" s="5"/>
      <c r="AP121" s="43"/>
      <c r="AQ121" s="139"/>
      <c r="AR121" s="958">
        <v>0.95</v>
      </c>
      <c r="AS121" s="941"/>
      <c r="AT121" s="932">
        <v>0.05</v>
      </c>
      <c r="AU121" s="933">
        <f t="shared" si="15"/>
        <v>0.90000000000000024</v>
      </c>
      <c r="AV121"/>
      <c r="AW121"/>
    </row>
    <row r="122" spans="1:51">
      <c r="F122" s="33"/>
      <c r="G122" s="33"/>
      <c r="H122" s="69" t="s">
        <v>243</v>
      </c>
      <c r="I122" s="24"/>
      <c r="J122" s="24"/>
      <c r="K122" s="24"/>
      <c r="L122" s="136"/>
      <c r="M122" s="481">
        <v>0</v>
      </c>
      <c r="N122" s="481">
        <v>0</v>
      </c>
      <c r="O122" s="482"/>
      <c r="P122" s="482"/>
      <c r="Q122" s="481">
        <v>0</v>
      </c>
      <c r="R122" s="482"/>
      <c r="S122" s="482"/>
      <c r="T122" s="481">
        <v>0</v>
      </c>
      <c r="U122" s="483"/>
      <c r="V122" s="484"/>
      <c r="W122" s="485">
        <v>0</v>
      </c>
      <c r="X122" s="485">
        <v>243590.78999999998</v>
      </c>
      <c r="Y122" s="891">
        <v>202403.35</v>
      </c>
      <c r="Z122" s="1078" t="e">
        <f>#REF!</f>
        <v>#REF!</v>
      </c>
      <c r="AA122" s="1071" t="e">
        <f>#REF!+#REF!</f>
        <v>#REF!</v>
      </c>
      <c r="AB122" s="966">
        <v>438007</v>
      </c>
      <c r="AC122" s="5"/>
      <c r="AD122" s="5"/>
      <c r="AE122" s="5"/>
      <c r="AF122" s="168"/>
      <c r="AG122" s="168"/>
      <c r="AH122" s="168"/>
      <c r="AI122" s="168"/>
      <c r="AJ122" s="168"/>
      <c r="AK122" s="168"/>
      <c r="AM122"/>
      <c r="AN122" s="5"/>
      <c r="AP122" s="43"/>
      <c r="AQ122" s="139"/>
      <c r="AR122" s="930" t="s">
        <v>275</v>
      </c>
      <c r="AS122" s="942"/>
      <c r="AT122" s="932">
        <v>0.03</v>
      </c>
      <c r="AU122" s="933">
        <f t="shared" si="15"/>
        <v>0.93000000000000027</v>
      </c>
      <c r="AV122"/>
      <c r="AW122"/>
    </row>
    <row r="123" spans="1:51">
      <c r="F123" s="33"/>
      <c r="G123" s="33"/>
      <c r="H123" s="23"/>
      <c r="I123" s="24"/>
      <c r="J123" s="24"/>
      <c r="K123" s="24"/>
      <c r="L123" s="136"/>
      <c r="M123" s="481"/>
      <c r="N123" s="481"/>
      <c r="O123" s="482"/>
      <c r="P123" s="482"/>
      <c r="Q123" s="481"/>
      <c r="R123" s="482"/>
      <c r="S123" s="483"/>
      <c r="T123" s="481"/>
      <c r="U123" s="483"/>
      <c r="V123" s="484"/>
      <c r="W123" s="485"/>
      <c r="X123" s="485"/>
      <c r="Y123" s="891"/>
      <c r="Z123" s="1078"/>
      <c r="AA123" s="969"/>
      <c r="AB123" s="966"/>
      <c r="AC123" s="5"/>
      <c r="AD123" s="5"/>
      <c r="AE123" s="5"/>
      <c r="AF123" s="168"/>
      <c r="AG123" s="168"/>
      <c r="AH123" s="168"/>
      <c r="AI123" s="168"/>
      <c r="AJ123" s="168"/>
      <c r="AK123" s="168"/>
      <c r="AM123"/>
      <c r="AN123" s="5"/>
      <c r="AP123" s="43"/>
      <c r="AQ123" s="139"/>
      <c r="AR123" s="930" t="s">
        <v>276</v>
      </c>
      <c r="AS123" s="939"/>
      <c r="AT123" s="932">
        <v>0.02</v>
      </c>
      <c r="AU123" s="933">
        <f t="shared" si="15"/>
        <v>0.95000000000000029</v>
      </c>
      <c r="AV123"/>
      <c r="AW123"/>
    </row>
    <row r="124" spans="1:51">
      <c r="F124" s="33"/>
      <c r="G124" s="33"/>
      <c r="H124" s="25" t="s">
        <v>71</v>
      </c>
      <c r="I124" s="24"/>
      <c r="J124" s="24"/>
      <c r="K124" s="24"/>
      <c r="L124" s="136"/>
      <c r="M124" s="486">
        <f>+M118+M120</f>
        <v>2069960.55</v>
      </c>
      <c r="N124" s="486">
        <f>+N118+N120</f>
        <v>2415074.34</v>
      </c>
      <c r="O124" s="482"/>
      <c r="P124" s="482"/>
      <c r="Q124" s="486">
        <f>+Q118+Q120</f>
        <v>2573687.0423041475</v>
      </c>
      <c r="R124" s="482"/>
      <c r="S124" s="483"/>
      <c r="T124" s="486">
        <f>+T118+T120</f>
        <v>2470016.9124423964</v>
      </c>
      <c r="U124" s="483"/>
      <c r="V124" s="484"/>
      <c r="W124" s="485">
        <f>+W118+W120</f>
        <v>2173355.1336405529</v>
      </c>
      <c r="X124" s="485">
        <f>+X118+X120+X122</f>
        <v>2234048.4487557602</v>
      </c>
      <c r="Y124" s="891">
        <f>+Y118+Y120+Y122</f>
        <v>1943861.2528110603</v>
      </c>
      <c r="Z124" s="1078" t="e">
        <f>Z118+Z120+Z122</f>
        <v>#REF!</v>
      </c>
      <c r="AA124" s="1070" t="e">
        <f>AA118+AA120+AA122</f>
        <v>#REF!</v>
      </c>
      <c r="AB124" s="966">
        <f>+AB118+AB120+AB122</f>
        <v>1731027</v>
      </c>
      <c r="AC124" s="5"/>
      <c r="AD124" s="5"/>
      <c r="AE124" s="5"/>
      <c r="AF124" s="168"/>
      <c r="AG124" s="168"/>
      <c r="AH124" s="168"/>
      <c r="AI124" s="168"/>
      <c r="AJ124" s="168"/>
      <c r="AK124" s="168"/>
      <c r="AM124"/>
      <c r="AN124" s="5"/>
      <c r="AP124" s="43"/>
      <c r="AQ124" s="139"/>
      <c r="AR124" s="951" t="s">
        <v>202</v>
      </c>
      <c r="AS124" s="952"/>
      <c r="AT124" s="932">
        <v>0.05</v>
      </c>
      <c r="AU124" s="933">
        <f t="shared" ref="AU124:AW140" si="16">AT124+AU123</f>
        <v>1.0000000000000002</v>
      </c>
      <c r="AV124"/>
    </row>
    <row r="125" spans="1:51" ht="16.2" thickBot="1">
      <c r="F125" s="33"/>
      <c r="G125" s="33"/>
      <c r="H125" s="26"/>
      <c r="I125" s="27"/>
      <c r="J125" s="27"/>
      <c r="K125" s="27"/>
      <c r="L125" s="137"/>
      <c r="M125" s="487"/>
      <c r="N125" s="487"/>
      <c r="O125" s="487"/>
      <c r="P125" s="487"/>
      <c r="Q125" s="487"/>
      <c r="R125" s="487"/>
      <c r="S125" s="488"/>
      <c r="T125" s="488"/>
      <c r="U125" s="488"/>
      <c r="V125" s="489"/>
      <c r="W125" s="490"/>
      <c r="X125" s="490"/>
      <c r="Y125" s="892"/>
      <c r="Z125" s="1079"/>
      <c r="AA125" s="970"/>
      <c r="AB125" s="967"/>
      <c r="AC125" s="5"/>
      <c r="AD125" s="5"/>
      <c r="AE125" s="5"/>
      <c r="AF125" s="168"/>
      <c r="AG125" s="168"/>
      <c r="AH125" s="168"/>
      <c r="AI125" s="168"/>
      <c r="AJ125" s="168"/>
      <c r="AK125" s="168"/>
      <c r="AN125" s="5"/>
      <c r="AP125" s="43"/>
      <c r="AQ125" s="139"/>
      <c r="AR125" s="947"/>
      <c r="AS125" s="956"/>
      <c r="AT125" s="959">
        <f>SUM(AT110:AT124)</f>
        <v>0.35000000000000003</v>
      </c>
      <c r="AU125" s="950"/>
      <c r="AV125"/>
      <c r="AW125" s="28"/>
    </row>
    <row r="126" spans="1:51">
      <c r="F126" s="50"/>
      <c r="G126" s="50"/>
      <c r="H126" s="50"/>
      <c r="I126" s="50"/>
      <c r="J126" s="50"/>
      <c r="K126" s="50"/>
      <c r="L126" s="178"/>
      <c r="M126" s="50"/>
      <c r="N126" s="50"/>
      <c r="O126" s="50"/>
      <c r="P126" s="50"/>
      <c r="Q126" s="85"/>
      <c r="R126" s="85"/>
      <c r="S126" s="108"/>
      <c r="T126" s="108"/>
      <c r="U126" s="108"/>
      <c r="V126" s="50"/>
      <c r="W126" s="169"/>
      <c r="X126" s="50"/>
      <c r="Y126" s="50"/>
      <c r="Z126" s="50"/>
      <c r="AA126" s="50"/>
      <c r="AB126" s="5"/>
      <c r="AC126" s="5"/>
      <c r="AD126" s="5"/>
      <c r="AE126" s="168"/>
      <c r="AF126" s="168"/>
      <c r="AG126" s="168"/>
      <c r="AH126" s="168"/>
      <c r="AI126" s="168"/>
      <c r="AJ126" s="168"/>
      <c r="AK126" s="5"/>
      <c r="AR126"/>
      <c r="AS126"/>
      <c r="AT126"/>
      <c r="AU126"/>
      <c r="AV126"/>
      <c r="AW126" s="28"/>
    </row>
    <row r="127" spans="1:51" s="28" customFormat="1" ht="18" thickBot="1">
      <c r="A127" s="513" t="s">
        <v>267</v>
      </c>
      <c r="B127" s="514"/>
      <c r="C127" s="514"/>
      <c r="D127" s="514"/>
      <c r="J127" s="50"/>
      <c r="K127" s="50"/>
      <c r="L127" s="178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169"/>
      <c r="X127" s="50"/>
      <c r="Y127" s="50"/>
      <c r="Z127" s="50"/>
      <c r="AA127" s="50"/>
      <c r="AB127" s="50"/>
      <c r="AC127" s="50"/>
      <c r="AD127" s="50"/>
      <c r="AE127" s="169"/>
      <c r="AF127" s="169"/>
      <c r="AG127" s="169"/>
      <c r="AH127" s="169"/>
      <c r="AI127" s="169"/>
      <c r="AJ127" s="169"/>
      <c r="AK127" s="83"/>
      <c r="AL127" s="50"/>
      <c r="AM127" s="50"/>
      <c r="AN127" s="474"/>
      <c r="AO127" s="43"/>
      <c r="AP127" s="139"/>
      <c r="AR127" s="463"/>
      <c r="AS127"/>
      <c r="AT127" s="954"/>
      <c r="AU127" s="937"/>
      <c r="AV127" s="953"/>
      <c r="AW127" s="933">
        <f>AV127+AU126</f>
        <v>0</v>
      </c>
    </row>
    <row r="128" spans="1:51" s="28" customFormat="1" ht="16.2" outlineLevel="1" thickBot="1">
      <c r="A128" s="111"/>
      <c r="B128" s="117"/>
      <c r="C128" s="1325" t="s">
        <v>125</v>
      </c>
      <c r="D128" s="1326"/>
      <c r="E128" s="1325" t="s">
        <v>126</v>
      </c>
      <c r="F128" s="1326"/>
      <c r="G128" s="1323" t="s">
        <v>127</v>
      </c>
      <c r="H128" s="1324"/>
      <c r="I128" s="1315" t="s">
        <v>128</v>
      </c>
      <c r="J128" s="1316"/>
      <c r="K128" s="1315" t="s">
        <v>129</v>
      </c>
      <c r="L128" s="1316"/>
      <c r="M128" s="1315" t="s">
        <v>133</v>
      </c>
      <c r="N128" s="1320"/>
      <c r="O128" s="1315" t="s">
        <v>134</v>
      </c>
      <c r="P128" s="1316"/>
      <c r="Q128" s="1315" t="s">
        <v>135</v>
      </c>
      <c r="R128" s="1320"/>
      <c r="S128" s="1315" t="s">
        <v>176</v>
      </c>
      <c r="T128" s="1320"/>
      <c r="U128" s="1315" t="s">
        <v>209</v>
      </c>
      <c r="V128" s="1316"/>
      <c r="W128" s="1315" t="s">
        <v>251</v>
      </c>
      <c r="X128" s="1316"/>
      <c r="Y128" s="1315" t="s">
        <v>273</v>
      </c>
      <c r="Z128" s="1316"/>
      <c r="AA128" s="1315" t="s">
        <v>325</v>
      </c>
      <c r="AB128" s="1316"/>
      <c r="AC128" s="1315" t="s">
        <v>326</v>
      </c>
      <c r="AD128" s="1316"/>
      <c r="AE128" s="1315" t="s">
        <v>327</v>
      </c>
      <c r="AF128" s="1316"/>
      <c r="AG128" s="978"/>
      <c r="AH128" s="169"/>
      <c r="AI128" s="169"/>
      <c r="AJ128" s="169"/>
      <c r="AK128" s="50"/>
      <c r="AL128" s="43"/>
      <c r="AM128" s="43"/>
      <c r="AN128" s="284"/>
      <c r="AP128" s="462"/>
      <c r="AQ128" s="212"/>
      <c r="AR128" s="463"/>
      <c r="AS128" s="464" t="e">
        <f>AR122+AS127</f>
        <v>#VALUE!</v>
      </c>
      <c r="AT128" s="954"/>
      <c r="AU128" s="937"/>
      <c r="AV128" s="953"/>
      <c r="AW128" s="933">
        <f t="shared" si="16"/>
        <v>0</v>
      </c>
    </row>
    <row r="129" spans="1:49" s="28" customFormat="1" ht="15.75" customHeight="1" outlineLevel="1">
      <c r="A129" s="1321" t="s">
        <v>130</v>
      </c>
      <c r="B129" s="72" t="s">
        <v>12</v>
      </c>
      <c r="C129" s="895">
        <f t="shared" ref="C129:C135" si="17">SUMPRODUCT((_RO2010=B129)*(Phase2010&lt;&gt;"fin")*(Prog2010))</f>
        <v>0</v>
      </c>
      <c r="D129" s="896" t="str">
        <f t="shared" ref="D129:D135" si="18">IF(C129=0,"-",C129/$C$136)</f>
        <v>-</v>
      </c>
      <c r="E129" s="895">
        <f>SUMPRODUCT((_RO2010=B129)*(Phase2010&lt;&gt;"fin"))</f>
        <v>0</v>
      </c>
      <c r="F129" s="896" t="str">
        <f t="shared" ref="F129:F135" si="19">IF(E129=0,"-",E129/$E$136)</f>
        <v>-</v>
      </c>
      <c r="G129" s="897">
        <f t="shared" ref="G129:G135" si="20">SUMPRODUCT((_RO2010=B129)*(Phase2010&lt;&gt;"fin")*(Bdgt2010))</f>
        <v>0</v>
      </c>
      <c r="H129" s="898" t="str">
        <f t="shared" ref="H129:H135" si="21">IF(G129=0,"-",G129/$G$136)</f>
        <v>-</v>
      </c>
      <c r="I129" s="897">
        <f t="shared" ref="I129:I135" si="22">SUMPRODUCT((_RO2010=B129)*(Phase2010&lt;&gt;"fin")*(Rem_2010))</f>
        <v>0</v>
      </c>
      <c r="J129" s="898" t="str">
        <f t="shared" ref="J129:J135" si="23">IF(I129=0,"-",I129/$I$136)</f>
        <v>-</v>
      </c>
      <c r="K129" s="897">
        <f t="shared" ref="K129:K135" si="24">SUMPRODUCT((_RO2010=B129)*(Phase2010&lt;&gt;"fin")*(RemRest2010))</f>
        <v>0</v>
      </c>
      <c r="L129" s="898" t="str">
        <f t="shared" ref="L129:L135" si="25">IF(K129=0,"-",K129/$K$136)</f>
        <v>-</v>
      </c>
      <c r="M129" s="1064">
        <f t="shared" ref="M129:M135" si="26">SUMPRODUCT((_RO2010=B129)*(Phase2010&lt;&gt;"fin")*(Rem2010en2012))</f>
        <v>0</v>
      </c>
      <c r="N129" s="898" t="str">
        <f t="shared" ref="N129:N135" si="27">IF(M129=0,"-",M129/$M$136)</f>
        <v>-</v>
      </c>
      <c r="O129" s="293">
        <f t="shared" ref="O129:O135" si="28">SUMPRODUCT((_RO2010=B129)*(Phase2010&lt;&gt;"fin")*(Rem2010en2013))</f>
        <v>0</v>
      </c>
      <c r="P129" s="294" t="str">
        <f t="shared" ref="P129:P135" si="29">IF(O129=0,"-",O129/$O$136)</f>
        <v>-</v>
      </c>
      <c r="Q129" s="302">
        <f t="shared" ref="Q129:Q135" si="30">SUMPRODUCT((_RO2010=B129)*(Rem2010en2014))</f>
        <v>6330</v>
      </c>
      <c r="R129" s="303">
        <f t="shared" ref="R129:R135" si="31">IF(Q129=0,"-",Q129/$Q$136)</f>
        <v>0.27395552831869208</v>
      </c>
      <c r="S129" s="302">
        <v>0</v>
      </c>
      <c r="T129" s="303"/>
      <c r="U129" s="293">
        <v>0</v>
      </c>
      <c r="V129" s="294" t="str">
        <f t="shared" ref="V129:V135" si="32">IF(U129=0,"-",U129/$U$136)</f>
        <v>-</v>
      </c>
      <c r="W129" s="293">
        <v>0</v>
      </c>
      <c r="X129" s="294" t="str">
        <f t="shared" ref="X129:X135" si="33">IF(W129=0,"-",W129/$W$136)</f>
        <v>-</v>
      </c>
      <c r="Y129" s="293"/>
      <c r="Z129" s="294"/>
      <c r="AA129" s="293"/>
      <c r="AB129" s="294"/>
      <c r="AC129" s="293"/>
      <c r="AD129" s="294"/>
      <c r="AE129" s="293"/>
      <c r="AF129" s="294"/>
      <c r="AG129" s="971"/>
      <c r="AH129" s="169"/>
      <c r="AI129" s="169"/>
      <c r="AJ129" s="169"/>
      <c r="AK129" s="5"/>
      <c r="AL129" s="43"/>
      <c r="AM129" s="43"/>
      <c r="AN129" s="284"/>
      <c r="AP129" s="462" t="s">
        <v>237</v>
      </c>
      <c r="AQ129" s="162"/>
      <c r="AR129" s="463"/>
      <c r="AS129" s="464" t="e">
        <f>AR127+AS128</f>
        <v>#VALUE!</v>
      </c>
      <c r="AT129" s="954"/>
      <c r="AU129" s="937"/>
      <c r="AV129" s="953"/>
      <c r="AW129" s="933">
        <f t="shared" si="16"/>
        <v>0</v>
      </c>
    </row>
    <row r="130" spans="1:49" s="28" customFormat="1" ht="15.75" customHeight="1" outlineLevel="1">
      <c r="A130" s="1321"/>
      <c r="B130" s="73" t="s">
        <v>31</v>
      </c>
      <c r="C130" s="899">
        <f t="shared" si="17"/>
        <v>0</v>
      </c>
      <c r="D130" s="900" t="str">
        <f t="shared" si="18"/>
        <v>-</v>
      </c>
      <c r="E130" s="899">
        <f t="shared" ref="E130:E135" si="34">SUMPRODUCT((_RO2010=B130)*(Phase2010&lt;&gt;"fin"))</f>
        <v>0</v>
      </c>
      <c r="F130" s="900" t="str">
        <f t="shared" si="19"/>
        <v>-</v>
      </c>
      <c r="G130" s="901">
        <f t="shared" si="20"/>
        <v>0</v>
      </c>
      <c r="H130" s="902" t="str">
        <f t="shared" si="21"/>
        <v>-</v>
      </c>
      <c r="I130" s="901">
        <f t="shared" si="22"/>
        <v>0</v>
      </c>
      <c r="J130" s="902" t="str">
        <f t="shared" si="23"/>
        <v>-</v>
      </c>
      <c r="K130" s="901">
        <f t="shared" si="24"/>
        <v>0</v>
      </c>
      <c r="L130" s="902" t="str">
        <f t="shared" si="25"/>
        <v>-</v>
      </c>
      <c r="M130" s="903">
        <f t="shared" si="26"/>
        <v>0</v>
      </c>
      <c r="N130" s="904" t="str">
        <f t="shared" si="27"/>
        <v>-</v>
      </c>
      <c r="O130" s="295">
        <f t="shared" si="28"/>
        <v>0</v>
      </c>
      <c r="P130" s="296" t="str">
        <f t="shared" si="29"/>
        <v>-</v>
      </c>
      <c r="Q130" s="305">
        <f t="shared" si="30"/>
        <v>9752</v>
      </c>
      <c r="R130" s="306">
        <f t="shared" si="31"/>
        <v>0.42205597348560586</v>
      </c>
      <c r="S130" s="305">
        <v>0</v>
      </c>
      <c r="T130" s="306"/>
      <c r="U130" s="295">
        <v>0</v>
      </c>
      <c r="V130" s="296" t="str">
        <f t="shared" si="32"/>
        <v>-</v>
      </c>
      <c r="W130" s="295">
        <v>0</v>
      </c>
      <c r="X130" s="296" t="str">
        <f t="shared" si="33"/>
        <v>-</v>
      </c>
      <c r="Y130" s="295"/>
      <c r="Z130" s="296"/>
      <c r="AA130" s="295"/>
      <c r="AB130" s="296"/>
      <c r="AC130" s="295"/>
      <c r="AD130" s="296"/>
      <c r="AE130" s="295"/>
      <c r="AF130" s="296"/>
      <c r="AG130" s="971"/>
      <c r="AH130" s="169"/>
      <c r="AI130" s="169"/>
      <c r="AJ130" s="169"/>
      <c r="AK130" s="5"/>
      <c r="AL130" s="43"/>
      <c r="AM130" s="43"/>
      <c r="AN130" s="284"/>
      <c r="AP130" s="462" t="s">
        <v>204</v>
      </c>
      <c r="AQ130" s="212"/>
      <c r="AS130" s="464" t="e">
        <f>AR128+AS129</f>
        <v>#VALUE!</v>
      </c>
      <c r="AT130" s="954"/>
      <c r="AU130" s="937"/>
      <c r="AV130" s="953"/>
      <c r="AW130" s="933">
        <f t="shared" si="16"/>
        <v>0</v>
      </c>
    </row>
    <row r="131" spans="1:49" s="28" customFormat="1" ht="15.75" customHeight="1" outlineLevel="1">
      <c r="A131" s="1321"/>
      <c r="B131" s="75" t="s">
        <v>103</v>
      </c>
      <c r="C131" s="899">
        <f t="shared" si="17"/>
        <v>0</v>
      </c>
      <c r="D131" s="900" t="str">
        <f t="shared" si="18"/>
        <v>-</v>
      </c>
      <c r="E131" s="899">
        <f t="shared" si="34"/>
        <v>0</v>
      </c>
      <c r="F131" s="900" t="str">
        <f t="shared" si="19"/>
        <v>-</v>
      </c>
      <c r="G131" s="901">
        <f t="shared" si="20"/>
        <v>0</v>
      </c>
      <c r="H131" s="902" t="str">
        <f t="shared" si="21"/>
        <v>-</v>
      </c>
      <c r="I131" s="901">
        <f t="shared" si="22"/>
        <v>0</v>
      </c>
      <c r="J131" s="902" t="str">
        <f t="shared" si="23"/>
        <v>-</v>
      </c>
      <c r="K131" s="901">
        <f t="shared" si="24"/>
        <v>0</v>
      </c>
      <c r="L131" s="902" t="str">
        <f t="shared" si="25"/>
        <v>-</v>
      </c>
      <c r="M131" s="903">
        <f t="shared" si="26"/>
        <v>0</v>
      </c>
      <c r="N131" s="904" t="str">
        <f t="shared" si="27"/>
        <v>-</v>
      </c>
      <c r="O131" s="295">
        <f t="shared" si="28"/>
        <v>0</v>
      </c>
      <c r="P131" s="296" t="str">
        <f t="shared" si="29"/>
        <v>-</v>
      </c>
      <c r="Q131" s="305">
        <f t="shared" si="30"/>
        <v>0</v>
      </c>
      <c r="R131" s="306" t="str">
        <f t="shared" si="31"/>
        <v>-</v>
      </c>
      <c r="S131" s="305">
        <v>0</v>
      </c>
      <c r="T131" s="306"/>
      <c r="U131" s="295">
        <v>0</v>
      </c>
      <c r="V131" s="296" t="str">
        <f t="shared" si="32"/>
        <v>-</v>
      </c>
      <c r="W131" s="295">
        <v>0</v>
      </c>
      <c r="X131" s="296" t="str">
        <f t="shared" si="33"/>
        <v>-</v>
      </c>
      <c r="Y131" s="295"/>
      <c r="Z131" s="296"/>
      <c r="AA131" s="295"/>
      <c r="AB131" s="296"/>
      <c r="AC131" s="295"/>
      <c r="AD131" s="296"/>
      <c r="AE131" s="295"/>
      <c r="AF131" s="296"/>
      <c r="AG131" s="971"/>
      <c r="AH131" s="169"/>
      <c r="AI131" s="169"/>
      <c r="AJ131" s="169"/>
      <c r="AK131" s="5"/>
      <c r="AL131" s="43"/>
      <c r="AM131" s="43"/>
      <c r="AN131" s="284"/>
      <c r="AP131" s="462" t="s">
        <v>203</v>
      </c>
      <c r="AQ131" s="162"/>
      <c r="AS131" s="464" t="e">
        <f>AR129+AS130</f>
        <v>#VALUE!</v>
      </c>
      <c r="AT131" s="954"/>
      <c r="AU131" s="937"/>
      <c r="AV131" s="953"/>
      <c r="AW131" s="933">
        <f t="shared" si="16"/>
        <v>0</v>
      </c>
    </row>
    <row r="132" spans="1:49" s="28" customFormat="1" ht="15.75" customHeight="1" outlineLevel="1">
      <c r="A132" s="1321"/>
      <c r="B132" s="76" t="s">
        <v>179</v>
      </c>
      <c r="C132" s="899">
        <f t="shared" si="17"/>
        <v>0</v>
      </c>
      <c r="D132" s="900" t="str">
        <f t="shared" si="18"/>
        <v>-</v>
      </c>
      <c r="E132" s="899">
        <f t="shared" si="34"/>
        <v>0</v>
      </c>
      <c r="F132" s="900" t="str">
        <f t="shared" si="19"/>
        <v>-</v>
      </c>
      <c r="G132" s="901">
        <f t="shared" si="20"/>
        <v>0</v>
      </c>
      <c r="H132" s="902" t="str">
        <f t="shared" si="21"/>
        <v>-</v>
      </c>
      <c r="I132" s="901">
        <f t="shared" si="22"/>
        <v>0</v>
      </c>
      <c r="J132" s="902" t="str">
        <f t="shared" si="23"/>
        <v>-</v>
      </c>
      <c r="K132" s="901">
        <f t="shared" si="24"/>
        <v>0</v>
      </c>
      <c r="L132" s="902" t="str">
        <f t="shared" si="25"/>
        <v>-</v>
      </c>
      <c r="M132" s="903">
        <f t="shared" si="26"/>
        <v>0</v>
      </c>
      <c r="N132" s="904" t="str">
        <f t="shared" si="27"/>
        <v>-</v>
      </c>
      <c r="O132" s="295">
        <f t="shared" si="28"/>
        <v>0</v>
      </c>
      <c r="P132" s="296" t="str">
        <f t="shared" si="29"/>
        <v>-</v>
      </c>
      <c r="Q132" s="305">
        <f t="shared" si="30"/>
        <v>0</v>
      </c>
      <c r="R132" s="306" t="str">
        <f t="shared" si="31"/>
        <v>-</v>
      </c>
      <c r="S132" s="305">
        <v>0</v>
      </c>
      <c r="T132" s="306"/>
      <c r="U132" s="295">
        <v>0</v>
      </c>
      <c r="V132" s="296" t="str">
        <f t="shared" si="32"/>
        <v>-</v>
      </c>
      <c r="W132" s="295">
        <v>0</v>
      </c>
      <c r="X132" s="296" t="str">
        <f t="shared" si="33"/>
        <v>-</v>
      </c>
      <c r="Y132" s="295"/>
      <c r="Z132" s="296"/>
      <c r="AA132" s="295"/>
      <c r="AB132" s="296"/>
      <c r="AC132" s="295"/>
      <c r="AD132" s="296"/>
      <c r="AE132" s="295"/>
      <c r="AF132" s="296"/>
      <c r="AG132" s="971"/>
      <c r="AH132" s="169"/>
      <c r="AI132" s="169"/>
      <c r="AJ132" s="169"/>
      <c r="AK132" s="5"/>
      <c r="AL132" s="43"/>
      <c r="AM132" s="43"/>
      <c r="AN132" s="284"/>
      <c r="AP132" s="462" t="s">
        <v>96</v>
      </c>
      <c r="AQ132" s="162"/>
      <c r="AT132" s="954"/>
      <c r="AU132" s="937"/>
      <c r="AV132" s="953"/>
      <c r="AW132" s="933">
        <f t="shared" si="16"/>
        <v>0</v>
      </c>
    </row>
    <row r="133" spans="1:49" s="28" customFormat="1" ht="15.75" customHeight="1" outlineLevel="1">
      <c r="A133" s="1321"/>
      <c r="B133" s="77" t="s">
        <v>15</v>
      </c>
      <c r="C133" s="899">
        <f t="shared" si="17"/>
        <v>0</v>
      </c>
      <c r="D133" s="900" t="str">
        <f t="shared" si="18"/>
        <v>-</v>
      </c>
      <c r="E133" s="899">
        <f t="shared" si="34"/>
        <v>0</v>
      </c>
      <c r="F133" s="900" t="str">
        <f t="shared" si="19"/>
        <v>-</v>
      </c>
      <c r="G133" s="901">
        <f t="shared" si="20"/>
        <v>0</v>
      </c>
      <c r="H133" s="902" t="str">
        <f t="shared" si="21"/>
        <v>-</v>
      </c>
      <c r="I133" s="901">
        <f t="shared" si="22"/>
        <v>0</v>
      </c>
      <c r="J133" s="902" t="str">
        <f t="shared" si="23"/>
        <v>-</v>
      </c>
      <c r="K133" s="901">
        <f t="shared" si="24"/>
        <v>0</v>
      </c>
      <c r="L133" s="902" t="str">
        <f t="shared" si="25"/>
        <v>-</v>
      </c>
      <c r="M133" s="903">
        <f t="shared" si="26"/>
        <v>0</v>
      </c>
      <c r="N133" s="904" t="str">
        <f t="shared" si="27"/>
        <v>-</v>
      </c>
      <c r="O133" s="295">
        <f t="shared" si="28"/>
        <v>0</v>
      </c>
      <c r="P133" s="296" t="str">
        <f t="shared" si="29"/>
        <v>-</v>
      </c>
      <c r="Q133" s="305">
        <f t="shared" si="30"/>
        <v>0</v>
      </c>
      <c r="R133" s="306" t="str">
        <f t="shared" si="31"/>
        <v>-</v>
      </c>
      <c r="S133" s="305">
        <v>0</v>
      </c>
      <c r="T133" s="306"/>
      <c r="U133" s="295">
        <v>0</v>
      </c>
      <c r="V133" s="296" t="str">
        <f t="shared" si="32"/>
        <v>-</v>
      </c>
      <c r="W133" s="295">
        <v>0</v>
      </c>
      <c r="X133" s="296" t="str">
        <f t="shared" si="33"/>
        <v>-</v>
      </c>
      <c r="Y133" s="295"/>
      <c r="Z133" s="296"/>
      <c r="AA133" s="295"/>
      <c r="AB133" s="296"/>
      <c r="AC133" s="295"/>
      <c r="AD133" s="296"/>
      <c r="AE133" s="295"/>
      <c r="AF133" s="296"/>
      <c r="AG133" s="971"/>
      <c r="AH133" s="169"/>
      <c r="AI133" s="169"/>
      <c r="AJ133" s="169"/>
      <c r="AK133" s="5"/>
      <c r="AL133" s="43"/>
      <c r="AM133" s="43"/>
      <c r="AN133" s="284"/>
      <c r="AT133" s="954"/>
      <c r="AU133" s="937"/>
      <c r="AV133" s="953"/>
      <c r="AW133" s="933">
        <f t="shared" si="16"/>
        <v>0</v>
      </c>
    </row>
    <row r="134" spans="1:49" s="28" customFormat="1" ht="15.75" customHeight="1" outlineLevel="1">
      <c r="A134" s="1321"/>
      <c r="B134" s="156" t="s">
        <v>212</v>
      </c>
      <c r="C134" s="899">
        <f t="shared" si="17"/>
        <v>0</v>
      </c>
      <c r="D134" s="900" t="str">
        <f t="shared" si="18"/>
        <v>-</v>
      </c>
      <c r="E134" s="899">
        <f t="shared" si="34"/>
        <v>0</v>
      </c>
      <c r="F134" s="900" t="str">
        <f t="shared" si="19"/>
        <v>-</v>
      </c>
      <c r="G134" s="901">
        <f t="shared" si="20"/>
        <v>0</v>
      </c>
      <c r="H134" s="902" t="str">
        <f t="shared" si="21"/>
        <v>-</v>
      </c>
      <c r="I134" s="901">
        <f t="shared" si="22"/>
        <v>0</v>
      </c>
      <c r="J134" s="902" t="str">
        <f t="shared" si="23"/>
        <v>-</v>
      </c>
      <c r="K134" s="901">
        <f t="shared" si="24"/>
        <v>0</v>
      </c>
      <c r="L134" s="902" t="str">
        <f t="shared" si="25"/>
        <v>-</v>
      </c>
      <c r="M134" s="903">
        <f t="shared" si="26"/>
        <v>0</v>
      </c>
      <c r="N134" s="904" t="str">
        <f t="shared" si="27"/>
        <v>-</v>
      </c>
      <c r="O134" s="295">
        <f t="shared" si="28"/>
        <v>0</v>
      </c>
      <c r="P134" s="296" t="str">
        <f t="shared" si="29"/>
        <v>-</v>
      </c>
      <c r="Q134" s="305">
        <f t="shared" si="30"/>
        <v>0</v>
      </c>
      <c r="R134" s="306" t="str">
        <f t="shared" si="31"/>
        <v>-</v>
      </c>
      <c r="S134" s="305">
        <v>0</v>
      </c>
      <c r="T134" s="306"/>
      <c r="U134" s="295">
        <v>0</v>
      </c>
      <c r="V134" s="296" t="str">
        <f t="shared" si="32"/>
        <v>-</v>
      </c>
      <c r="W134" s="295">
        <v>0</v>
      </c>
      <c r="X134" s="296" t="str">
        <f t="shared" si="33"/>
        <v>-</v>
      </c>
      <c r="Y134" s="295"/>
      <c r="Z134" s="296"/>
      <c r="AA134" s="295"/>
      <c r="AB134" s="296"/>
      <c r="AC134" s="295"/>
      <c r="AD134" s="296"/>
      <c r="AE134" s="295"/>
      <c r="AF134" s="296"/>
      <c r="AG134" s="971"/>
      <c r="AH134" s="169"/>
      <c r="AI134" s="169"/>
      <c r="AJ134" s="169"/>
      <c r="AK134" s="5"/>
      <c r="AL134" s="43"/>
      <c r="AM134" s="43"/>
      <c r="AN134" s="284"/>
      <c r="AT134" s="954"/>
      <c r="AU134" s="937"/>
      <c r="AV134" s="953"/>
      <c r="AW134" s="933">
        <f t="shared" si="16"/>
        <v>0</v>
      </c>
    </row>
    <row r="135" spans="1:49" s="28" customFormat="1" ht="16.5" customHeight="1" outlineLevel="1" thickBot="1">
      <c r="A135" s="1321"/>
      <c r="B135" s="79" t="s">
        <v>23</v>
      </c>
      <c r="C135" s="899">
        <f t="shared" si="17"/>
        <v>0</v>
      </c>
      <c r="D135" s="1065" t="str">
        <f t="shared" si="18"/>
        <v>-</v>
      </c>
      <c r="E135" s="899">
        <f t="shared" si="34"/>
        <v>0</v>
      </c>
      <c r="F135" s="900" t="str">
        <f t="shared" si="19"/>
        <v>-</v>
      </c>
      <c r="G135" s="901">
        <f t="shared" si="20"/>
        <v>0</v>
      </c>
      <c r="H135" s="902" t="str">
        <f t="shared" si="21"/>
        <v>-</v>
      </c>
      <c r="I135" s="901">
        <f t="shared" si="22"/>
        <v>0</v>
      </c>
      <c r="J135" s="902" t="str">
        <f t="shared" si="23"/>
        <v>-</v>
      </c>
      <c r="K135" s="901">
        <f t="shared" si="24"/>
        <v>0</v>
      </c>
      <c r="L135" s="902" t="str">
        <f t="shared" si="25"/>
        <v>-</v>
      </c>
      <c r="M135" s="903">
        <f t="shared" si="26"/>
        <v>0</v>
      </c>
      <c r="N135" s="904" t="str">
        <f t="shared" si="27"/>
        <v>-</v>
      </c>
      <c r="O135" s="295">
        <f t="shared" si="28"/>
        <v>0</v>
      </c>
      <c r="P135" s="296" t="str">
        <f t="shared" si="29"/>
        <v>-</v>
      </c>
      <c r="Q135" s="305">
        <f t="shared" si="30"/>
        <v>7023.94</v>
      </c>
      <c r="R135" s="306">
        <f t="shared" si="31"/>
        <v>0.30398849819570206</v>
      </c>
      <c r="S135" s="305">
        <v>0</v>
      </c>
      <c r="T135" s="306"/>
      <c r="U135" s="295">
        <v>0</v>
      </c>
      <c r="V135" s="296" t="str">
        <f t="shared" si="32"/>
        <v>-</v>
      </c>
      <c r="W135" s="295">
        <v>0</v>
      </c>
      <c r="X135" s="296" t="str">
        <f t="shared" si="33"/>
        <v>-</v>
      </c>
      <c r="Y135" s="295"/>
      <c r="Z135" s="296"/>
      <c r="AA135" s="295"/>
      <c r="AB135" s="296"/>
      <c r="AC135" s="295"/>
      <c r="AD135" s="296"/>
      <c r="AE135" s="295"/>
      <c r="AF135" s="296"/>
      <c r="AG135" s="971"/>
      <c r="AH135" s="169"/>
      <c r="AI135" s="169"/>
      <c r="AJ135" s="169"/>
      <c r="AK135" s="5"/>
      <c r="AL135" s="43"/>
      <c r="AM135" s="43"/>
      <c r="AN135" s="284"/>
      <c r="AT135" s="954"/>
      <c r="AU135" s="937"/>
      <c r="AV135" s="953"/>
      <c r="AW135" s="933">
        <f t="shared" si="16"/>
        <v>0</v>
      </c>
    </row>
    <row r="136" spans="1:49" s="28" customFormat="1" ht="16.5" customHeight="1" outlineLevel="1" thickBot="1">
      <c r="A136" s="1321"/>
      <c r="B136" s="112"/>
      <c r="C136" s="1066">
        <f t="shared" ref="C136:R136" si="35">SUM(C129:C135)</f>
        <v>0</v>
      </c>
      <c r="D136" s="1067">
        <f t="shared" si="35"/>
        <v>0</v>
      </c>
      <c r="E136" s="1066">
        <f t="shared" si="35"/>
        <v>0</v>
      </c>
      <c r="F136" s="1067">
        <f t="shared" si="35"/>
        <v>0</v>
      </c>
      <c r="G136" s="905">
        <f t="shared" si="35"/>
        <v>0</v>
      </c>
      <c r="H136" s="906">
        <f t="shared" si="35"/>
        <v>0</v>
      </c>
      <c r="I136" s="905">
        <f t="shared" si="35"/>
        <v>0</v>
      </c>
      <c r="J136" s="906">
        <f t="shared" si="35"/>
        <v>0</v>
      </c>
      <c r="K136" s="905">
        <f t="shared" si="35"/>
        <v>0</v>
      </c>
      <c r="L136" s="906">
        <f t="shared" si="35"/>
        <v>0</v>
      </c>
      <c r="M136" s="905">
        <f t="shared" si="35"/>
        <v>0</v>
      </c>
      <c r="N136" s="906">
        <f t="shared" si="35"/>
        <v>0</v>
      </c>
      <c r="O136" s="297">
        <f t="shared" si="35"/>
        <v>0</v>
      </c>
      <c r="P136" s="298">
        <f t="shared" si="35"/>
        <v>0</v>
      </c>
      <c r="Q136" s="311">
        <f t="shared" si="35"/>
        <v>23105.94</v>
      </c>
      <c r="R136" s="113">
        <f t="shared" si="35"/>
        <v>1</v>
      </c>
      <c r="S136" s="311">
        <f t="shared" ref="S136:V136" si="36">SUM(S129:S135)</f>
        <v>0</v>
      </c>
      <c r="T136" s="113">
        <f t="shared" si="36"/>
        <v>0</v>
      </c>
      <c r="U136" s="297">
        <f t="shared" si="36"/>
        <v>0</v>
      </c>
      <c r="V136" s="298">
        <f t="shared" si="36"/>
        <v>0</v>
      </c>
      <c r="W136" s="297">
        <f>SUM(W129:W135)</f>
        <v>0</v>
      </c>
      <c r="X136" s="298">
        <f>SUM(X129:X135)</f>
        <v>0</v>
      </c>
      <c r="Y136" s="297"/>
      <c r="Z136" s="298"/>
      <c r="AA136" s="297"/>
      <c r="AB136" s="298"/>
      <c r="AC136" s="297"/>
      <c r="AD136" s="298"/>
      <c r="AE136" s="297"/>
      <c r="AF136" s="298"/>
      <c r="AG136" s="979"/>
      <c r="AH136" s="169"/>
      <c r="AI136" s="169"/>
      <c r="AJ136" s="169"/>
      <c r="AK136" s="5"/>
      <c r="AL136" s="43"/>
      <c r="AM136" s="43"/>
      <c r="AN136" s="284"/>
      <c r="AT136" s="954"/>
      <c r="AU136" s="937"/>
      <c r="AV136" s="953"/>
      <c r="AW136" s="933">
        <f t="shared" si="16"/>
        <v>0</v>
      </c>
    </row>
    <row r="137" spans="1:49" s="28" customFormat="1" ht="15.75" customHeight="1" outlineLevel="1">
      <c r="A137" s="1322" t="s">
        <v>2</v>
      </c>
      <c r="B137" s="72" t="s">
        <v>12</v>
      </c>
      <c r="C137" s="895">
        <f t="shared" ref="C137:C143" si="37">SUMPRODUCT((RO_2011=B137)*(Phase2011&lt;&gt;"fin")*(Prog2011))</f>
        <v>0</v>
      </c>
      <c r="D137" s="896" t="str">
        <f t="shared" ref="D137:D143" si="38">IF(C137=0,"-",C137/$C$144)</f>
        <v>-</v>
      </c>
      <c r="E137" s="895">
        <f t="shared" ref="E137:E143" si="39">SUMPRODUCT((RO_2011=B137)*(Phase2011&lt;&gt;"fin"))</f>
        <v>0</v>
      </c>
      <c r="F137" s="896" t="str">
        <f t="shared" ref="F137:F143" si="40">IF(E137=0,"-",E137/$E$144)</f>
        <v>-</v>
      </c>
      <c r="G137" s="897">
        <f t="shared" ref="G137:G143" si="41">SUMPRODUCT((RO_2011=B137)*(Phase2011&lt;&gt;"fin")*(Bdgt2011))</f>
        <v>0</v>
      </c>
      <c r="H137" s="898" t="str">
        <f t="shared" ref="H137:H143" si="42">IF(G137=0,"-",G137/$G$144)</f>
        <v>-</v>
      </c>
      <c r="I137" s="897">
        <f t="shared" ref="I137:I143" si="43">SUMPRODUCT((RO_2011=B137)*(Phase2011&lt;&gt;"fin")*(Rem_2011))</f>
        <v>0</v>
      </c>
      <c r="J137" s="898" t="str">
        <f t="shared" ref="J137:J143" si="44">IF(I137=0,"-",I137/$I$144)</f>
        <v>-</v>
      </c>
      <c r="K137" s="897">
        <f t="shared" ref="K137:K143" si="45">SUMPRODUCT((RO_2011=B137)*(Phase2011&lt;&gt;"fin")*(RemRest2011))</f>
        <v>0</v>
      </c>
      <c r="L137" s="898" t="str">
        <f t="shared" ref="L137:L143" si="46">IF(K137=0,"-",K137/$K$144)</f>
        <v>-</v>
      </c>
      <c r="M137" s="897">
        <f t="shared" ref="M137:M143" si="47">SUMPRODUCT((RO_2011=B137)*(Phase2011&lt;&gt;"fin")*(Rem2011en2012))</f>
        <v>0</v>
      </c>
      <c r="N137" s="898" t="str">
        <f t="shared" ref="N137:N143" si="48">IF(M137=0,"-",M137/$M$144)</f>
        <v>-</v>
      </c>
      <c r="O137" s="293">
        <f t="shared" ref="O137:O143" si="49">SUMPRODUCT((RO_2011=B137)*(Phase2011&lt;&gt;"fin")*(Rem2011en2013))</f>
        <v>0</v>
      </c>
      <c r="P137" s="294" t="str">
        <f t="shared" ref="P137:P143" si="50">IF(O137=0,"-",O137/$O$144)</f>
        <v>-</v>
      </c>
      <c r="Q137" s="302">
        <f t="shared" ref="Q137:Q143" si="51">SUMPRODUCT((RO_2011=B137)*(Rem2011en2014))</f>
        <v>0</v>
      </c>
      <c r="R137" s="303" t="str">
        <f t="shared" ref="R137:R143" si="52">IF(Q137=0,"-",Q137/$Q$144)</f>
        <v>-</v>
      </c>
      <c r="S137" s="302">
        <v>0</v>
      </c>
      <c r="T137" s="303"/>
      <c r="U137" s="293">
        <v>0</v>
      </c>
      <c r="V137" s="294" t="str">
        <f t="shared" ref="V137:V143" si="53">IF(U137=0,"-",U137/$U$144)</f>
        <v>-</v>
      </c>
      <c r="W137" s="293">
        <v>0</v>
      </c>
      <c r="X137" s="294" t="str">
        <f t="shared" ref="X137:X143" si="54">IF(W137=0,"-",W137/$W$144)</f>
        <v>-</v>
      </c>
      <c r="Y137" s="293"/>
      <c r="Z137" s="294"/>
      <c r="AA137" s="293"/>
      <c r="AB137" s="294"/>
      <c r="AC137" s="293"/>
      <c r="AD137" s="294"/>
      <c r="AE137" s="293"/>
      <c r="AF137" s="294"/>
      <c r="AG137" s="971"/>
      <c r="AH137" s="169"/>
      <c r="AI137" s="169"/>
      <c r="AJ137" s="169"/>
      <c r="AK137" s="5"/>
      <c r="AL137" s="43"/>
      <c r="AM137" s="43"/>
      <c r="AN137" s="284"/>
      <c r="AT137" s="954"/>
      <c r="AU137" s="937"/>
      <c r="AV137" s="953"/>
      <c r="AW137" s="933">
        <f t="shared" si="16"/>
        <v>0</v>
      </c>
    </row>
    <row r="138" spans="1:49" s="28" customFormat="1" ht="15.75" customHeight="1" outlineLevel="1">
      <c r="A138" s="1322"/>
      <c r="B138" s="73" t="s">
        <v>31</v>
      </c>
      <c r="C138" s="899">
        <f t="shared" si="37"/>
        <v>0</v>
      </c>
      <c r="D138" s="900" t="str">
        <f t="shared" si="38"/>
        <v>-</v>
      </c>
      <c r="E138" s="899">
        <f t="shared" si="39"/>
        <v>0</v>
      </c>
      <c r="F138" s="900" t="str">
        <f t="shared" si="40"/>
        <v>-</v>
      </c>
      <c r="G138" s="901">
        <f t="shared" si="41"/>
        <v>0</v>
      </c>
      <c r="H138" s="902" t="str">
        <f t="shared" si="42"/>
        <v>-</v>
      </c>
      <c r="I138" s="901">
        <f t="shared" si="43"/>
        <v>0</v>
      </c>
      <c r="J138" s="902" t="str">
        <f t="shared" si="44"/>
        <v>-</v>
      </c>
      <c r="K138" s="901">
        <f t="shared" si="45"/>
        <v>0</v>
      </c>
      <c r="L138" s="902" t="str">
        <f t="shared" si="46"/>
        <v>-</v>
      </c>
      <c r="M138" s="903">
        <f t="shared" si="47"/>
        <v>0</v>
      </c>
      <c r="N138" s="904" t="str">
        <f t="shared" si="48"/>
        <v>-</v>
      </c>
      <c r="O138" s="295">
        <f t="shared" si="49"/>
        <v>0</v>
      </c>
      <c r="P138" s="296" t="str">
        <f t="shared" si="50"/>
        <v>-</v>
      </c>
      <c r="Q138" s="305">
        <f t="shared" si="51"/>
        <v>0</v>
      </c>
      <c r="R138" s="306" t="str">
        <f t="shared" si="52"/>
        <v>-</v>
      </c>
      <c r="S138" s="305">
        <v>0</v>
      </c>
      <c r="T138" s="306"/>
      <c r="U138" s="295">
        <v>0</v>
      </c>
      <c r="V138" s="296" t="str">
        <f t="shared" si="53"/>
        <v>-</v>
      </c>
      <c r="W138" s="295">
        <v>0</v>
      </c>
      <c r="X138" s="296" t="str">
        <f t="shared" si="54"/>
        <v>-</v>
      </c>
      <c r="Y138" s="295"/>
      <c r="Z138" s="296"/>
      <c r="AA138" s="295"/>
      <c r="AB138" s="296"/>
      <c r="AC138" s="295"/>
      <c r="AD138" s="296"/>
      <c r="AE138" s="295"/>
      <c r="AF138" s="296"/>
      <c r="AG138" s="971"/>
      <c r="AH138" s="169"/>
      <c r="AI138" s="169"/>
      <c r="AJ138" s="169"/>
      <c r="AK138" s="5"/>
      <c r="AL138" s="43"/>
      <c r="AM138" s="43"/>
      <c r="AN138" s="284"/>
      <c r="AT138" s="954"/>
      <c r="AU138" s="937"/>
      <c r="AV138" s="953"/>
      <c r="AW138" s="933">
        <f t="shared" si="16"/>
        <v>0</v>
      </c>
    </row>
    <row r="139" spans="1:49" s="28" customFormat="1" ht="15.75" customHeight="1" outlineLevel="1">
      <c r="A139" s="1322"/>
      <c r="B139" s="75" t="s">
        <v>15</v>
      </c>
      <c r="C139" s="899">
        <f t="shared" si="37"/>
        <v>0</v>
      </c>
      <c r="D139" s="900" t="str">
        <f t="shared" si="38"/>
        <v>-</v>
      </c>
      <c r="E139" s="899">
        <f t="shared" si="39"/>
        <v>0</v>
      </c>
      <c r="F139" s="900" t="str">
        <f t="shared" si="40"/>
        <v>-</v>
      </c>
      <c r="G139" s="901">
        <f t="shared" si="41"/>
        <v>0</v>
      </c>
      <c r="H139" s="902" t="str">
        <f t="shared" si="42"/>
        <v>-</v>
      </c>
      <c r="I139" s="901">
        <f t="shared" si="43"/>
        <v>0</v>
      </c>
      <c r="J139" s="902" t="str">
        <f t="shared" si="44"/>
        <v>-</v>
      </c>
      <c r="K139" s="901">
        <f t="shared" si="45"/>
        <v>0</v>
      </c>
      <c r="L139" s="902" t="str">
        <f t="shared" si="46"/>
        <v>-</v>
      </c>
      <c r="M139" s="903">
        <f t="shared" si="47"/>
        <v>0</v>
      </c>
      <c r="N139" s="904" t="str">
        <f t="shared" si="48"/>
        <v>-</v>
      </c>
      <c r="O139" s="295">
        <f t="shared" si="49"/>
        <v>0</v>
      </c>
      <c r="P139" s="296" t="str">
        <f t="shared" si="50"/>
        <v>-</v>
      </c>
      <c r="Q139" s="305">
        <f t="shared" si="51"/>
        <v>9417</v>
      </c>
      <c r="R139" s="306">
        <f t="shared" si="52"/>
        <v>0.14545875810936051</v>
      </c>
      <c r="S139" s="305">
        <v>0</v>
      </c>
      <c r="T139" s="306"/>
      <c r="U139" s="295">
        <v>0</v>
      </c>
      <c r="V139" s="296" t="str">
        <f t="shared" si="53"/>
        <v>-</v>
      </c>
      <c r="W139" s="295">
        <v>0</v>
      </c>
      <c r="X139" s="296" t="str">
        <f t="shared" si="54"/>
        <v>-</v>
      </c>
      <c r="Y139" s="295"/>
      <c r="Z139" s="296"/>
      <c r="AA139" s="295"/>
      <c r="AB139" s="296"/>
      <c r="AC139" s="295"/>
      <c r="AD139" s="296"/>
      <c r="AE139" s="295"/>
      <c r="AF139" s="296"/>
      <c r="AG139" s="971"/>
      <c r="AH139" s="169"/>
      <c r="AI139" s="169"/>
      <c r="AJ139" s="169"/>
      <c r="AK139" s="5"/>
      <c r="AL139" s="43"/>
      <c r="AM139" s="43"/>
      <c r="AN139" s="284"/>
      <c r="AT139" s="954"/>
      <c r="AU139" s="937"/>
      <c r="AV139" s="953"/>
      <c r="AW139" s="933">
        <f t="shared" si="16"/>
        <v>0</v>
      </c>
    </row>
    <row r="140" spans="1:49" s="28" customFormat="1" ht="15.75" customHeight="1" outlineLevel="1">
      <c r="A140" s="1322"/>
      <c r="B140" s="76" t="s">
        <v>20</v>
      </c>
      <c r="C140" s="899">
        <f t="shared" si="37"/>
        <v>0</v>
      </c>
      <c r="D140" s="900" t="str">
        <f t="shared" si="38"/>
        <v>-</v>
      </c>
      <c r="E140" s="899">
        <f t="shared" si="39"/>
        <v>0</v>
      </c>
      <c r="F140" s="900" t="str">
        <f t="shared" si="40"/>
        <v>-</v>
      </c>
      <c r="G140" s="901">
        <f t="shared" si="41"/>
        <v>0</v>
      </c>
      <c r="H140" s="902" t="str">
        <f t="shared" si="42"/>
        <v>-</v>
      </c>
      <c r="I140" s="901">
        <f t="shared" si="43"/>
        <v>0</v>
      </c>
      <c r="J140" s="902" t="str">
        <f t="shared" si="44"/>
        <v>-</v>
      </c>
      <c r="K140" s="901">
        <f t="shared" si="45"/>
        <v>0</v>
      </c>
      <c r="L140" s="902" t="str">
        <f t="shared" si="46"/>
        <v>-</v>
      </c>
      <c r="M140" s="903">
        <f t="shared" si="47"/>
        <v>0</v>
      </c>
      <c r="N140" s="904" t="str">
        <f t="shared" si="48"/>
        <v>-</v>
      </c>
      <c r="O140" s="295">
        <f t="shared" si="49"/>
        <v>0</v>
      </c>
      <c r="P140" s="296" t="str">
        <f t="shared" si="50"/>
        <v>-</v>
      </c>
      <c r="Q140" s="305">
        <f t="shared" si="51"/>
        <v>38678</v>
      </c>
      <c r="R140" s="306">
        <f t="shared" si="52"/>
        <v>0.59743589743589742</v>
      </c>
      <c r="S140" s="305">
        <v>0</v>
      </c>
      <c r="T140" s="306"/>
      <c r="U140" s="295">
        <v>0</v>
      </c>
      <c r="V140" s="296" t="str">
        <f t="shared" si="53"/>
        <v>-</v>
      </c>
      <c r="W140" s="295">
        <v>0</v>
      </c>
      <c r="X140" s="296" t="str">
        <f t="shared" si="54"/>
        <v>-</v>
      </c>
      <c r="Y140" s="295"/>
      <c r="Z140" s="296"/>
      <c r="AA140" s="295"/>
      <c r="AB140" s="296"/>
      <c r="AC140" s="295"/>
      <c r="AD140" s="296"/>
      <c r="AE140" s="295"/>
      <c r="AF140" s="296"/>
      <c r="AG140" s="971"/>
      <c r="AH140" s="169"/>
      <c r="AI140" s="169"/>
      <c r="AJ140" s="169"/>
      <c r="AK140" s="5"/>
      <c r="AL140" s="43"/>
      <c r="AM140" s="43"/>
      <c r="AN140" s="284"/>
      <c r="AT140" s="930" t="s">
        <v>202</v>
      </c>
      <c r="AU140" s="939"/>
      <c r="AV140" s="932">
        <v>0.05</v>
      </c>
      <c r="AW140" s="933">
        <f t="shared" si="16"/>
        <v>0.05</v>
      </c>
    </row>
    <row r="141" spans="1:49" s="28" customFormat="1" ht="15.75" customHeight="1" outlineLevel="1" thickBot="1">
      <c r="A141" s="1322"/>
      <c r="B141" s="77" t="s">
        <v>15</v>
      </c>
      <c r="C141" s="899">
        <f t="shared" si="37"/>
        <v>0</v>
      </c>
      <c r="D141" s="900" t="str">
        <f t="shared" si="38"/>
        <v>-</v>
      </c>
      <c r="E141" s="899">
        <f t="shared" si="39"/>
        <v>0</v>
      </c>
      <c r="F141" s="900" t="str">
        <f t="shared" si="40"/>
        <v>-</v>
      </c>
      <c r="G141" s="901">
        <f t="shared" si="41"/>
        <v>0</v>
      </c>
      <c r="H141" s="902" t="str">
        <f t="shared" si="42"/>
        <v>-</v>
      </c>
      <c r="I141" s="901">
        <f t="shared" si="43"/>
        <v>0</v>
      </c>
      <c r="J141" s="902" t="str">
        <f t="shared" si="44"/>
        <v>-</v>
      </c>
      <c r="K141" s="901">
        <f t="shared" si="45"/>
        <v>0</v>
      </c>
      <c r="L141" s="902" t="str">
        <f t="shared" si="46"/>
        <v>-</v>
      </c>
      <c r="M141" s="903">
        <f t="shared" si="47"/>
        <v>0</v>
      </c>
      <c r="N141" s="904" t="str">
        <f t="shared" si="48"/>
        <v>-</v>
      </c>
      <c r="O141" s="295">
        <f t="shared" si="49"/>
        <v>0</v>
      </c>
      <c r="P141" s="296" t="str">
        <f t="shared" si="50"/>
        <v>-</v>
      </c>
      <c r="Q141" s="305">
        <f t="shared" si="51"/>
        <v>9417</v>
      </c>
      <c r="R141" s="306">
        <f t="shared" si="52"/>
        <v>0.14545875810936051</v>
      </c>
      <c r="S141" s="305">
        <v>0</v>
      </c>
      <c r="T141" s="306"/>
      <c r="U141" s="295">
        <v>0</v>
      </c>
      <c r="V141" s="296" t="str">
        <f t="shared" si="53"/>
        <v>-</v>
      </c>
      <c r="W141" s="295">
        <v>0</v>
      </c>
      <c r="X141" s="296" t="str">
        <f t="shared" si="54"/>
        <v>-</v>
      </c>
      <c r="Y141" s="295"/>
      <c r="Z141" s="296"/>
      <c r="AA141" s="295"/>
      <c r="AB141" s="296"/>
      <c r="AC141" s="295"/>
      <c r="AD141" s="296"/>
      <c r="AE141" s="295"/>
      <c r="AF141" s="296"/>
      <c r="AG141" s="971"/>
      <c r="AH141" s="169"/>
      <c r="AI141" s="169"/>
      <c r="AJ141" s="169"/>
      <c r="AK141" s="5"/>
      <c r="AL141" s="43"/>
      <c r="AM141" s="43"/>
      <c r="AN141" s="284"/>
      <c r="AT141" s="955"/>
      <c r="AU141" s="956"/>
      <c r="AV141" s="959">
        <f>SUM(AT110:AT139)</f>
        <v>0.70000000000000007</v>
      </c>
      <c r="AW141" s="957"/>
    </row>
    <row r="142" spans="1:49" s="28" customFormat="1" ht="15.75" customHeight="1" outlineLevel="1">
      <c r="A142" s="1322"/>
      <c r="B142" s="156" t="s">
        <v>212</v>
      </c>
      <c r="C142" s="899">
        <f t="shared" si="37"/>
        <v>0</v>
      </c>
      <c r="D142" s="900" t="str">
        <f t="shared" si="38"/>
        <v>-</v>
      </c>
      <c r="E142" s="899">
        <f t="shared" si="39"/>
        <v>0</v>
      </c>
      <c r="F142" s="900" t="str">
        <f t="shared" si="40"/>
        <v>-</v>
      </c>
      <c r="G142" s="901">
        <f t="shared" si="41"/>
        <v>0</v>
      </c>
      <c r="H142" s="902" t="str">
        <f t="shared" si="42"/>
        <v>-</v>
      </c>
      <c r="I142" s="901">
        <f t="shared" si="43"/>
        <v>0</v>
      </c>
      <c r="J142" s="902" t="str">
        <f t="shared" si="44"/>
        <v>-</v>
      </c>
      <c r="K142" s="901">
        <f t="shared" si="45"/>
        <v>0</v>
      </c>
      <c r="L142" s="902" t="str">
        <f t="shared" si="46"/>
        <v>-</v>
      </c>
      <c r="M142" s="903">
        <f t="shared" si="47"/>
        <v>0</v>
      </c>
      <c r="N142" s="904" t="str">
        <f t="shared" si="48"/>
        <v>-</v>
      </c>
      <c r="O142" s="295">
        <f t="shared" si="49"/>
        <v>0</v>
      </c>
      <c r="P142" s="296" t="str">
        <f t="shared" si="50"/>
        <v>-</v>
      </c>
      <c r="Q142" s="305">
        <f t="shared" si="51"/>
        <v>0</v>
      </c>
      <c r="R142" s="306" t="str">
        <f t="shared" si="52"/>
        <v>-</v>
      </c>
      <c r="S142" s="305">
        <v>0</v>
      </c>
      <c r="T142" s="306"/>
      <c r="U142" s="295">
        <v>0</v>
      </c>
      <c r="V142" s="296" t="str">
        <f t="shared" si="53"/>
        <v>-</v>
      </c>
      <c r="W142" s="295">
        <v>0</v>
      </c>
      <c r="X142" s="296" t="str">
        <f t="shared" si="54"/>
        <v>-</v>
      </c>
      <c r="Y142" s="295"/>
      <c r="Z142" s="296"/>
      <c r="AA142" s="295"/>
      <c r="AB142" s="296"/>
      <c r="AC142" s="295"/>
      <c r="AD142" s="296"/>
      <c r="AE142" s="295"/>
      <c r="AF142" s="296"/>
      <c r="AG142" s="971"/>
      <c r="AH142" s="169"/>
      <c r="AI142" s="169"/>
      <c r="AJ142" s="169"/>
      <c r="AK142" s="5"/>
      <c r="AL142" s="43"/>
      <c r="AM142" s="43"/>
      <c r="AN142" s="284"/>
    </row>
    <row r="143" spans="1:49" s="28" customFormat="1" ht="16.5" customHeight="1" outlineLevel="1" thickBot="1">
      <c r="A143" s="1322"/>
      <c r="B143" s="173" t="s">
        <v>104</v>
      </c>
      <c r="C143" s="899">
        <f t="shared" si="37"/>
        <v>0</v>
      </c>
      <c r="D143" s="1065" t="str">
        <f t="shared" si="38"/>
        <v>-</v>
      </c>
      <c r="E143" s="899">
        <f t="shared" si="39"/>
        <v>0</v>
      </c>
      <c r="F143" s="900" t="str">
        <f t="shared" si="40"/>
        <v>-</v>
      </c>
      <c r="G143" s="901">
        <f t="shared" si="41"/>
        <v>0</v>
      </c>
      <c r="H143" s="902" t="str">
        <f t="shared" si="42"/>
        <v>-</v>
      </c>
      <c r="I143" s="901">
        <f t="shared" si="43"/>
        <v>0</v>
      </c>
      <c r="J143" s="902" t="str">
        <f t="shared" si="44"/>
        <v>-</v>
      </c>
      <c r="K143" s="901">
        <f t="shared" si="45"/>
        <v>0</v>
      </c>
      <c r="L143" s="902" t="str">
        <f t="shared" si="46"/>
        <v>-</v>
      </c>
      <c r="M143" s="903">
        <f t="shared" si="47"/>
        <v>0</v>
      </c>
      <c r="N143" s="904" t="str">
        <f t="shared" si="48"/>
        <v>-</v>
      </c>
      <c r="O143" s="295">
        <f t="shared" si="49"/>
        <v>0</v>
      </c>
      <c r="P143" s="296" t="str">
        <f t="shared" si="50"/>
        <v>-</v>
      </c>
      <c r="Q143" s="305">
        <f t="shared" si="51"/>
        <v>7228</v>
      </c>
      <c r="R143" s="306">
        <f t="shared" si="52"/>
        <v>0.11164658634538152</v>
      </c>
      <c r="S143" s="305">
        <v>0</v>
      </c>
      <c r="T143" s="306"/>
      <c r="U143" s="295">
        <v>0</v>
      </c>
      <c r="V143" s="296" t="str">
        <f t="shared" si="53"/>
        <v>-</v>
      </c>
      <c r="W143" s="295">
        <v>0</v>
      </c>
      <c r="X143" s="296" t="str">
        <f t="shared" si="54"/>
        <v>-</v>
      </c>
      <c r="Y143" s="295"/>
      <c r="Z143" s="296"/>
      <c r="AA143" s="295"/>
      <c r="AB143" s="296"/>
      <c r="AC143" s="295"/>
      <c r="AD143" s="296"/>
      <c r="AE143" s="295"/>
      <c r="AF143" s="296"/>
      <c r="AG143" s="971"/>
      <c r="AH143" s="169"/>
      <c r="AI143" s="169"/>
      <c r="AJ143" s="169"/>
      <c r="AK143" s="5"/>
      <c r="AL143" s="43"/>
      <c r="AM143" s="43"/>
      <c r="AN143" s="284"/>
    </row>
    <row r="144" spans="1:49" s="28" customFormat="1" ht="16.5" customHeight="1" outlineLevel="1" thickBot="1">
      <c r="A144" s="1322"/>
      <c r="B144" s="112"/>
      <c r="C144" s="1066">
        <f t="shared" ref="C144:V144" si="55">SUM(C137:C143)</f>
        <v>0</v>
      </c>
      <c r="D144" s="1067">
        <f t="shared" si="55"/>
        <v>0</v>
      </c>
      <c r="E144" s="1066">
        <f t="shared" si="55"/>
        <v>0</v>
      </c>
      <c r="F144" s="1067">
        <f t="shared" si="55"/>
        <v>0</v>
      </c>
      <c r="G144" s="905">
        <f t="shared" si="55"/>
        <v>0</v>
      </c>
      <c r="H144" s="906">
        <f t="shared" si="55"/>
        <v>0</v>
      </c>
      <c r="I144" s="905">
        <f t="shared" si="55"/>
        <v>0</v>
      </c>
      <c r="J144" s="906">
        <f t="shared" si="55"/>
        <v>0</v>
      </c>
      <c r="K144" s="905">
        <f t="shared" si="55"/>
        <v>0</v>
      </c>
      <c r="L144" s="906">
        <f t="shared" si="55"/>
        <v>0</v>
      </c>
      <c r="M144" s="905">
        <f t="shared" si="55"/>
        <v>0</v>
      </c>
      <c r="N144" s="906">
        <f t="shared" si="55"/>
        <v>0</v>
      </c>
      <c r="O144" s="297">
        <f t="shared" si="55"/>
        <v>0</v>
      </c>
      <c r="P144" s="298">
        <f t="shared" si="55"/>
        <v>0</v>
      </c>
      <c r="Q144" s="311">
        <f t="shared" si="55"/>
        <v>64740</v>
      </c>
      <c r="R144" s="113">
        <f t="shared" si="55"/>
        <v>0.99999999999999989</v>
      </c>
      <c r="S144" s="311">
        <f>SUM(S137:S143)</f>
        <v>0</v>
      </c>
      <c r="T144" s="113">
        <f>SUM(T137:T143)</f>
        <v>0</v>
      </c>
      <c r="U144" s="297">
        <f>SUM(U137:U143)</f>
        <v>0</v>
      </c>
      <c r="V144" s="298">
        <f t="shared" si="55"/>
        <v>0</v>
      </c>
      <c r="W144" s="297">
        <f>SUM(W137:W143)</f>
        <v>0</v>
      </c>
      <c r="X144" s="298">
        <f>SUM(X137:X143)</f>
        <v>0</v>
      </c>
      <c r="Y144" s="297"/>
      <c r="Z144" s="298"/>
      <c r="AA144" s="297"/>
      <c r="AB144" s="298"/>
      <c r="AC144" s="297"/>
      <c r="AD144" s="298"/>
      <c r="AE144" s="297"/>
      <c r="AF144" s="298"/>
      <c r="AG144" s="979"/>
      <c r="AH144" s="169"/>
      <c r="AI144" s="169"/>
      <c r="AJ144" s="169"/>
      <c r="AK144" s="5"/>
      <c r="AL144" s="43"/>
      <c r="AM144" s="43"/>
      <c r="AN144" s="284"/>
    </row>
    <row r="145" spans="1:40" s="28" customFormat="1" outlineLevel="1">
      <c r="A145" s="1401" t="s">
        <v>3</v>
      </c>
      <c r="B145" s="72" t="s">
        <v>12</v>
      </c>
      <c r="C145" s="895">
        <f>SUMPRODUCT((RO_2012=B145)*(Phase2012&lt;&gt;"fin")*(Prog2012))</f>
        <v>0</v>
      </c>
      <c r="D145" s="896" t="str">
        <f t="shared" ref="D145:D154" si="56">IF(C145=0,"-",C145/$C$155)</f>
        <v>-</v>
      </c>
      <c r="E145" s="895">
        <f>SUMPRODUCT((RO_2012=B145)*(Phase2012&lt;&gt;"fin"))</f>
        <v>0</v>
      </c>
      <c r="F145" s="896" t="str">
        <f t="shared" ref="F145:F154" si="57">IF(E145=0,"-",E145/$E$155)</f>
        <v>-</v>
      </c>
      <c r="G145" s="897">
        <f>SUMPRODUCT((RO_2012=B145)*(Phase2012&lt;&gt;"fin")*(Bdgt2012))</f>
        <v>0</v>
      </c>
      <c r="H145" s="898" t="str">
        <f t="shared" ref="H145:H154" si="58">IF(G145=0,"-",G145/$G$155)</f>
        <v>-</v>
      </c>
      <c r="I145" s="897">
        <f>SUMPRODUCT((RO_2012=B145)*(Phase2012&lt;&gt;"fin")*(Rem_2012))</f>
        <v>0</v>
      </c>
      <c r="J145" s="898" t="str">
        <f t="shared" ref="J145:J154" si="59">IF(I145=0,"-",I145/$I$155)</f>
        <v>-</v>
      </c>
      <c r="K145" s="897">
        <f>SUMPRODUCT((RO_2012=B145)*(Phase2012&lt;&gt;"fin")*(RemRest2012))</f>
        <v>0</v>
      </c>
      <c r="L145" s="898" t="str">
        <f t="shared" ref="L145:L154" si="60">IF(K145=0,"-",K145/$K$155)</f>
        <v>-</v>
      </c>
      <c r="M145" s="897">
        <f t="shared" ref="M145:M154" si="61">SUMPRODUCT((RO_2012=B145)*(Phase2012&lt;&gt;"fin")*(Rem2012en2012))</f>
        <v>0</v>
      </c>
      <c r="N145" s="898" t="str">
        <f t="shared" ref="N145:N154" si="62">IF(M145=0,"-",M145/$M$155)</f>
        <v>-</v>
      </c>
      <c r="O145" s="293">
        <f t="shared" ref="O145:O154" si="63">SUMPRODUCT((RO_2012=B145)*(Phase2012&lt;&gt;"fin")*(Rem2012en2013))</f>
        <v>0</v>
      </c>
      <c r="P145" s="294" t="str">
        <f t="shared" ref="P145:P154" si="64">IF(O145=0,"-",O145/$O$155)</f>
        <v>-</v>
      </c>
      <c r="Q145" s="302">
        <f>SUMPRODUCT((RO_2012=B145)*(Rem2012en2014))</f>
        <v>75369</v>
      </c>
      <c r="R145" s="303">
        <f t="shared" ref="R145:R154" si="65">IF(Q145=0,"-",Q145/$Q$155)</f>
        <v>0.16446848718407533</v>
      </c>
      <c r="S145" s="302">
        <f t="shared" ref="S145:S154" si="66">SUMPRODUCT((RO_2012=B145)*(Rem2012en2015))</f>
        <v>23311</v>
      </c>
      <c r="T145" s="303">
        <f t="shared" ref="T145:T154" si="67">IF(S145=0,"-",S145/$S$155)</f>
        <v>7.6099659835075509E-2</v>
      </c>
      <c r="U145" s="302">
        <f t="shared" ref="U145:U154" si="68">SUMPRODUCT((RO_2012=B145)*(Rem2012en2016))</f>
        <v>11763</v>
      </c>
      <c r="V145" s="303">
        <f t="shared" ref="V145:V154" si="69">IF(U145=0,"-",U145/$U$155)</f>
        <v>7.5213401962978363E-2</v>
      </c>
      <c r="W145" s="302">
        <f t="shared" ref="W145:W154" si="70">SUMPRODUCT((RO_2012=B145)*(Rem2012en2017))</f>
        <v>0</v>
      </c>
      <c r="X145" s="303" t="str">
        <f t="shared" ref="X145:X154" si="71">IF(W145=0,"-",W145/$W$155)</f>
        <v>-</v>
      </c>
      <c r="Y145" s="302"/>
      <c r="Z145" s="303"/>
      <c r="AA145" s="293"/>
      <c r="AB145" s="294" t="str">
        <f t="shared" ref="AB145:AB154" si="72">IF(AA145=0,"-",AA145/$Y$155)</f>
        <v>-</v>
      </c>
      <c r="AC145" s="293"/>
      <c r="AD145" s="294"/>
      <c r="AE145" s="293"/>
      <c r="AF145" s="294"/>
      <c r="AG145" s="308"/>
      <c r="AH145" s="169"/>
      <c r="AI145" s="169"/>
      <c r="AJ145" s="169"/>
      <c r="AK145" s="5"/>
      <c r="AL145" s="43"/>
      <c r="AM145" s="43"/>
      <c r="AN145" s="284"/>
    </row>
    <row r="146" spans="1:40" s="28" customFormat="1" outlineLevel="1">
      <c r="A146" s="1401"/>
      <c r="B146" s="73" t="s">
        <v>31</v>
      </c>
      <c r="C146" s="899">
        <f t="shared" ref="C146:C154" si="73">SUMPRODUCT((RO_2012=B146)*(Phase2012&lt;&gt;"fin")*(Prog2012))</f>
        <v>0</v>
      </c>
      <c r="D146" s="900" t="str">
        <f t="shared" si="56"/>
        <v>-</v>
      </c>
      <c r="E146" s="899">
        <f>SUMPRODUCT((RO_2012=B146)*(Phase2012&lt;&gt;"fin"))</f>
        <v>0</v>
      </c>
      <c r="F146" s="900" t="str">
        <f t="shared" si="57"/>
        <v>-</v>
      </c>
      <c r="G146" s="901">
        <f t="shared" ref="G146:G154" si="74">SUMPRODUCT((RO_2012=B146)*(Phase2012&lt;&gt;"fin")*(Bdgt2012))</f>
        <v>0</v>
      </c>
      <c r="H146" s="902" t="str">
        <f t="shared" si="58"/>
        <v>-</v>
      </c>
      <c r="I146" s="901">
        <f t="shared" ref="I146:I154" si="75">SUMPRODUCT((RO_2012=B146)*(Phase2012&lt;&gt;"fin")*(Rem_2012))</f>
        <v>0</v>
      </c>
      <c r="J146" s="902" t="str">
        <f t="shared" si="59"/>
        <v>-</v>
      </c>
      <c r="K146" s="901">
        <f t="shared" ref="K146:K154" si="76">SUMPRODUCT((RO_2012=B146)*(Phase2012&lt;&gt;"fin")*(RemRest2012))</f>
        <v>0</v>
      </c>
      <c r="L146" s="902" t="str">
        <f t="shared" si="60"/>
        <v>-</v>
      </c>
      <c r="M146" s="903">
        <f t="shared" si="61"/>
        <v>0</v>
      </c>
      <c r="N146" s="904" t="str">
        <f t="shared" si="62"/>
        <v>-</v>
      </c>
      <c r="O146" s="295">
        <f t="shared" si="63"/>
        <v>0</v>
      </c>
      <c r="P146" s="296" t="str">
        <f t="shared" si="64"/>
        <v>-</v>
      </c>
      <c r="Q146" s="305">
        <f t="shared" ref="Q146:Q154" si="77">SUMPRODUCT((RO_2012=B146)*(Rem2012en2014))</f>
        <v>199590</v>
      </c>
      <c r="R146" s="306">
        <f t="shared" si="65"/>
        <v>0.43554067795870449</v>
      </c>
      <c r="S146" s="305">
        <f t="shared" si="66"/>
        <v>241458</v>
      </c>
      <c r="T146" s="306">
        <f t="shared" si="67"/>
        <v>0.78824896677352585</v>
      </c>
      <c r="U146" s="305">
        <f t="shared" si="68"/>
        <v>41714</v>
      </c>
      <c r="V146" s="306">
        <f t="shared" si="69"/>
        <v>0.26672208190798941</v>
      </c>
      <c r="W146" s="305">
        <f t="shared" si="70"/>
        <v>0</v>
      </c>
      <c r="X146" s="306" t="str">
        <f t="shared" si="71"/>
        <v>-</v>
      </c>
      <c r="Y146" s="305"/>
      <c r="Z146" s="306"/>
      <c r="AA146" s="295"/>
      <c r="AB146" s="296" t="str">
        <f t="shared" si="72"/>
        <v>-</v>
      </c>
      <c r="AC146" s="295"/>
      <c r="AD146" s="296"/>
      <c r="AE146" s="295"/>
      <c r="AF146" s="296"/>
      <c r="AG146" s="308"/>
      <c r="AH146" s="169"/>
      <c r="AI146" s="169"/>
      <c r="AJ146" s="169"/>
      <c r="AK146" s="5"/>
      <c r="AL146" s="43"/>
      <c r="AM146" s="43"/>
      <c r="AN146" s="284"/>
    </row>
    <row r="147" spans="1:40" s="28" customFormat="1" outlineLevel="1">
      <c r="A147" s="1401"/>
      <c r="B147" s="180" t="s">
        <v>15</v>
      </c>
      <c r="C147" s="899">
        <f>SUMPRODUCT((RO_2012=B147)*(Phase2012&lt;&gt;"fin")*(Prog2012))</f>
        <v>0</v>
      </c>
      <c r="D147" s="900" t="str">
        <f t="shared" si="56"/>
        <v>-</v>
      </c>
      <c r="E147" s="899">
        <f t="shared" ref="E147:E154" si="78">SUMPRODUCT((RO_2012=B147)*(Phase2012&lt;&gt;"fin"))</f>
        <v>0</v>
      </c>
      <c r="F147" s="900" t="str">
        <f t="shared" si="57"/>
        <v>-</v>
      </c>
      <c r="G147" s="901">
        <f t="shared" si="74"/>
        <v>0</v>
      </c>
      <c r="H147" s="902" t="str">
        <f t="shared" si="58"/>
        <v>-</v>
      </c>
      <c r="I147" s="901">
        <f t="shared" si="75"/>
        <v>0</v>
      </c>
      <c r="J147" s="902" t="str">
        <f t="shared" si="59"/>
        <v>-</v>
      </c>
      <c r="K147" s="901">
        <f t="shared" si="76"/>
        <v>0</v>
      </c>
      <c r="L147" s="902" t="str">
        <f t="shared" si="60"/>
        <v>-</v>
      </c>
      <c r="M147" s="903">
        <f t="shared" si="61"/>
        <v>0</v>
      </c>
      <c r="N147" s="904" t="str">
        <f t="shared" si="62"/>
        <v>-</v>
      </c>
      <c r="O147" s="295">
        <f t="shared" si="63"/>
        <v>0</v>
      </c>
      <c r="P147" s="296" t="str">
        <f t="shared" si="64"/>
        <v>-</v>
      </c>
      <c r="Q147" s="305">
        <f t="shared" si="77"/>
        <v>0</v>
      </c>
      <c r="R147" s="306" t="str">
        <f t="shared" si="65"/>
        <v>-</v>
      </c>
      <c r="S147" s="305">
        <f t="shared" si="66"/>
        <v>0</v>
      </c>
      <c r="T147" s="306" t="str">
        <f t="shared" si="67"/>
        <v>-</v>
      </c>
      <c r="U147" s="305">
        <f t="shared" si="68"/>
        <v>0</v>
      </c>
      <c r="V147" s="306" t="str">
        <f t="shared" si="69"/>
        <v>-</v>
      </c>
      <c r="W147" s="305">
        <f t="shared" si="70"/>
        <v>0</v>
      </c>
      <c r="X147" s="306" t="str">
        <f t="shared" si="71"/>
        <v>-</v>
      </c>
      <c r="Y147" s="305"/>
      <c r="Z147" s="306"/>
      <c r="AA147" s="295"/>
      <c r="AB147" s="296" t="str">
        <f t="shared" si="72"/>
        <v>-</v>
      </c>
      <c r="AC147" s="295"/>
      <c r="AD147" s="296"/>
      <c r="AE147" s="295"/>
      <c r="AF147" s="296"/>
      <c r="AG147" s="308"/>
      <c r="AH147" s="169"/>
      <c r="AI147" s="169"/>
      <c r="AJ147" s="169"/>
      <c r="AK147" s="5"/>
      <c r="AL147" s="43"/>
      <c r="AM147" s="43"/>
      <c r="AN147" s="284"/>
    </row>
    <row r="148" spans="1:40" s="28" customFormat="1" outlineLevel="1">
      <c r="A148" s="1401"/>
      <c r="B148" s="353"/>
      <c r="C148" s="899">
        <f t="shared" si="73"/>
        <v>0</v>
      </c>
      <c r="D148" s="900" t="str">
        <f t="shared" si="56"/>
        <v>-</v>
      </c>
      <c r="E148" s="899">
        <f t="shared" si="78"/>
        <v>0</v>
      </c>
      <c r="F148" s="900" t="str">
        <f t="shared" si="57"/>
        <v>-</v>
      </c>
      <c r="G148" s="901">
        <f t="shared" si="74"/>
        <v>0</v>
      </c>
      <c r="H148" s="902" t="str">
        <f t="shared" si="58"/>
        <v>-</v>
      </c>
      <c r="I148" s="901">
        <f t="shared" si="75"/>
        <v>0</v>
      </c>
      <c r="J148" s="902" t="str">
        <f t="shared" si="59"/>
        <v>-</v>
      </c>
      <c r="K148" s="901">
        <f t="shared" si="76"/>
        <v>0</v>
      </c>
      <c r="L148" s="902" t="str">
        <f t="shared" si="60"/>
        <v>-</v>
      </c>
      <c r="M148" s="903">
        <f t="shared" si="61"/>
        <v>0</v>
      </c>
      <c r="N148" s="904" t="str">
        <f t="shared" si="62"/>
        <v>-</v>
      </c>
      <c r="O148" s="295">
        <f t="shared" si="63"/>
        <v>0</v>
      </c>
      <c r="P148" s="296" t="str">
        <f t="shared" si="64"/>
        <v>-</v>
      </c>
      <c r="Q148" s="305">
        <f t="shared" si="77"/>
        <v>0</v>
      </c>
      <c r="R148" s="306" t="str">
        <f t="shared" si="65"/>
        <v>-</v>
      </c>
      <c r="S148" s="305">
        <f>SUMPRODUCT((RO_2012=B148)*(Rem2012en2015))</f>
        <v>0</v>
      </c>
      <c r="T148" s="306" t="str">
        <f t="shared" si="67"/>
        <v>-</v>
      </c>
      <c r="U148" s="305">
        <f t="shared" si="68"/>
        <v>0</v>
      </c>
      <c r="V148" s="306" t="str">
        <f t="shared" si="69"/>
        <v>-</v>
      </c>
      <c r="W148" s="305">
        <f t="shared" si="70"/>
        <v>0</v>
      </c>
      <c r="X148" s="306" t="str">
        <f t="shared" si="71"/>
        <v>-</v>
      </c>
      <c r="Y148" s="305"/>
      <c r="Z148" s="306"/>
      <c r="AA148" s="295"/>
      <c r="AB148" s="296" t="str">
        <f t="shared" si="72"/>
        <v>-</v>
      </c>
      <c r="AC148" s="295"/>
      <c r="AD148" s="296"/>
      <c r="AE148" s="295"/>
      <c r="AF148" s="296"/>
      <c r="AG148" s="308"/>
      <c r="AH148" s="169"/>
      <c r="AI148" s="169"/>
      <c r="AJ148" s="169"/>
      <c r="AK148" s="5"/>
      <c r="AL148" s="43"/>
      <c r="AM148" s="43"/>
      <c r="AN148" s="284"/>
    </row>
    <row r="149" spans="1:40" s="28" customFormat="1" outlineLevel="1">
      <c r="A149" s="1401"/>
      <c r="B149" s="354" t="s">
        <v>213</v>
      </c>
      <c r="C149" s="899">
        <f t="shared" si="73"/>
        <v>0</v>
      </c>
      <c r="D149" s="900" t="str">
        <f t="shared" si="56"/>
        <v>-</v>
      </c>
      <c r="E149" s="899">
        <f t="shared" si="78"/>
        <v>0</v>
      </c>
      <c r="F149" s="900" t="str">
        <f t="shared" si="57"/>
        <v>-</v>
      </c>
      <c r="G149" s="901">
        <f t="shared" si="74"/>
        <v>0</v>
      </c>
      <c r="H149" s="902" t="str">
        <f t="shared" si="58"/>
        <v>-</v>
      </c>
      <c r="I149" s="901">
        <f t="shared" si="75"/>
        <v>0</v>
      </c>
      <c r="J149" s="902" t="str">
        <f t="shared" si="59"/>
        <v>-</v>
      </c>
      <c r="K149" s="901">
        <f t="shared" si="76"/>
        <v>0</v>
      </c>
      <c r="L149" s="902" t="str">
        <f t="shared" si="60"/>
        <v>-</v>
      </c>
      <c r="M149" s="903">
        <f t="shared" si="61"/>
        <v>0</v>
      </c>
      <c r="N149" s="904" t="str">
        <f t="shared" si="62"/>
        <v>-</v>
      </c>
      <c r="O149" s="295">
        <f t="shared" si="63"/>
        <v>0</v>
      </c>
      <c r="P149" s="296" t="str">
        <f t="shared" si="64"/>
        <v>-</v>
      </c>
      <c r="Q149" s="305">
        <f t="shared" si="77"/>
        <v>97418</v>
      </c>
      <c r="R149" s="306">
        <f t="shared" si="65"/>
        <v>0.21258330460133812</v>
      </c>
      <c r="S149" s="305">
        <f t="shared" si="66"/>
        <v>0</v>
      </c>
      <c r="T149" s="306" t="str">
        <f t="shared" si="67"/>
        <v>-</v>
      </c>
      <c r="U149" s="305">
        <f t="shared" si="68"/>
        <v>46412</v>
      </c>
      <c r="V149" s="306">
        <f t="shared" si="69"/>
        <v>0.29676140541577417</v>
      </c>
      <c r="W149" s="305">
        <f t="shared" si="70"/>
        <v>42222</v>
      </c>
      <c r="X149" s="306">
        <f t="shared" si="71"/>
        <v>0.82437471933147199</v>
      </c>
      <c r="Y149" s="305"/>
      <c r="Z149" s="306"/>
      <c r="AA149" s="295"/>
      <c r="AB149" s="296" t="str">
        <f t="shared" si="72"/>
        <v>-</v>
      </c>
      <c r="AC149" s="295"/>
      <c r="AD149" s="296"/>
      <c r="AE149" s="295"/>
      <c r="AF149" s="296"/>
      <c r="AG149" s="308"/>
      <c r="AH149" s="169"/>
      <c r="AI149" s="169"/>
      <c r="AJ149" s="169"/>
      <c r="AK149" s="5"/>
      <c r="AL149" s="43"/>
      <c r="AM149" s="43"/>
      <c r="AN149" s="284"/>
    </row>
    <row r="150" spans="1:40" s="28" customFormat="1" outlineLevel="1">
      <c r="A150" s="1401"/>
      <c r="B150" s="181"/>
      <c r="C150" s="899">
        <f t="shared" si="73"/>
        <v>0</v>
      </c>
      <c r="D150" s="900" t="str">
        <f t="shared" si="56"/>
        <v>-</v>
      </c>
      <c r="E150" s="899">
        <f t="shared" si="78"/>
        <v>0</v>
      </c>
      <c r="F150" s="900" t="str">
        <f t="shared" si="57"/>
        <v>-</v>
      </c>
      <c r="G150" s="901">
        <f t="shared" si="74"/>
        <v>0</v>
      </c>
      <c r="H150" s="902" t="str">
        <f t="shared" si="58"/>
        <v>-</v>
      </c>
      <c r="I150" s="901">
        <f t="shared" si="75"/>
        <v>0</v>
      </c>
      <c r="J150" s="902" t="str">
        <f t="shared" si="59"/>
        <v>-</v>
      </c>
      <c r="K150" s="901">
        <f t="shared" si="76"/>
        <v>0</v>
      </c>
      <c r="L150" s="902" t="str">
        <f t="shared" si="60"/>
        <v>-</v>
      </c>
      <c r="M150" s="903">
        <f t="shared" si="61"/>
        <v>0</v>
      </c>
      <c r="N150" s="904" t="str">
        <f t="shared" si="62"/>
        <v>-</v>
      </c>
      <c r="O150" s="295">
        <f t="shared" si="63"/>
        <v>0</v>
      </c>
      <c r="P150" s="296" t="str">
        <f t="shared" si="64"/>
        <v>-</v>
      </c>
      <c r="Q150" s="305">
        <f t="shared" si="77"/>
        <v>0</v>
      </c>
      <c r="R150" s="306" t="str">
        <f t="shared" si="65"/>
        <v>-</v>
      </c>
      <c r="S150" s="305">
        <f t="shared" si="66"/>
        <v>0</v>
      </c>
      <c r="T150" s="306" t="str">
        <f t="shared" si="67"/>
        <v>-</v>
      </c>
      <c r="U150" s="305">
        <f t="shared" si="68"/>
        <v>0</v>
      </c>
      <c r="V150" s="306" t="str">
        <f t="shared" si="69"/>
        <v>-</v>
      </c>
      <c r="W150" s="305">
        <f t="shared" si="70"/>
        <v>0</v>
      </c>
      <c r="X150" s="306" t="str">
        <f t="shared" si="71"/>
        <v>-</v>
      </c>
      <c r="Y150" s="305"/>
      <c r="Z150" s="306"/>
      <c r="AA150" s="295"/>
      <c r="AB150" s="296" t="str">
        <f t="shared" si="72"/>
        <v>-</v>
      </c>
      <c r="AC150" s="295"/>
      <c r="AD150" s="296"/>
      <c r="AE150" s="295"/>
      <c r="AF150" s="296"/>
      <c r="AG150" s="308"/>
      <c r="AH150" s="169"/>
      <c r="AI150" s="169"/>
      <c r="AJ150" s="169"/>
      <c r="AK150" s="5"/>
      <c r="AL150" s="43"/>
      <c r="AM150" s="43"/>
      <c r="AN150" s="284"/>
    </row>
    <row r="151" spans="1:40" s="28" customFormat="1" outlineLevel="1">
      <c r="A151" s="1401"/>
      <c r="B151" s="156" t="s">
        <v>212</v>
      </c>
      <c r="C151" s="899">
        <f t="shared" si="73"/>
        <v>0</v>
      </c>
      <c r="D151" s="900" t="str">
        <f t="shared" si="56"/>
        <v>-</v>
      </c>
      <c r="E151" s="899">
        <f t="shared" si="78"/>
        <v>0</v>
      </c>
      <c r="F151" s="900" t="str">
        <f t="shared" si="57"/>
        <v>-</v>
      </c>
      <c r="G151" s="901">
        <f t="shared" si="74"/>
        <v>0</v>
      </c>
      <c r="H151" s="902" t="str">
        <f t="shared" si="58"/>
        <v>-</v>
      </c>
      <c r="I151" s="901">
        <f t="shared" si="75"/>
        <v>0</v>
      </c>
      <c r="J151" s="902" t="str">
        <f t="shared" si="59"/>
        <v>-</v>
      </c>
      <c r="K151" s="901">
        <f t="shared" si="76"/>
        <v>0</v>
      </c>
      <c r="L151" s="902" t="str">
        <f t="shared" si="60"/>
        <v>-</v>
      </c>
      <c r="M151" s="903">
        <f t="shared" si="61"/>
        <v>0</v>
      </c>
      <c r="N151" s="904" t="str">
        <f t="shared" si="62"/>
        <v>-</v>
      </c>
      <c r="O151" s="295">
        <f t="shared" si="63"/>
        <v>0</v>
      </c>
      <c r="P151" s="296" t="str">
        <f t="shared" si="64"/>
        <v>-</v>
      </c>
      <c r="Q151" s="305">
        <f t="shared" si="77"/>
        <v>25301</v>
      </c>
      <c r="R151" s="306">
        <f t="shared" si="65"/>
        <v>5.5211256541075115E-2</v>
      </c>
      <c r="S151" s="305">
        <f t="shared" si="66"/>
        <v>5060</v>
      </c>
      <c r="T151" s="306">
        <f t="shared" si="67"/>
        <v>1.6518565431147617E-2</v>
      </c>
      <c r="U151" s="305">
        <f t="shared" si="68"/>
        <v>20059</v>
      </c>
      <c r="V151" s="306">
        <f t="shared" si="69"/>
        <v>0.12825857604143354</v>
      </c>
      <c r="W151" s="305">
        <f t="shared" si="70"/>
        <v>0</v>
      </c>
      <c r="X151" s="306" t="str">
        <f t="shared" si="71"/>
        <v>-</v>
      </c>
      <c r="Y151" s="305"/>
      <c r="Z151" s="306"/>
      <c r="AA151" s="295"/>
      <c r="AB151" s="296" t="str">
        <f t="shared" si="72"/>
        <v>-</v>
      </c>
      <c r="AC151" s="295"/>
      <c r="AD151" s="296"/>
      <c r="AE151" s="295"/>
      <c r="AF151" s="296"/>
      <c r="AG151" s="308"/>
      <c r="AH151" s="169"/>
      <c r="AI151" s="169"/>
      <c r="AJ151" s="169"/>
      <c r="AK151" s="5"/>
      <c r="AL151" s="43"/>
      <c r="AM151" s="43"/>
      <c r="AN151" s="284"/>
    </row>
    <row r="152" spans="1:40" s="28" customFormat="1" outlineLevel="1">
      <c r="A152" s="1401"/>
      <c r="B152" s="156"/>
      <c r="C152" s="899">
        <f>SUMPRODUCT((RO_2012=B152)*(Phase2012&lt;&gt;"fin")*(Prog2012))</f>
        <v>0</v>
      </c>
      <c r="D152" s="900" t="str">
        <f t="shared" si="56"/>
        <v>-</v>
      </c>
      <c r="E152" s="899">
        <f>SUMPRODUCT((RO_2012=B152)*(Phase2012&lt;&gt;"fin"))</f>
        <v>0</v>
      </c>
      <c r="F152" s="900" t="str">
        <f t="shared" si="57"/>
        <v>-</v>
      </c>
      <c r="G152" s="901">
        <f>SUMPRODUCT((RO_2012=B152)*(Phase2012&lt;&gt;"fin")*(Bdgt2012))</f>
        <v>0</v>
      </c>
      <c r="H152" s="902" t="str">
        <f t="shared" si="58"/>
        <v>-</v>
      </c>
      <c r="I152" s="901">
        <f>SUMPRODUCT((RO_2012=B152)*(Phase2012&lt;&gt;"fin")*(Rem_2012))</f>
        <v>0</v>
      </c>
      <c r="J152" s="902" t="str">
        <f t="shared" si="59"/>
        <v>-</v>
      </c>
      <c r="K152" s="901">
        <f>SUMPRODUCT((RO_2012=B152)*(Phase2012&lt;&gt;"fin")*(RemRest2012))</f>
        <v>0</v>
      </c>
      <c r="L152" s="902" t="str">
        <f t="shared" si="60"/>
        <v>-</v>
      </c>
      <c r="M152" s="903">
        <f>SUMPRODUCT((RO_2012=B152)*(Phase2012&lt;&gt;"fin")*(Rem2012en2012))</f>
        <v>0</v>
      </c>
      <c r="N152" s="904" t="str">
        <f t="shared" si="62"/>
        <v>-</v>
      </c>
      <c r="O152" s="295">
        <f>SUMPRODUCT((RO_2012=B152)*(Phase2012&lt;&gt;"fin")*(Rem2012en2013))</f>
        <v>0</v>
      </c>
      <c r="P152" s="296" t="str">
        <f t="shared" si="64"/>
        <v>-</v>
      </c>
      <c r="Q152" s="305">
        <f>SUMPRODUCT((RO_2012=B152)*(Rem2012en2014))</f>
        <v>0</v>
      </c>
      <c r="R152" s="306" t="str">
        <f t="shared" si="65"/>
        <v>-</v>
      </c>
      <c r="S152" s="305">
        <f>SUMPRODUCT((RO_2012=B152)*(Rem2012en2015))</f>
        <v>0</v>
      </c>
      <c r="T152" s="306" t="str">
        <f t="shared" si="67"/>
        <v>-</v>
      </c>
      <c r="U152" s="305">
        <f t="shared" si="68"/>
        <v>0</v>
      </c>
      <c r="V152" s="306" t="str">
        <f t="shared" si="69"/>
        <v>-</v>
      </c>
      <c r="W152" s="305">
        <f t="shared" si="70"/>
        <v>0</v>
      </c>
      <c r="X152" s="306" t="str">
        <f t="shared" si="71"/>
        <v>-</v>
      </c>
      <c r="Y152" s="305"/>
      <c r="Z152" s="306"/>
      <c r="AA152" s="295"/>
      <c r="AB152" s="296" t="str">
        <f t="shared" si="72"/>
        <v>-</v>
      </c>
      <c r="AC152" s="295"/>
      <c r="AD152" s="296"/>
      <c r="AE152" s="295"/>
      <c r="AF152" s="296"/>
      <c r="AG152" s="308"/>
      <c r="AH152" s="169"/>
      <c r="AI152" s="169"/>
      <c r="AJ152" s="169"/>
      <c r="AK152" s="5"/>
      <c r="AL152" s="43"/>
      <c r="AM152" s="43"/>
      <c r="AN152" s="284"/>
    </row>
    <row r="153" spans="1:40" s="28" customFormat="1" outlineLevel="1">
      <c r="A153" s="1401"/>
      <c r="B153" s="79"/>
      <c r="C153" s="899">
        <f t="shared" si="73"/>
        <v>0</v>
      </c>
      <c r="D153" s="900" t="str">
        <f t="shared" si="56"/>
        <v>-</v>
      </c>
      <c r="E153" s="899">
        <f t="shared" si="78"/>
        <v>0</v>
      </c>
      <c r="F153" s="900" t="str">
        <f t="shared" si="57"/>
        <v>-</v>
      </c>
      <c r="G153" s="901">
        <f t="shared" si="74"/>
        <v>0</v>
      </c>
      <c r="H153" s="902" t="str">
        <f t="shared" si="58"/>
        <v>-</v>
      </c>
      <c r="I153" s="901">
        <f t="shared" si="75"/>
        <v>0</v>
      </c>
      <c r="J153" s="902" t="str">
        <f t="shared" si="59"/>
        <v>-</v>
      </c>
      <c r="K153" s="901">
        <f t="shared" si="76"/>
        <v>0</v>
      </c>
      <c r="L153" s="902" t="str">
        <f t="shared" si="60"/>
        <v>-</v>
      </c>
      <c r="M153" s="903">
        <f t="shared" si="61"/>
        <v>0</v>
      </c>
      <c r="N153" s="904" t="str">
        <f t="shared" si="62"/>
        <v>-</v>
      </c>
      <c r="O153" s="295">
        <f t="shared" si="63"/>
        <v>0</v>
      </c>
      <c r="P153" s="296" t="str">
        <f t="shared" si="64"/>
        <v>-</v>
      </c>
      <c r="Q153" s="305">
        <f t="shared" si="77"/>
        <v>0</v>
      </c>
      <c r="R153" s="306" t="str">
        <f t="shared" si="65"/>
        <v>-</v>
      </c>
      <c r="S153" s="305">
        <f t="shared" si="66"/>
        <v>0</v>
      </c>
      <c r="T153" s="306" t="str">
        <f t="shared" si="67"/>
        <v>-</v>
      </c>
      <c r="U153" s="305">
        <f t="shared" si="68"/>
        <v>0</v>
      </c>
      <c r="V153" s="306" t="str">
        <f t="shared" si="69"/>
        <v>-</v>
      </c>
      <c r="W153" s="305">
        <f t="shared" si="70"/>
        <v>0</v>
      </c>
      <c r="X153" s="306" t="str">
        <f t="shared" si="71"/>
        <v>-</v>
      </c>
      <c r="Y153" s="305"/>
      <c r="Z153" s="306"/>
      <c r="AA153" s="295"/>
      <c r="AB153" s="296" t="str">
        <f t="shared" si="72"/>
        <v>-</v>
      </c>
      <c r="AC153" s="295"/>
      <c r="AD153" s="296"/>
      <c r="AE153" s="295"/>
      <c r="AF153" s="296"/>
      <c r="AG153" s="308"/>
      <c r="AH153" s="169"/>
      <c r="AI153" s="169"/>
      <c r="AJ153" s="169"/>
      <c r="AK153" s="5"/>
      <c r="AL153" s="43"/>
      <c r="AM153" s="43"/>
      <c r="AN153" s="284"/>
    </row>
    <row r="154" spans="1:40" s="28" customFormat="1" ht="16.2" outlineLevel="1" thickBot="1">
      <c r="A154" s="1401"/>
      <c r="B154" s="78" t="s">
        <v>104</v>
      </c>
      <c r="C154" s="899">
        <f t="shared" si="73"/>
        <v>0</v>
      </c>
      <c r="D154" s="900" t="str">
        <f t="shared" si="56"/>
        <v>-</v>
      </c>
      <c r="E154" s="899">
        <f t="shared" si="78"/>
        <v>0</v>
      </c>
      <c r="F154" s="900" t="str">
        <f t="shared" si="57"/>
        <v>-</v>
      </c>
      <c r="G154" s="901">
        <f t="shared" si="74"/>
        <v>0</v>
      </c>
      <c r="H154" s="902" t="str">
        <f t="shared" si="58"/>
        <v>-</v>
      </c>
      <c r="I154" s="901">
        <f t="shared" si="75"/>
        <v>0</v>
      </c>
      <c r="J154" s="902" t="str">
        <f t="shared" si="59"/>
        <v>-</v>
      </c>
      <c r="K154" s="901">
        <f t="shared" si="76"/>
        <v>0</v>
      </c>
      <c r="L154" s="902" t="str">
        <f t="shared" si="60"/>
        <v>-</v>
      </c>
      <c r="M154" s="903">
        <f t="shared" si="61"/>
        <v>0</v>
      </c>
      <c r="N154" s="904" t="str">
        <f t="shared" si="62"/>
        <v>-</v>
      </c>
      <c r="O154" s="295">
        <f t="shared" si="63"/>
        <v>0</v>
      </c>
      <c r="P154" s="296" t="str">
        <f t="shared" si="64"/>
        <v>-</v>
      </c>
      <c r="Q154" s="305">
        <f t="shared" si="77"/>
        <v>60580</v>
      </c>
      <c r="R154" s="306">
        <f t="shared" si="65"/>
        <v>0.13219627371480694</v>
      </c>
      <c r="S154" s="305">
        <f t="shared" si="66"/>
        <v>36493</v>
      </c>
      <c r="T154" s="306">
        <f t="shared" si="67"/>
        <v>0.11913280796025098</v>
      </c>
      <c r="U154" s="305">
        <f t="shared" si="68"/>
        <v>36447</v>
      </c>
      <c r="V154" s="306">
        <f t="shared" si="69"/>
        <v>0.23304453467182454</v>
      </c>
      <c r="W154" s="305">
        <f t="shared" si="70"/>
        <v>8995</v>
      </c>
      <c r="X154" s="306">
        <f t="shared" si="71"/>
        <v>0.17562528066852803</v>
      </c>
      <c r="Y154" s="305"/>
      <c r="Z154" s="306"/>
      <c r="AA154" s="295"/>
      <c r="AB154" s="296" t="str">
        <f t="shared" si="72"/>
        <v>-</v>
      </c>
      <c r="AC154" s="295"/>
      <c r="AD154" s="296"/>
      <c r="AE154" s="295"/>
      <c r="AF154" s="296"/>
      <c r="AG154" s="308"/>
      <c r="AH154" s="169"/>
      <c r="AI154" s="169"/>
      <c r="AJ154" s="169"/>
      <c r="AK154" s="5"/>
      <c r="AL154" s="43"/>
      <c r="AM154" s="43"/>
      <c r="AN154" s="284"/>
    </row>
    <row r="155" spans="1:40" s="28" customFormat="1" ht="16.2" outlineLevel="1" thickBot="1">
      <c r="A155" s="1401"/>
      <c r="B155" s="112"/>
      <c r="C155" s="309">
        <f t="shared" ref="C155:R155" si="79">SUM(C145:C154)</f>
        <v>0</v>
      </c>
      <c r="D155" s="310">
        <f t="shared" si="79"/>
        <v>0</v>
      </c>
      <c r="E155" s="309">
        <f t="shared" si="79"/>
        <v>0</v>
      </c>
      <c r="F155" s="310">
        <f t="shared" si="79"/>
        <v>0</v>
      </c>
      <c r="G155" s="311">
        <f t="shared" si="79"/>
        <v>0</v>
      </c>
      <c r="H155" s="113">
        <f t="shared" si="79"/>
        <v>0</v>
      </c>
      <c r="I155" s="311">
        <f t="shared" si="79"/>
        <v>0</v>
      </c>
      <c r="J155" s="113">
        <f t="shared" si="79"/>
        <v>0</v>
      </c>
      <c r="K155" s="311">
        <f t="shared" si="79"/>
        <v>0</v>
      </c>
      <c r="L155" s="113">
        <f t="shared" si="79"/>
        <v>0</v>
      </c>
      <c r="M155" s="311">
        <f t="shared" si="79"/>
        <v>0</v>
      </c>
      <c r="N155" s="113">
        <f t="shared" si="79"/>
        <v>0</v>
      </c>
      <c r="O155" s="297">
        <f t="shared" si="79"/>
        <v>0</v>
      </c>
      <c r="P155" s="298">
        <f t="shared" si="79"/>
        <v>0</v>
      </c>
      <c r="Q155" s="311">
        <f t="shared" si="79"/>
        <v>458258</v>
      </c>
      <c r="R155" s="113">
        <f t="shared" si="79"/>
        <v>0.99999999999999989</v>
      </c>
      <c r="S155" s="311">
        <f t="shared" ref="S155:Z155" si="80">SUM(S145:S154)</f>
        <v>306322</v>
      </c>
      <c r="T155" s="113">
        <f t="shared" si="80"/>
        <v>0.99999999999999989</v>
      </c>
      <c r="U155" s="311">
        <f t="shared" si="80"/>
        <v>156395</v>
      </c>
      <c r="V155" s="113">
        <f t="shared" si="80"/>
        <v>1</v>
      </c>
      <c r="W155" s="311">
        <f t="shared" si="80"/>
        <v>51217</v>
      </c>
      <c r="X155" s="113">
        <f t="shared" si="80"/>
        <v>1</v>
      </c>
      <c r="Y155" s="311">
        <f t="shared" si="80"/>
        <v>0</v>
      </c>
      <c r="Z155" s="113">
        <f t="shared" si="80"/>
        <v>0</v>
      </c>
      <c r="AA155" s="297">
        <f t="shared" ref="AA155:AB155" si="81">SUM(AA145:AA154)</f>
        <v>0</v>
      </c>
      <c r="AB155" s="298">
        <f t="shared" si="81"/>
        <v>0</v>
      </c>
      <c r="AC155" s="297">
        <f>SUM(AC145:AC154)</f>
        <v>0</v>
      </c>
      <c r="AD155" s="298">
        <f>SUM(AD145:AD154)</f>
        <v>0</v>
      </c>
      <c r="AE155" s="297">
        <f t="shared" ref="AE155:AF155" si="82">SUM(AE145:AE154)</f>
        <v>0</v>
      </c>
      <c r="AF155" s="298">
        <f t="shared" si="82"/>
        <v>0</v>
      </c>
      <c r="AG155" s="213"/>
      <c r="AH155" s="169"/>
      <c r="AI155" s="169"/>
      <c r="AJ155" s="169"/>
      <c r="AK155" s="5"/>
      <c r="AL155" s="43"/>
      <c r="AM155" s="43"/>
      <c r="AN155" s="284"/>
    </row>
    <row r="156" spans="1:40" s="28" customFormat="1" ht="15.75" customHeight="1" outlineLevel="1">
      <c r="A156" s="1398" t="s">
        <v>137</v>
      </c>
      <c r="B156" s="72" t="s">
        <v>12</v>
      </c>
      <c r="C156" s="300">
        <f t="shared" ref="C156:C163" si="83">SUMPRODUCT((RO_2013=B156)*(Phase2013&lt;&gt;"fin")*(Prog2013))</f>
        <v>0</v>
      </c>
      <c r="D156" s="301" t="str">
        <f t="shared" ref="D156:D163" si="84">IF(C156=0,"-",C156/$C$164)</f>
        <v>-</v>
      </c>
      <c r="E156" s="300">
        <f t="shared" ref="E156:E163" si="85">SUMPRODUCT((RO_2013=B156)*(Phase2013&lt;&gt;"fin"))</f>
        <v>0</v>
      </c>
      <c r="F156" s="301" t="str">
        <f t="shared" ref="F156:F163" si="86">IF(E156=0,"-",E156/$E$164)</f>
        <v>-</v>
      </c>
      <c r="G156" s="302">
        <f t="shared" ref="G156:G163" si="87">SUMPRODUCT((RO_2013=B156)*(Phase2013&lt;&gt;"fin")*(Bdgt2013))</f>
        <v>0</v>
      </c>
      <c r="H156" s="303" t="str">
        <f t="shared" ref="H156:H163" si="88">IF(G156=0,"-",G156/$G$164)</f>
        <v>-</v>
      </c>
      <c r="I156" s="302">
        <f t="shared" ref="I156:I163" si="89">SUMPRODUCT((RO_2013=B156)*(Phase2013&lt;&gt;"fin")*(Rem_2013))</f>
        <v>0</v>
      </c>
      <c r="J156" s="303" t="str">
        <f t="shared" ref="J156:J163" si="90">IF(I156=0,"-",I156/$I$164)</f>
        <v>-</v>
      </c>
      <c r="K156" s="302">
        <f>SUMPRODUCT((RO_2013=B156)*(Phase2013&lt;&gt;"fin")*(RemRest2013))</f>
        <v>0</v>
      </c>
      <c r="L156" s="303" t="str">
        <f t="shared" ref="L156:L163" si="91">IF(K156=0,"-",K156/$K$164)</f>
        <v>-</v>
      </c>
      <c r="M156" s="302">
        <f t="shared" ref="M156:M163" si="92">SUMPRODUCT((RO_2013=B156)*(Phase2013&lt;&gt;"fin")*(Rem2013en2012))</f>
        <v>0</v>
      </c>
      <c r="N156" s="303" t="str">
        <f t="shared" ref="N156:N163" si="93">IF(M156=0,"-",M156/$M$164)</f>
        <v>-</v>
      </c>
      <c r="O156" s="302">
        <f t="shared" ref="O156:O163" si="94">SUMPRODUCT((RO_2013=B156)*(Phase2013&lt;&gt;"fin")*(Rem2013en2013))</f>
        <v>0</v>
      </c>
      <c r="P156" s="303" t="str">
        <f t="shared" ref="P156:P163" si="95">IF(O156=0,"-",O156/$O$164)</f>
        <v>-</v>
      </c>
      <c r="Q156" s="302">
        <f>SUMPRODUCT((RO_2013=B156)*(Rem2013en2014))</f>
        <v>19080</v>
      </c>
      <c r="R156" s="303">
        <f t="shared" ref="R156:R163" si="96">IF(Q156=0,"-",Q156/$Q$164)</f>
        <v>6.5543810953511306E-2</v>
      </c>
      <c r="S156" s="302">
        <f t="shared" ref="S156:S163" si="97">SUMPRODUCT((RO_2013=B156)*(Rem2013en2015))</f>
        <v>89730</v>
      </c>
      <c r="T156" s="303">
        <f>IF(S156=0,"-",S156/$S$164)</f>
        <v>0.1897967083290148</v>
      </c>
      <c r="U156" s="302">
        <f t="shared" ref="U156:U163" si="98">SUMPRODUCT((RO_2013=B156)*(Rem2013en2016))</f>
        <v>41918</v>
      </c>
      <c r="V156" s="303">
        <f t="shared" ref="V156:V163" si="99">IF(U156=0,"-",U156/$U$164)</f>
        <v>0.12719229042007016</v>
      </c>
      <c r="W156" s="302">
        <f t="shared" ref="W156:W163" si="100">SUMPRODUCT((RO_2013=B156)*(Rem2013en2017))</f>
        <v>13353</v>
      </c>
      <c r="X156" s="303">
        <f t="shared" ref="X156:X163" si="101">IF(W156=0,"-",W156/$W$164)</f>
        <v>4.8947588360789142E-2</v>
      </c>
      <c r="Y156" s="302">
        <f t="shared" ref="Y156:Y163" si="102">SUMPRODUCT((RO_2013=B156)*(Rem2013en2018))</f>
        <v>7556</v>
      </c>
      <c r="Z156" s="303">
        <f t="shared" ref="Z156:Z163" si="103">IF(Y156=0,"-",Y156/$Y$164)</f>
        <v>0.13072153234146899</v>
      </c>
      <c r="AA156" s="293"/>
      <c r="AB156" s="294" t="str">
        <f t="shared" ref="AB156:AB163" si="104">IF(AA156=0,"-",AA156/$Y$164)</f>
        <v>-</v>
      </c>
      <c r="AC156" s="302">
        <f t="shared" ref="AC156:AC163" si="105">SUMPRODUCT((RO_2013=B156)*(Rem2013Preven2020))</f>
        <v>0</v>
      </c>
      <c r="AD156" s="303" t="str">
        <f t="shared" ref="AD156:AD163" si="106">IF(AC156=0,"-",AC156/$AC$164)</f>
        <v>-</v>
      </c>
      <c r="AE156" s="302">
        <f t="shared" ref="AE156:AE163" si="107">SUMPRODUCT((RO_2013=B156)*(Rem2013en2020))</f>
        <v>0</v>
      </c>
      <c r="AF156" s="303" t="str">
        <f t="shared" ref="AF156:AF163" si="108">IF(AE156=0,"-",AE156/$Y$164)</f>
        <v>-</v>
      </c>
      <c r="AG156" s="308"/>
      <c r="AH156" s="169"/>
      <c r="AI156" s="169"/>
      <c r="AJ156" s="169"/>
      <c r="AK156" s="5"/>
      <c r="AL156" s="43"/>
      <c r="AM156" s="43"/>
      <c r="AN156" s="284"/>
    </row>
    <row r="157" spans="1:40" s="28" customFormat="1" outlineLevel="1">
      <c r="A157" s="1398"/>
      <c r="B157" s="73" t="s">
        <v>31</v>
      </c>
      <c r="C157" s="73">
        <f t="shared" si="83"/>
        <v>0</v>
      </c>
      <c r="D157" s="304" t="str">
        <f t="shared" si="84"/>
        <v>-</v>
      </c>
      <c r="E157" s="73">
        <f t="shared" si="85"/>
        <v>0</v>
      </c>
      <c r="F157" s="304" t="str">
        <f t="shared" si="86"/>
        <v>-</v>
      </c>
      <c r="G157" s="305">
        <f t="shared" si="87"/>
        <v>0</v>
      </c>
      <c r="H157" s="306" t="str">
        <f t="shared" si="88"/>
        <v>-</v>
      </c>
      <c r="I157" s="305">
        <f t="shared" si="89"/>
        <v>0</v>
      </c>
      <c r="J157" s="306" t="str">
        <f t="shared" si="90"/>
        <v>-</v>
      </c>
      <c r="K157" s="305">
        <f t="shared" ref="K157:K163" si="109">SUMPRODUCT((RO_2013=B157)*(Phase2013&lt;&gt;"fin")*(RemRest2013))</f>
        <v>0</v>
      </c>
      <c r="L157" s="306" t="str">
        <f t="shared" si="91"/>
        <v>-</v>
      </c>
      <c r="M157" s="307">
        <f t="shared" si="92"/>
        <v>0</v>
      </c>
      <c r="N157" s="308" t="str">
        <f t="shared" si="93"/>
        <v>-</v>
      </c>
      <c r="O157" s="305">
        <f t="shared" si="94"/>
        <v>0</v>
      </c>
      <c r="P157" s="306" t="str">
        <f t="shared" si="95"/>
        <v>-</v>
      </c>
      <c r="Q157" s="305">
        <f t="shared" ref="Q157:Q163" si="110">SUMPRODUCT((RO_2013=B157)*(Rem2013en2014))</f>
        <v>0</v>
      </c>
      <c r="R157" s="306" t="str">
        <f t="shared" si="96"/>
        <v>-</v>
      </c>
      <c r="S157" s="305">
        <f t="shared" si="97"/>
        <v>0</v>
      </c>
      <c r="T157" s="306" t="str">
        <f t="shared" ref="T157:T163" si="111">IF(S157=0,"-",S157/$S$164)</f>
        <v>-</v>
      </c>
      <c r="U157" s="305">
        <f t="shared" si="98"/>
        <v>0</v>
      </c>
      <c r="V157" s="306" t="str">
        <f t="shared" si="99"/>
        <v>-</v>
      </c>
      <c r="W157" s="305">
        <f t="shared" si="100"/>
        <v>0</v>
      </c>
      <c r="X157" s="306" t="str">
        <f t="shared" si="101"/>
        <v>-</v>
      </c>
      <c r="Y157" s="305">
        <f t="shared" si="102"/>
        <v>0</v>
      </c>
      <c r="Z157" s="306" t="str">
        <f t="shared" si="103"/>
        <v>-</v>
      </c>
      <c r="AA157" s="295"/>
      <c r="AB157" s="296" t="str">
        <f t="shared" si="104"/>
        <v>-</v>
      </c>
      <c r="AC157" s="305">
        <f t="shared" si="105"/>
        <v>0</v>
      </c>
      <c r="AD157" s="306" t="str">
        <f t="shared" si="106"/>
        <v>-</v>
      </c>
      <c r="AE157" s="305">
        <f t="shared" si="107"/>
        <v>0</v>
      </c>
      <c r="AF157" s="306" t="str">
        <f t="shared" si="108"/>
        <v>-</v>
      </c>
      <c r="AG157" s="308"/>
      <c r="AH157" s="169"/>
      <c r="AI157" s="169"/>
      <c r="AJ157" s="169"/>
      <c r="AK157" s="5"/>
      <c r="AL157" s="43"/>
      <c r="AM157" s="43"/>
      <c r="AN157" s="284"/>
    </row>
    <row r="158" spans="1:40" s="28" customFormat="1" outlineLevel="1">
      <c r="A158" s="1398"/>
      <c r="B158" s="180" t="s">
        <v>196</v>
      </c>
      <c r="C158" s="73">
        <f t="shared" si="83"/>
        <v>0</v>
      </c>
      <c r="D158" s="304" t="str">
        <f t="shared" si="84"/>
        <v>-</v>
      </c>
      <c r="E158" s="73">
        <f t="shared" si="85"/>
        <v>0</v>
      </c>
      <c r="F158" s="304" t="str">
        <f t="shared" si="86"/>
        <v>-</v>
      </c>
      <c r="G158" s="305">
        <f t="shared" si="87"/>
        <v>0</v>
      </c>
      <c r="H158" s="306" t="str">
        <f t="shared" si="88"/>
        <v>-</v>
      </c>
      <c r="I158" s="305">
        <f t="shared" si="89"/>
        <v>0</v>
      </c>
      <c r="J158" s="306" t="str">
        <f t="shared" si="90"/>
        <v>-</v>
      </c>
      <c r="K158" s="305">
        <f t="shared" si="109"/>
        <v>0</v>
      </c>
      <c r="L158" s="306" t="str">
        <f t="shared" si="91"/>
        <v>-</v>
      </c>
      <c r="M158" s="307">
        <f t="shared" si="92"/>
        <v>0</v>
      </c>
      <c r="N158" s="308" t="str">
        <f t="shared" si="93"/>
        <v>-</v>
      </c>
      <c r="O158" s="305">
        <f t="shared" si="94"/>
        <v>0</v>
      </c>
      <c r="P158" s="306" t="str">
        <f t="shared" si="95"/>
        <v>-</v>
      </c>
      <c r="Q158" s="305">
        <f t="shared" si="110"/>
        <v>0</v>
      </c>
      <c r="R158" s="306" t="str">
        <f t="shared" si="96"/>
        <v>-</v>
      </c>
      <c r="S158" s="305">
        <f t="shared" si="97"/>
        <v>0</v>
      </c>
      <c r="T158" s="306" t="str">
        <f t="shared" si="111"/>
        <v>-</v>
      </c>
      <c r="U158" s="305">
        <f t="shared" si="98"/>
        <v>0</v>
      </c>
      <c r="V158" s="306" t="str">
        <f t="shared" si="99"/>
        <v>-</v>
      </c>
      <c r="W158" s="305">
        <f t="shared" si="100"/>
        <v>0</v>
      </c>
      <c r="X158" s="306" t="str">
        <f t="shared" si="101"/>
        <v>-</v>
      </c>
      <c r="Y158" s="305">
        <f t="shared" si="102"/>
        <v>0</v>
      </c>
      <c r="Z158" s="306" t="str">
        <f t="shared" si="103"/>
        <v>-</v>
      </c>
      <c r="AA158" s="295"/>
      <c r="AB158" s="296" t="str">
        <f t="shared" si="104"/>
        <v>-</v>
      </c>
      <c r="AC158" s="305">
        <f t="shared" si="105"/>
        <v>0</v>
      </c>
      <c r="AD158" s="306" t="str">
        <f t="shared" si="106"/>
        <v>-</v>
      </c>
      <c r="AE158" s="305">
        <f t="shared" si="107"/>
        <v>0</v>
      </c>
      <c r="AF158" s="306" t="str">
        <f t="shared" si="108"/>
        <v>-</v>
      </c>
      <c r="AG158" s="308"/>
      <c r="AH158" s="169"/>
      <c r="AI158" s="169"/>
      <c r="AJ158" s="169"/>
      <c r="AK158" s="5"/>
      <c r="AL158" s="43"/>
      <c r="AM158" s="43"/>
      <c r="AN158" s="284"/>
    </row>
    <row r="159" spans="1:40" s="28" customFormat="1" outlineLevel="1">
      <c r="A159" s="1398"/>
      <c r="B159" s="75" t="s">
        <v>103</v>
      </c>
      <c r="C159" s="73">
        <f t="shared" si="83"/>
        <v>110</v>
      </c>
      <c r="D159" s="304">
        <f t="shared" si="84"/>
        <v>1</v>
      </c>
      <c r="E159" s="73">
        <f t="shared" si="85"/>
        <v>1</v>
      </c>
      <c r="F159" s="304">
        <f t="shared" si="86"/>
        <v>1</v>
      </c>
      <c r="G159" s="305">
        <f t="shared" si="87"/>
        <v>19497460</v>
      </c>
      <c r="H159" s="306">
        <f t="shared" si="88"/>
        <v>1</v>
      </c>
      <c r="I159" s="305">
        <f t="shared" si="89"/>
        <v>974873</v>
      </c>
      <c r="J159" s="306">
        <f t="shared" si="90"/>
        <v>1</v>
      </c>
      <c r="K159" s="305">
        <f t="shared" si="109"/>
        <v>58117</v>
      </c>
      <c r="L159" s="306">
        <f t="shared" si="91"/>
        <v>1</v>
      </c>
      <c r="M159" s="307">
        <f t="shared" si="92"/>
        <v>193001</v>
      </c>
      <c r="N159" s="308">
        <f t="shared" si="93"/>
        <v>1</v>
      </c>
      <c r="O159" s="305">
        <f t="shared" si="94"/>
        <v>289502</v>
      </c>
      <c r="P159" s="306">
        <f t="shared" si="95"/>
        <v>1</v>
      </c>
      <c r="Q159" s="305">
        <f t="shared" si="110"/>
        <v>0</v>
      </c>
      <c r="R159" s="306" t="str">
        <f t="shared" si="96"/>
        <v>-</v>
      </c>
      <c r="S159" s="305">
        <f t="shared" si="97"/>
        <v>193001</v>
      </c>
      <c r="T159" s="306">
        <f t="shared" si="111"/>
        <v>0.40823531153692394</v>
      </c>
      <c r="U159" s="305">
        <f t="shared" si="98"/>
        <v>168876</v>
      </c>
      <c r="V159" s="306">
        <f t="shared" si="99"/>
        <v>0.51242247332839752</v>
      </c>
      <c r="W159" s="305">
        <f t="shared" si="100"/>
        <v>72376</v>
      </c>
      <c r="X159" s="306">
        <f t="shared" si="101"/>
        <v>0.2653059728301112</v>
      </c>
      <c r="Y159" s="305">
        <f t="shared" si="102"/>
        <v>0</v>
      </c>
      <c r="Z159" s="306" t="str">
        <f t="shared" si="103"/>
        <v>-</v>
      </c>
      <c r="AA159" s="295"/>
      <c r="AB159" s="296" t="str">
        <f t="shared" si="104"/>
        <v>-</v>
      </c>
      <c r="AC159" s="305">
        <f t="shared" si="105"/>
        <v>58117</v>
      </c>
      <c r="AD159" s="306">
        <f t="shared" si="106"/>
        <v>1</v>
      </c>
      <c r="AE159" s="305">
        <f t="shared" si="107"/>
        <v>0</v>
      </c>
      <c r="AF159" s="306" t="str">
        <f t="shared" si="108"/>
        <v>-</v>
      </c>
      <c r="AG159" s="308"/>
      <c r="AH159" s="169"/>
      <c r="AI159" s="169"/>
      <c r="AJ159" s="169"/>
      <c r="AK159" s="5"/>
      <c r="AL159" s="43"/>
      <c r="AM159" s="43"/>
      <c r="AN159" s="284"/>
    </row>
    <row r="160" spans="1:40" s="28" customFormat="1" outlineLevel="1">
      <c r="A160" s="1398"/>
      <c r="B160" s="76" t="s">
        <v>229</v>
      </c>
      <c r="C160" s="73">
        <f t="shared" si="83"/>
        <v>0</v>
      </c>
      <c r="D160" s="304" t="str">
        <f t="shared" si="84"/>
        <v>-</v>
      </c>
      <c r="E160" s="73">
        <f t="shared" si="85"/>
        <v>0</v>
      </c>
      <c r="F160" s="304" t="str">
        <f t="shared" si="86"/>
        <v>-</v>
      </c>
      <c r="G160" s="305">
        <f t="shared" si="87"/>
        <v>0</v>
      </c>
      <c r="H160" s="306" t="str">
        <f t="shared" si="88"/>
        <v>-</v>
      </c>
      <c r="I160" s="305">
        <f t="shared" si="89"/>
        <v>0</v>
      </c>
      <c r="J160" s="306" t="str">
        <f t="shared" si="90"/>
        <v>-</v>
      </c>
      <c r="K160" s="305">
        <f t="shared" si="109"/>
        <v>0</v>
      </c>
      <c r="L160" s="306" t="str">
        <f t="shared" si="91"/>
        <v>-</v>
      </c>
      <c r="M160" s="307">
        <f t="shared" si="92"/>
        <v>0</v>
      </c>
      <c r="N160" s="308" t="str">
        <f t="shared" si="93"/>
        <v>-</v>
      </c>
      <c r="O160" s="305">
        <f t="shared" si="94"/>
        <v>0</v>
      </c>
      <c r="P160" s="306" t="str">
        <f t="shared" si="95"/>
        <v>-</v>
      </c>
      <c r="Q160" s="305">
        <f t="shared" si="110"/>
        <v>0</v>
      </c>
      <c r="R160" s="306" t="str">
        <f t="shared" si="96"/>
        <v>-</v>
      </c>
      <c r="S160" s="305">
        <f t="shared" si="97"/>
        <v>0</v>
      </c>
      <c r="T160" s="306" t="str">
        <f t="shared" si="111"/>
        <v>-</v>
      </c>
      <c r="U160" s="305">
        <f t="shared" si="98"/>
        <v>0</v>
      </c>
      <c r="V160" s="306" t="str">
        <f t="shared" si="99"/>
        <v>-</v>
      </c>
      <c r="W160" s="305">
        <f t="shared" si="100"/>
        <v>0</v>
      </c>
      <c r="X160" s="306" t="str">
        <f t="shared" si="101"/>
        <v>-</v>
      </c>
      <c r="Y160" s="305">
        <f t="shared" si="102"/>
        <v>0</v>
      </c>
      <c r="Z160" s="306" t="str">
        <f t="shared" si="103"/>
        <v>-</v>
      </c>
      <c r="AA160" s="295"/>
      <c r="AB160" s="296" t="str">
        <f t="shared" si="104"/>
        <v>-</v>
      </c>
      <c r="AC160" s="305">
        <f t="shared" si="105"/>
        <v>0</v>
      </c>
      <c r="AD160" s="306" t="str">
        <f t="shared" si="106"/>
        <v>-</v>
      </c>
      <c r="AE160" s="305">
        <f t="shared" si="107"/>
        <v>0</v>
      </c>
      <c r="AF160" s="306" t="str">
        <f t="shared" si="108"/>
        <v>-</v>
      </c>
      <c r="AG160" s="308"/>
      <c r="AH160" s="169"/>
      <c r="AI160" s="169"/>
      <c r="AJ160" s="169"/>
      <c r="AK160" s="5"/>
      <c r="AL160" s="43"/>
      <c r="AM160" s="43"/>
      <c r="AN160" s="284"/>
    </row>
    <row r="161" spans="1:40" s="28" customFormat="1" outlineLevel="1">
      <c r="A161" s="1398"/>
      <c r="B161" s="181" t="s">
        <v>213</v>
      </c>
      <c r="C161" s="73">
        <f t="shared" si="83"/>
        <v>0</v>
      </c>
      <c r="D161" s="304" t="str">
        <f t="shared" si="84"/>
        <v>-</v>
      </c>
      <c r="E161" s="73">
        <f t="shared" si="85"/>
        <v>0</v>
      </c>
      <c r="F161" s="304" t="str">
        <f t="shared" si="86"/>
        <v>-</v>
      </c>
      <c r="G161" s="305">
        <f t="shared" si="87"/>
        <v>0</v>
      </c>
      <c r="H161" s="306" t="str">
        <f t="shared" si="88"/>
        <v>-</v>
      </c>
      <c r="I161" s="305">
        <f>SUMPRODUCT((RO_2013=B161)*(Phase2013&lt;&gt;"fin")*(Rem_2013))</f>
        <v>0</v>
      </c>
      <c r="J161" s="306" t="str">
        <f t="shared" si="90"/>
        <v>-</v>
      </c>
      <c r="K161" s="305">
        <f>SUMPRODUCT((RO_2013=B161)*(Phase2013&lt;&gt;"fin")*(RemRest2013))</f>
        <v>0</v>
      </c>
      <c r="L161" s="306" t="str">
        <f t="shared" si="91"/>
        <v>-</v>
      </c>
      <c r="M161" s="307">
        <f t="shared" si="92"/>
        <v>0</v>
      </c>
      <c r="N161" s="308" t="str">
        <f t="shared" si="93"/>
        <v>-</v>
      </c>
      <c r="O161" s="305">
        <f t="shared" si="94"/>
        <v>0</v>
      </c>
      <c r="P161" s="306" t="str">
        <f t="shared" si="95"/>
        <v>-</v>
      </c>
      <c r="Q161" s="305">
        <f t="shared" si="110"/>
        <v>17248</v>
      </c>
      <c r="R161" s="306">
        <f t="shared" si="96"/>
        <v>5.9250505834704557E-2</v>
      </c>
      <c r="S161" s="305">
        <f t="shared" si="97"/>
        <v>34928</v>
      </c>
      <c r="T161" s="306">
        <f t="shared" si="111"/>
        <v>7.3879632547819332E-2</v>
      </c>
      <c r="U161" s="305">
        <f t="shared" si="98"/>
        <v>29222</v>
      </c>
      <c r="V161" s="306">
        <f t="shared" si="99"/>
        <v>8.8668665266837393E-2</v>
      </c>
      <c r="W161" s="305">
        <f t="shared" si="100"/>
        <v>17110</v>
      </c>
      <c r="X161" s="306">
        <f t="shared" si="101"/>
        <v>6.2719481528727791E-2</v>
      </c>
      <c r="Y161" s="305">
        <f t="shared" si="102"/>
        <v>0</v>
      </c>
      <c r="Z161" s="306" t="str">
        <f t="shared" si="103"/>
        <v>-</v>
      </c>
      <c r="AA161" s="295"/>
      <c r="AB161" s="296" t="str">
        <f t="shared" si="104"/>
        <v>-</v>
      </c>
      <c r="AC161" s="305">
        <f t="shared" si="105"/>
        <v>0</v>
      </c>
      <c r="AD161" s="306" t="str">
        <f t="shared" si="106"/>
        <v>-</v>
      </c>
      <c r="AE161" s="305">
        <f t="shared" si="107"/>
        <v>0</v>
      </c>
      <c r="AF161" s="306" t="str">
        <f t="shared" si="108"/>
        <v>-</v>
      </c>
      <c r="AG161" s="308"/>
      <c r="AH161" s="169"/>
      <c r="AI161" s="169"/>
      <c r="AJ161" s="169"/>
      <c r="AK161" s="5"/>
      <c r="AL161" s="43"/>
      <c r="AM161" s="43"/>
      <c r="AN161" s="284"/>
    </row>
    <row r="162" spans="1:40" s="28" customFormat="1" outlineLevel="1">
      <c r="A162" s="1398"/>
      <c r="B162" s="180" t="s">
        <v>15</v>
      </c>
      <c r="C162" s="73">
        <f t="shared" si="83"/>
        <v>0</v>
      </c>
      <c r="D162" s="304" t="str">
        <f t="shared" si="84"/>
        <v>-</v>
      </c>
      <c r="E162" s="73">
        <f t="shared" si="85"/>
        <v>0</v>
      </c>
      <c r="F162" s="304" t="str">
        <f t="shared" si="86"/>
        <v>-</v>
      </c>
      <c r="G162" s="305">
        <f t="shared" si="87"/>
        <v>0</v>
      </c>
      <c r="H162" s="306" t="str">
        <f t="shared" si="88"/>
        <v>-</v>
      </c>
      <c r="I162" s="305">
        <f t="shared" si="89"/>
        <v>0</v>
      </c>
      <c r="J162" s="306" t="str">
        <f t="shared" si="90"/>
        <v>-</v>
      </c>
      <c r="K162" s="305">
        <f t="shared" si="109"/>
        <v>0</v>
      </c>
      <c r="L162" s="306" t="str">
        <f t="shared" si="91"/>
        <v>-</v>
      </c>
      <c r="M162" s="307">
        <f t="shared" si="92"/>
        <v>0</v>
      </c>
      <c r="N162" s="308" t="str">
        <f t="shared" si="93"/>
        <v>-</v>
      </c>
      <c r="O162" s="305">
        <f t="shared" si="94"/>
        <v>0</v>
      </c>
      <c r="P162" s="306" t="str">
        <f t="shared" si="95"/>
        <v>-</v>
      </c>
      <c r="Q162" s="305">
        <f t="shared" si="110"/>
        <v>99764</v>
      </c>
      <c r="R162" s="306">
        <f t="shared" si="96"/>
        <v>0.34271031215755249</v>
      </c>
      <c r="S162" s="305">
        <f t="shared" si="97"/>
        <v>93000</v>
      </c>
      <c r="T162" s="306">
        <f t="shared" si="111"/>
        <v>0.19671340548978467</v>
      </c>
      <c r="U162" s="305">
        <f t="shared" si="98"/>
        <v>47744</v>
      </c>
      <c r="V162" s="306">
        <f t="shared" si="99"/>
        <v>0.14487019213263586</v>
      </c>
      <c r="W162" s="305">
        <f t="shared" si="100"/>
        <v>42323</v>
      </c>
      <c r="X162" s="306">
        <f t="shared" si="101"/>
        <v>0.15514182447342761</v>
      </c>
      <c r="Y162" s="305">
        <f t="shared" si="102"/>
        <v>8176.26</v>
      </c>
      <c r="Z162" s="306">
        <f t="shared" si="103"/>
        <v>0.14145225463502639</v>
      </c>
      <c r="AA162" s="295"/>
      <c r="AB162" s="296" t="str">
        <f t="shared" si="104"/>
        <v>-</v>
      </c>
      <c r="AC162" s="305">
        <f t="shared" si="105"/>
        <v>0</v>
      </c>
      <c r="AD162" s="306" t="str">
        <f t="shared" si="106"/>
        <v>-</v>
      </c>
      <c r="AE162" s="305">
        <f t="shared" si="107"/>
        <v>0</v>
      </c>
      <c r="AF162" s="306" t="str">
        <f t="shared" si="108"/>
        <v>-</v>
      </c>
      <c r="AG162" s="308"/>
      <c r="AH162" s="169"/>
      <c r="AI162" s="169"/>
      <c r="AJ162" s="169"/>
      <c r="AK162" s="5"/>
      <c r="AL162" s="43"/>
      <c r="AM162" s="43"/>
      <c r="AN162" s="284"/>
    </row>
    <row r="163" spans="1:40" s="28" customFormat="1" ht="16.2" outlineLevel="1" thickBot="1">
      <c r="A163" s="1398"/>
      <c r="B163" s="78" t="s">
        <v>104</v>
      </c>
      <c r="C163" s="73">
        <f t="shared" si="83"/>
        <v>0</v>
      </c>
      <c r="D163" s="304" t="str">
        <f t="shared" si="84"/>
        <v>-</v>
      </c>
      <c r="E163" s="73">
        <f t="shared" si="85"/>
        <v>0</v>
      </c>
      <c r="F163" s="304" t="str">
        <f t="shared" si="86"/>
        <v>-</v>
      </c>
      <c r="G163" s="305">
        <f t="shared" si="87"/>
        <v>0</v>
      </c>
      <c r="H163" s="306" t="str">
        <f t="shared" si="88"/>
        <v>-</v>
      </c>
      <c r="I163" s="305">
        <f t="shared" si="89"/>
        <v>0</v>
      </c>
      <c r="J163" s="306" t="str">
        <f t="shared" si="90"/>
        <v>-</v>
      </c>
      <c r="K163" s="305">
        <f t="shared" si="109"/>
        <v>0</v>
      </c>
      <c r="L163" s="306" t="str">
        <f t="shared" si="91"/>
        <v>-</v>
      </c>
      <c r="M163" s="307">
        <f t="shared" si="92"/>
        <v>0</v>
      </c>
      <c r="N163" s="308" t="str">
        <f t="shared" si="93"/>
        <v>-</v>
      </c>
      <c r="O163" s="305">
        <f t="shared" si="94"/>
        <v>0</v>
      </c>
      <c r="P163" s="306" t="str">
        <f t="shared" si="95"/>
        <v>-</v>
      </c>
      <c r="Q163" s="305">
        <f t="shared" si="110"/>
        <v>155011</v>
      </c>
      <c r="R163" s="306">
        <f t="shared" si="96"/>
        <v>0.53249537105423161</v>
      </c>
      <c r="S163" s="305">
        <f t="shared" si="97"/>
        <v>62110</v>
      </c>
      <c r="T163" s="306">
        <f t="shared" si="111"/>
        <v>0.13137494209645725</v>
      </c>
      <c r="U163" s="305">
        <f t="shared" si="98"/>
        <v>41804</v>
      </c>
      <c r="V163" s="306">
        <f t="shared" si="99"/>
        <v>0.12684637885205907</v>
      </c>
      <c r="W163" s="305">
        <f t="shared" si="100"/>
        <v>127640</v>
      </c>
      <c r="X163" s="306">
        <f t="shared" si="101"/>
        <v>0.46788513280694422</v>
      </c>
      <c r="Y163" s="305">
        <f t="shared" si="102"/>
        <v>42070</v>
      </c>
      <c r="Z163" s="306">
        <f t="shared" si="103"/>
        <v>0.72782621302350459</v>
      </c>
      <c r="AA163" s="295"/>
      <c r="AB163" s="296" t="str">
        <f t="shared" si="104"/>
        <v>-</v>
      </c>
      <c r="AC163" s="305">
        <f t="shared" si="105"/>
        <v>0</v>
      </c>
      <c r="AD163" s="306" t="str">
        <f t="shared" si="106"/>
        <v>-</v>
      </c>
      <c r="AE163" s="305">
        <f t="shared" si="107"/>
        <v>0</v>
      </c>
      <c r="AF163" s="306" t="str">
        <f t="shared" si="108"/>
        <v>-</v>
      </c>
      <c r="AG163" s="308"/>
      <c r="AH163" s="169"/>
      <c r="AI163" s="169"/>
      <c r="AJ163" s="169"/>
      <c r="AK163" s="5"/>
      <c r="AL163" s="43"/>
      <c r="AM163" s="43"/>
      <c r="AN163" s="284"/>
    </row>
    <row r="164" spans="1:40" s="28" customFormat="1" ht="16.2" outlineLevel="1" thickBot="1">
      <c r="A164" s="1398"/>
      <c r="B164" s="112"/>
      <c r="C164" s="309">
        <f t="shared" ref="C164:R164" si="112">SUM(C156:C163)</f>
        <v>110</v>
      </c>
      <c r="D164" s="310">
        <f t="shared" si="112"/>
        <v>1</v>
      </c>
      <c r="E164" s="309">
        <f t="shared" si="112"/>
        <v>1</v>
      </c>
      <c r="F164" s="310">
        <f t="shared" si="112"/>
        <v>1</v>
      </c>
      <c r="G164" s="311">
        <f t="shared" si="112"/>
        <v>19497460</v>
      </c>
      <c r="H164" s="113">
        <f t="shared" si="112"/>
        <v>1</v>
      </c>
      <c r="I164" s="311">
        <f t="shared" si="112"/>
        <v>974873</v>
      </c>
      <c r="J164" s="113">
        <f t="shared" si="112"/>
        <v>1</v>
      </c>
      <c r="K164" s="311">
        <f t="shared" si="112"/>
        <v>58117</v>
      </c>
      <c r="L164" s="113">
        <f t="shared" si="112"/>
        <v>1</v>
      </c>
      <c r="M164" s="311">
        <f t="shared" si="112"/>
        <v>193001</v>
      </c>
      <c r="N164" s="113">
        <f t="shared" si="112"/>
        <v>1</v>
      </c>
      <c r="O164" s="311">
        <f t="shared" si="112"/>
        <v>289502</v>
      </c>
      <c r="P164" s="113">
        <f t="shared" si="112"/>
        <v>1</v>
      </c>
      <c r="Q164" s="311">
        <f t="shared" si="112"/>
        <v>291103</v>
      </c>
      <c r="R164" s="113">
        <f t="shared" si="112"/>
        <v>1</v>
      </c>
      <c r="S164" s="311">
        <f t="shared" ref="S164:X164" si="113">SUM(S156:S163)</f>
        <v>472769</v>
      </c>
      <c r="T164" s="113">
        <f t="shared" si="113"/>
        <v>1</v>
      </c>
      <c r="U164" s="311">
        <f t="shared" si="113"/>
        <v>329564</v>
      </c>
      <c r="V164" s="113">
        <f t="shared" si="113"/>
        <v>1</v>
      </c>
      <c r="W164" s="311">
        <f t="shared" si="113"/>
        <v>272802</v>
      </c>
      <c r="X164" s="113">
        <f t="shared" si="113"/>
        <v>1</v>
      </c>
      <c r="Y164" s="311">
        <f t="shared" ref="Y164:Z164" si="114">SUM(Y156:Y163)</f>
        <v>57802.26</v>
      </c>
      <c r="Z164" s="113">
        <f t="shared" si="114"/>
        <v>1</v>
      </c>
      <c r="AA164" s="297">
        <f t="shared" ref="AA164:AB164" si="115">SUM(AA156:AA163)</f>
        <v>0</v>
      </c>
      <c r="AB164" s="298">
        <f t="shared" si="115"/>
        <v>0</v>
      </c>
      <c r="AC164" s="311">
        <f>SUM(AC156:AC163)</f>
        <v>58117</v>
      </c>
      <c r="AD164" s="113">
        <f>SUM(AD156:AD163)</f>
        <v>1</v>
      </c>
      <c r="AE164" s="311">
        <f t="shared" ref="AE164:AF164" si="116">SUM(AE156:AE163)</f>
        <v>0</v>
      </c>
      <c r="AF164" s="113">
        <f t="shared" si="116"/>
        <v>0</v>
      </c>
      <c r="AG164" s="213"/>
      <c r="AH164" s="169"/>
      <c r="AI164" s="169"/>
      <c r="AJ164" s="169"/>
      <c r="AK164" s="5"/>
      <c r="AL164" s="43"/>
      <c r="AM164" s="43"/>
      <c r="AN164" s="284"/>
    </row>
    <row r="165" spans="1:40" s="28" customFormat="1" ht="15.75" customHeight="1" outlineLevel="1">
      <c r="A165" s="1399" t="s">
        <v>140</v>
      </c>
      <c r="B165" s="72" t="s">
        <v>12</v>
      </c>
      <c r="C165" s="300">
        <f t="shared" ref="C165:C172" si="117">SUMPRODUCT((RO_2014=B165)*(Phase2014&lt;&gt;"fin")*(Prog2014))</f>
        <v>21</v>
      </c>
      <c r="D165" s="301">
        <f t="shared" ref="D165:D172" si="118">IF(C165=0,"-",C165/$C$173)</f>
        <v>1</v>
      </c>
      <c r="E165" s="300">
        <f t="shared" ref="E165:E171" si="119">SUMPRODUCT((RO_2014=B165)*(Phase2014&lt;&gt;"fin"))</f>
        <v>1</v>
      </c>
      <c r="F165" s="301">
        <f t="shared" ref="F165:F172" si="120">IF(E165=0,"-",E165/$E$173)</f>
        <v>1</v>
      </c>
      <c r="G165" s="302">
        <f t="shared" ref="G165:G172" si="121">SUMPRODUCT((RO_2014=B165)*(Phase2014&lt;&gt;"fin")*(Bdgt2014))</f>
        <v>3865132</v>
      </c>
      <c r="H165" s="303">
        <f t="shared" ref="H165:H172" si="122">IF(G165=0,"-",G165/$G$173)</f>
        <v>1</v>
      </c>
      <c r="I165" s="302">
        <f t="shared" ref="I165:I172" si="123">SUMPRODUCT((RO_2014=B165)*(Phase2014&lt;&gt;"fin")*(Rem_2014))</f>
        <v>193256.6</v>
      </c>
      <c r="J165" s="303">
        <f t="shared" ref="J165:J172" si="124">IF(I165=0,"-",I165/$I$173)</f>
        <v>1</v>
      </c>
      <c r="K165" s="302">
        <f t="shared" ref="K165:K172" si="125">SUMPRODUCT((RO_2014=B165)*(Phase2014&lt;&gt;"fin")*(RemRest2014))</f>
        <v>9662.6000000000058</v>
      </c>
      <c r="L165" s="303">
        <f t="shared" ref="L165:L172" si="126">IF(K165=0,"-",K165/$K$173)</f>
        <v>1</v>
      </c>
      <c r="M165" s="897">
        <f t="shared" ref="M165:M172" si="127">SUMPRODUCT((RO_2014=B165)*(Phase2014&lt;&gt;"fin")*(Rem2014en2012))</f>
        <v>0</v>
      </c>
      <c r="N165" s="898" t="str">
        <f t="shared" ref="N165:N172" si="128">IF(M165=0,"-",M165/$M$173)</f>
        <v>-</v>
      </c>
      <c r="O165" s="897">
        <f t="shared" ref="O165:O172" si="129">SUMPRODUCT((RO_2014=B165)*(Phase2014&lt;&gt;"fin")*(Rem2014en2013))</f>
        <v>0</v>
      </c>
      <c r="P165" s="898" t="str">
        <f t="shared" ref="P165:P172" si="130">IF(O165=0,"-",O165/$O$173)</f>
        <v>-</v>
      </c>
      <c r="Q165" s="302">
        <f>SUMPRODUCT((RO_2014=B165)*(Rem2014en2014))</f>
        <v>117497</v>
      </c>
      <c r="R165" s="303">
        <f t="shared" ref="R165:R172" si="131">IF(Q165=0,"-",Q165/$Q$173)</f>
        <v>0.52626227790045099</v>
      </c>
      <c r="S165" s="302">
        <f t="shared" ref="S165:S172" si="132">SUMPRODUCT((RO_2014=B165)*(Rem2014en2015))</f>
        <v>0</v>
      </c>
      <c r="T165" s="303" t="str">
        <f>IF(S165=0,"-",S165/$S$173)</f>
        <v>-</v>
      </c>
      <c r="U165" s="302">
        <f t="shared" ref="U165:U172" si="133">SUMPRODUCT((RO_2014=B165)*(Rem2014en2016))</f>
        <v>28342</v>
      </c>
      <c r="V165" s="303">
        <f t="shared" ref="V165:V172" si="134">IF(U165=0,"-",U165/$U$173)</f>
        <v>0.16522360288827673</v>
      </c>
      <c r="W165" s="302">
        <f t="shared" ref="W165:W172" si="135">SUMPRODUCT((RO_2014=B165)*(Rem2014en2017))</f>
        <v>76286</v>
      </c>
      <c r="X165" s="303">
        <f t="shared" ref="X165:X172" si="136">IF(W165=0,"-",W165/$W$173)</f>
        <v>0.38379673473990572</v>
      </c>
      <c r="Y165" s="302">
        <f t="shared" ref="Y165:Y172" si="137">SUMPRODUCT((RO_2014=B165)*(Rem2014en2018))</f>
        <v>89437</v>
      </c>
      <c r="Z165" s="303">
        <f t="shared" ref="Z165:Z172" si="138">IF(Y165=0,"-",Y165/$Y$173)</f>
        <v>0.72955301512325144</v>
      </c>
      <c r="AA165" s="302">
        <f t="shared" ref="AA165:AA172" si="139">SUMPRODUCT((RO_2014=B165)*(Rem2014en2019))</f>
        <v>23331</v>
      </c>
      <c r="AB165" s="303">
        <f t="shared" ref="AB165:AB172" si="140">IF(AA165=0,"-",AA165/$Y$173)</f>
        <v>0.1903149859212695</v>
      </c>
      <c r="AC165" s="302">
        <f t="shared" ref="AC165:AC172" si="141">SUMPRODUCT((RO_2014=B165)*(Rem2014Preven2020))</f>
        <v>9662.83</v>
      </c>
      <c r="AD165" s="303">
        <f t="shared" ref="AD165:AD172" si="142">IF(AC165=0,"-",AC165/$AC$173)</f>
        <v>1</v>
      </c>
      <c r="AE165" s="302">
        <f t="shared" ref="AE165:AE172" si="143">SUMPRODUCT((RO_2014=B165)*(Rem2014en2020))</f>
        <v>0</v>
      </c>
      <c r="AF165" s="303" t="str">
        <f t="shared" ref="AF165:AF172" si="144">IF(AE165=0,"-",AE165/$Y$173)</f>
        <v>-</v>
      </c>
      <c r="AG165" s="308"/>
      <c r="AH165" s="169"/>
      <c r="AI165" s="169"/>
      <c r="AJ165" s="169"/>
      <c r="AK165" s="5"/>
      <c r="AL165" s="43"/>
      <c r="AM165" s="43"/>
      <c r="AN165" s="284"/>
    </row>
    <row r="166" spans="1:40" s="28" customFormat="1" outlineLevel="1">
      <c r="A166" s="1399"/>
      <c r="B166" s="73" t="s">
        <v>31</v>
      </c>
      <c r="C166" s="73">
        <f t="shared" si="117"/>
        <v>0</v>
      </c>
      <c r="D166" s="304" t="str">
        <f t="shared" si="118"/>
        <v>-</v>
      </c>
      <c r="E166" s="73">
        <f t="shared" si="119"/>
        <v>0</v>
      </c>
      <c r="F166" s="304" t="str">
        <f t="shared" si="120"/>
        <v>-</v>
      </c>
      <c r="G166" s="305">
        <f t="shared" si="121"/>
        <v>0</v>
      </c>
      <c r="H166" s="306" t="str">
        <f t="shared" si="122"/>
        <v>-</v>
      </c>
      <c r="I166" s="305">
        <f t="shared" si="123"/>
        <v>0</v>
      </c>
      <c r="J166" s="306" t="str">
        <f t="shared" si="124"/>
        <v>-</v>
      </c>
      <c r="K166" s="305">
        <f t="shared" si="125"/>
        <v>0</v>
      </c>
      <c r="L166" s="306" t="str">
        <f t="shared" si="126"/>
        <v>-</v>
      </c>
      <c r="M166" s="903">
        <f t="shared" si="127"/>
        <v>0</v>
      </c>
      <c r="N166" s="904" t="str">
        <f t="shared" si="128"/>
        <v>-</v>
      </c>
      <c r="O166" s="901">
        <f t="shared" si="129"/>
        <v>0</v>
      </c>
      <c r="P166" s="902" t="str">
        <f t="shared" si="130"/>
        <v>-</v>
      </c>
      <c r="Q166" s="305">
        <f t="shared" ref="Q166:Q172" si="145">SUMPRODUCT((RO_2014=B166)*(Rem2014en2014))</f>
        <v>0</v>
      </c>
      <c r="R166" s="306" t="str">
        <f t="shared" si="131"/>
        <v>-</v>
      </c>
      <c r="S166" s="305">
        <f t="shared" si="132"/>
        <v>0</v>
      </c>
      <c r="T166" s="306" t="str">
        <f t="shared" ref="T166:T172" si="146">IF(S166=0,"-",S166/$S$173)</f>
        <v>-</v>
      </c>
      <c r="U166" s="305">
        <f t="shared" si="133"/>
        <v>0</v>
      </c>
      <c r="V166" s="306" t="str">
        <f t="shared" si="134"/>
        <v>-</v>
      </c>
      <c r="W166" s="305">
        <f t="shared" si="135"/>
        <v>0</v>
      </c>
      <c r="X166" s="306" t="str">
        <f t="shared" si="136"/>
        <v>-</v>
      </c>
      <c r="Y166" s="305">
        <f t="shared" si="137"/>
        <v>0</v>
      </c>
      <c r="Z166" s="306" t="str">
        <f t="shared" si="138"/>
        <v>-</v>
      </c>
      <c r="AA166" s="305">
        <f t="shared" si="139"/>
        <v>0</v>
      </c>
      <c r="AB166" s="306" t="str">
        <f t="shared" si="140"/>
        <v>-</v>
      </c>
      <c r="AC166" s="305">
        <f t="shared" si="141"/>
        <v>0</v>
      </c>
      <c r="AD166" s="306" t="str">
        <f t="shared" si="142"/>
        <v>-</v>
      </c>
      <c r="AE166" s="305">
        <f t="shared" si="143"/>
        <v>0</v>
      </c>
      <c r="AF166" s="306" t="str">
        <f t="shared" si="144"/>
        <v>-</v>
      </c>
      <c r="AG166" s="308"/>
      <c r="AH166" s="169"/>
      <c r="AI166" s="169"/>
      <c r="AJ166" s="169"/>
      <c r="AK166" s="5"/>
      <c r="AL166" s="43"/>
      <c r="AM166" s="43"/>
      <c r="AN166" s="284"/>
    </row>
    <row r="167" spans="1:40" s="28" customFormat="1" outlineLevel="1">
      <c r="A167" s="1399"/>
      <c r="B167" s="180" t="s">
        <v>15</v>
      </c>
      <c r="C167" s="73">
        <f t="shared" si="117"/>
        <v>0</v>
      </c>
      <c r="D167" s="304" t="str">
        <f t="shared" si="118"/>
        <v>-</v>
      </c>
      <c r="E167" s="73">
        <f t="shared" si="119"/>
        <v>0</v>
      </c>
      <c r="F167" s="304" t="str">
        <f t="shared" si="120"/>
        <v>-</v>
      </c>
      <c r="G167" s="305">
        <f t="shared" si="121"/>
        <v>0</v>
      </c>
      <c r="H167" s="306" t="str">
        <f t="shared" si="122"/>
        <v>-</v>
      </c>
      <c r="I167" s="305">
        <f t="shared" si="123"/>
        <v>0</v>
      </c>
      <c r="J167" s="306" t="str">
        <f t="shared" si="124"/>
        <v>-</v>
      </c>
      <c r="K167" s="305">
        <f t="shared" si="125"/>
        <v>0</v>
      </c>
      <c r="L167" s="306" t="str">
        <f t="shared" si="126"/>
        <v>-</v>
      </c>
      <c r="M167" s="903">
        <f t="shared" si="127"/>
        <v>0</v>
      </c>
      <c r="N167" s="904" t="str">
        <f t="shared" si="128"/>
        <v>-</v>
      </c>
      <c r="O167" s="901">
        <f t="shared" si="129"/>
        <v>0</v>
      </c>
      <c r="P167" s="902" t="str">
        <f t="shared" si="130"/>
        <v>-</v>
      </c>
      <c r="Q167" s="305">
        <f t="shared" si="145"/>
        <v>0</v>
      </c>
      <c r="R167" s="306" t="str">
        <f t="shared" si="131"/>
        <v>-</v>
      </c>
      <c r="S167" s="305">
        <f t="shared" si="132"/>
        <v>0</v>
      </c>
      <c r="T167" s="306" t="str">
        <f t="shared" si="146"/>
        <v>-</v>
      </c>
      <c r="U167" s="305">
        <f t="shared" si="133"/>
        <v>0</v>
      </c>
      <c r="V167" s="306" t="str">
        <f t="shared" si="134"/>
        <v>-</v>
      </c>
      <c r="W167" s="305">
        <f t="shared" si="135"/>
        <v>0</v>
      </c>
      <c r="X167" s="306" t="str">
        <f t="shared" si="136"/>
        <v>-</v>
      </c>
      <c r="Y167" s="305">
        <f t="shared" si="137"/>
        <v>0</v>
      </c>
      <c r="Z167" s="306" t="str">
        <f t="shared" si="138"/>
        <v>-</v>
      </c>
      <c r="AA167" s="305">
        <f t="shared" si="139"/>
        <v>0</v>
      </c>
      <c r="AB167" s="306" t="str">
        <f t="shared" si="140"/>
        <v>-</v>
      </c>
      <c r="AC167" s="305">
        <f t="shared" si="141"/>
        <v>0</v>
      </c>
      <c r="AD167" s="306" t="str">
        <f t="shared" si="142"/>
        <v>-</v>
      </c>
      <c r="AE167" s="305">
        <f t="shared" si="143"/>
        <v>0</v>
      </c>
      <c r="AF167" s="306" t="str">
        <f t="shared" si="144"/>
        <v>-</v>
      </c>
      <c r="AG167" s="308"/>
      <c r="AH167" s="169"/>
      <c r="AI167" s="169"/>
      <c r="AJ167" s="169"/>
      <c r="AK167" s="5"/>
      <c r="AL167" s="43"/>
      <c r="AM167" s="43"/>
      <c r="AN167" s="284"/>
    </row>
    <row r="168" spans="1:40" s="28" customFormat="1" outlineLevel="1">
      <c r="A168" s="1399"/>
      <c r="B168" s="75" t="s">
        <v>213</v>
      </c>
      <c r="C168" s="73">
        <f t="shared" si="117"/>
        <v>0</v>
      </c>
      <c r="D168" s="304" t="str">
        <f t="shared" si="118"/>
        <v>-</v>
      </c>
      <c r="E168" s="73">
        <f t="shared" si="119"/>
        <v>0</v>
      </c>
      <c r="F168" s="304" t="str">
        <f t="shared" si="120"/>
        <v>-</v>
      </c>
      <c r="G168" s="305">
        <f t="shared" si="121"/>
        <v>0</v>
      </c>
      <c r="H168" s="306" t="str">
        <f t="shared" si="122"/>
        <v>-</v>
      </c>
      <c r="I168" s="305">
        <f t="shared" si="123"/>
        <v>0</v>
      </c>
      <c r="J168" s="306" t="str">
        <f t="shared" si="124"/>
        <v>-</v>
      </c>
      <c r="K168" s="305">
        <f t="shared" si="125"/>
        <v>0</v>
      </c>
      <c r="L168" s="306" t="str">
        <f t="shared" si="126"/>
        <v>-</v>
      </c>
      <c r="M168" s="903">
        <f t="shared" si="127"/>
        <v>0</v>
      </c>
      <c r="N168" s="904" t="str">
        <f t="shared" si="128"/>
        <v>-</v>
      </c>
      <c r="O168" s="901">
        <f t="shared" si="129"/>
        <v>0</v>
      </c>
      <c r="P168" s="902" t="str">
        <f t="shared" si="130"/>
        <v>-</v>
      </c>
      <c r="Q168" s="305">
        <f t="shared" si="145"/>
        <v>36172</v>
      </c>
      <c r="R168" s="306">
        <f t="shared" si="131"/>
        <v>0.16201229917542673</v>
      </c>
      <c r="S168" s="305">
        <f t="shared" si="132"/>
        <v>0</v>
      </c>
      <c r="T168" s="306" t="str">
        <f t="shared" si="146"/>
        <v>-</v>
      </c>
      <c r="U168" s="305">
        <f t="shared" si="133"/>
        <v>23150</v>
      </c>
      <c r="V168" s="306">
        <f t="shared" si="134"/>
        <v>0.1349561218990758</v>
      </c>
      <c r="W168" s="305">
        <f t="shared" si="135"/>
        <v>15909</v>
      </c>
      <c r="X168" s="306">
        <f t="shared" si="136"/>
        <v>8.0038568714799058E-2</v>
      </c>
      <c r="Y168" s="305">
        <f t="shared" si="137"/>
        <v>6667.88</v>
      </c>
      <c r="Z168" s="306">
        <f t="shared" si="138"/>
        <v>5.4391045747062466E-2</v>
      </c>
      <c r="AA168" s="305">
        <f t="shared" si="139"/>
        <v>0</v>
      </c>
      <c r="AB168" s="306" t="str">
        <f t="shared" si="140"/>
        <v>-</v>
      </c>
      <c r="AC168" s="305">
        <f t="shared" si="141"/>
        <v>0</v>
      </c>
      <c r="AD168" s="306" t="str">
        <f t="shared" si="142"/>
        <v>-</v>
      </c>
      <c r="AE168" s="305">
        <f t="shared" si="143"/>
        <v>0</v>
      </c>
      <c r="AF168" s="306" t="str">
        <f t="shared" si="144"/>
        <v>-</v>
      </c>
      <c r="AG168" s="308"/>
      <c r="AH168" s="169"/>
      <c r="AI168" s="169"/>
      <c r="AJ168" s="169"/>
      <c r="AK168" s="5"/>
      <c r="AL168" s="43"/>
      <c r="AM168" s="43"/>
      <c r="AN168" s="284"/>
    </row>
    <row r="169" spans="1:40" s="28" customFormat="1" outlineLevel="1">
      <c r="A169" s="1399"/>
      <c r="B169" s="76" t="s">
        <v>229</v>
      </c>
      <c r="C169" s="73">
        <f t="shared" si="117"/>
        <v>0</v>
      </c>
      <c r="D169" s="304" t="str">
        <f t="shared" si="118"/>
        <v>-</v>
      </c>
      <c r="E169" s="73">
        <f t="shared" si="119"/>
        <v>0</v>
      </c>
      <c r="F169" s="304" t="str">
        <f t="shared" si="120"/>
        <v>-</v>
      </c>
      <c r="G169" s="305">
        <f t="shared" si="121"/>
        <v>0</v>
      </c>
      <c r="H169" s="306" t="str">
        <f t="shared" si="122"/>
        <v>-</v>
      </c>
      <c r="I169" s="305">
        <f t="shared" si="123"/>
        <v>0</v>
      </c>
      <c r="J169" s="306" t="str">
        <f t="shared" si="124"/>
        <v>-</v>
      </c>
      <c r="K169" s="305">
        <f t="shared" si="125"/>
        <v>0</v>
      </c>
      <c r="L169" s="306" t="str">
        <f t="shared" si="126"/>
        <v>-</v>
      </c>
      <c r="M169" s="903">
        <f t="shared" si="127"/>
        <v>0</v>
      </c>
      <c r="N169" s="904" t="str">
        <f t="shared" si="128"/>
        <v>-</v>
      </c>
      <c r="O169" s="901">
        <f t="shared" si="129"/>
        <v>0</v>
      </c>
      <c r="P169" s="902" t="str">
        <f t="shared" si="130"/>
        <v>-</v>
      </c>
      <c r="Q169" s="305">
        <f t="shared" si="145"/>
        <v>0</v>
      </c>
      <c r="R169" s="306" t="str">
        <f t="shared" si="131"/>
        <v>-</v>
      </c>
      <c r="S169" s="305">
        <f t="shared" si="132"/>
        <v>0</v>
      </c>
      <c r="T169" s="306" t="str">
        <f t="shared" si="146"/>
        <v>-</v>
      </c>
      <c r="U169" s="305">
        <f t="shared" si="133"/>
        <v>0</v>
      </c>
      <c r="V169" s="306" t="str">
        <f t="shared" si="134"/>
        <v>-</v>
      </c>
      <c r="W169" s="305">
        <f t="shared" si="135"/>
        <v>0</v>
      </c>
      <c r="X169" s="306" t="str">
        <f t="shared" si="136"/>
        <v>-</v>
      </c>
      <c r="Y169" s="305">
        <f t="shared" si="137"/>
        <v>0</v>
      </c>
      <c r="Z169" s="306" t="str">
        <f t="shared" si="138"/>
        <v>-</v>
      </c>
      <c r="AA169" s="305">
        <f t="shared" si="139"/>
        <v>0</v>
      </c>
      <c r="AB169" s="306" t="str">
        <f t="shared" si="140"/>
        <v>-</v>
      </c>
      <c r="AC169" s="305">
        <f t="shared" si="141"/>
        <v>0</v>
      </c>
      <c r="AD169" s="306" t="str">
        <f t="shared" si="142"/>
        <v>-</v>
      </c>
      <c r="AE169" s="305">
        <f t="shared" si="143"/>
        <v>0</v>
      </c>
      <c r="AF169" s="306" t="str">
        <f t="shared" si="144"/>
        <v>-</v>
      </c>
      <c r="AG169" s="308"/>
      <c r="AH169" s="169"/>
      <c r="AI169" s="169"/>
      <c r="AJ169" s="169"/>
      <c r="AK169" s="5"/>
      <c r="AL169" s="43"/>
      <c r="AM169" s="43"/>
      <c r="AN169" s="284"/>
    </row>
    <row r="170" spans="1:40" s="28" customFormat="1" outlineLevel="1">
      <c r="A170" s="1399"/>
      <c r="B170" s="181" t="s">
        <v>214</v>
      </c>
      <c r="C170" s="73">
        <f>SUMPRODUCT((RO_2014=B170)*(Phase2014&lt;&gt;"fin")*(Prog2014))</f>
        <v>0</v>
      </c>
      <c r="D170" s="304" t="str">
        <f t="shared" si="118"/>
        <v>-</v>
      </c>
      <c r="E170" s="73">
        <f>SUMPRODUCT((RO_2014=B170)*(Phase2014&lt;&gt;"fin"))</f>
        <v>0</v>
      </c>
      <c r="F170" s="304" t="str">
        <f t="shared" si="120"/>
        <v>-</v>
      </c>
      <c r="G170" s="305">
        <f>SUMPRODUCT((RO_2014=B170)*(Phase2014&lt;&gt;"fin")*(Bdgt2014))</f>
        <v>0</v>
      </c>
      <c r="H170" s="306" t="str">
        <f t="shared" si="122"/>
        <v>-</v>
      </c>
      <c r="I170" s="305">
        <f>SUMPRODUCT((RO_2014=B170)*(Phase2014&lt;&gt;"fin")*(Rem_2014))</f>
        <v>0</v>
      </c>
      <c r="J170" s="306" t="str">
        <f t="shared" si="124"/>
        <v>-</v>
      </c>
      <c r="K170" s="305">
        <f>SUMPRODUCT((RO_2014=B170)*(Phase2014&lt;&gt;"fin")*(RemRest2014))</f>
        <v>0</v>
      </c>
      <c r="L170" s="306" t="str">
        <f t="shared" si="126"/>
        <v>-</v>
      </c>
      <c r="M170" s="903">
        <f t="shared" si="127"/>
        <v>0</v>
      </c>
      <c r="N170" s="904" t="str">
        <f t="shared" si="128"/>
        <v>-</v>
      </c>
      <c r="O170" s="901">
        <f t="shared" si="129"/>
        <v>0</v>
      </c>
      <c r="P170" s="902" t="str">
        <f t="shared" si="130"/>
        <v>-</v>
      </c>
      <c r="Q170" s="305">
        <f t="shared" si="145"/>
        <v>0</v>
      </c>
      <c r="R170" s="306" t="str">
        <f t="shared" si="131"/>
        <v>-</v>
      </c>
      <c r="S170" s="305">
        <f t="shared" si="132"/>
        <v>0</v>
      </c>
      <c r="T170" s="306" t="str">
        <f t="shared" si="146"/>
        <v>-</v>
      </c>
      <c r="U170" s="305">
        <f t="shared" si="133"/>
        <v>0</v>
      </c>
      <c r="V170" s="306" t="str">
        <f t="shared" si="134"/>
        <v>-</v>
      </c>
      <c r="W170" s="305">
        <f t="shared" si="135"/>
        <v>0</v>
      </c>
      <c r="X170" s="306" t="str">
        <f t="shared" si="136"/>
        <v>-</v>
      </c>
      <c r="Y170" s="305">
        <f t="shared" si="137"/>
        <v>0</v>
      </c>
      <c r="Z170" s="306" t="str">
        <f t="shared" si="138"/>
        <v>-</v>
      </c>
      <c r="AA170" s="305">
        <f t="shared" si="139"/>
        <v>0</v>
      </c>
      <c r="AB170" s="306" t="str">
        <f t="shared" si="140"/>
        <v>-</v>
      </c>
      <c r="AC170" s="305">
        <f t="shared" si="141"/>
        <v>0</v>
      </c>
      <c r="AD170" s="306" t="str">
        <f t="shared" si="142"/>
        <v>-</v>
      </c>
      <c r="AE170" s="305">
        <f t="shared" si="143"/>
        <v>0</v>
      </c>
      <c r="AF170" s="306" t="str">
        <f t="shared" si="144"/>
        <v>-</v>
      </c>
      <c r="AG170" s="308"/>
      <c r="AH170" s="169"/>
      <c r="AI170" s="169"/>
      <c r="AJ170" s="169"/>
      <c r="AK170" s="5"/>
      <c r="AL170" s="43"/>
      <c r="AM170" s="43"/>
      <c r="AN170" s="284"/>
    </row>
    <row r="171" spans="1:40" s="28" customFormat="1" outlineLevel="1">
      <c r="A171" s="1399"/>
      <c r="B171" s="156" t="s">
        <v>300</v>
      </c>
      <c r="C171" s="73">
        <f t="shared" si="117"/>
        <v>0</v>
      </c>
      <c r="D171" s="304" t="str">
        <f t="shared" si="118"/>
        <v>-</v>
      </c>
      <c r="E171" s="73">
        <f t="shared" si="119"/>
        <v>0</v>
      </c>
      <c r="F171" s="304" t="str">
        <f t="shared" si="120"/>
        <v>-</v>
      </c>
      <c r="G171" s="305">
        <f t="shared" si="121"/>
        <v>0</v>
      </c>
      <c r="H171" s="306" t="str">
        <f t="shared" si="122"/>
        <v>-</v>
      </c>
      <c r="I171" s="305">
        <f t="shared" si="123"/>
        <v>0</v>
      </c>
      <c r="J171" s="306" t="str">
        <f t="shared" si="124"/>
        <v>-</v>
      </c>
      <c r="K171" s="305">
        <f t="shared" si="125"/>
        <v>0</v>
      </c>
      <c r="L171" s="306" t="str">
        <f t="shared" si="126"/>
        <v>-</v>
      </c>
      <c r="M171" s="903">
        <f t="shared" si="127"/>
        <v>0</v>
      </c>
      <c r="N171" s="904" t="str">
        <f t="shared" si="128"/>
        <v>-</v>
      </c>
      <c r="O171" s="901">
        <f t="shared" si="129"/>
        <v>0</v>
      </c>
      <c r="P171" s="902" t="str">
        <f t="shared" si="130"/>
        <v>-</v>
      </c>
      <c r="Q171" s="305">
        <f t="shared" si="145"/>
        <v>0</v>
      </c>
      <c r="R171" s="306" t="str">
        <f t="shared" si="131"/>
        <v>-</v>
      </c>
      <c r="S171" s="305">
        <f t="shared" si="132"/>
        <v>0</v>
      </c>
      <c r="T171" s="306" t="str">
        <f t="shared" si="146"/>
        <v>-</v>
      </c>
      <c r="U171" s="305">
        <f t="shared" si="133"/>
        <v>0</v>
      </c>
      <c r="V171" s="306" t="str">
        <f t="shared" si="134"/>
        <v>-</v>
      </c>
      <c r="W171" s="305">
        <f t="shared" si="135"/>
        <v>0</v>
      </c>
      <c r="X171" s="306" t="str">
        <f t="shared" si="136"/>
        <v>-</v>
      </c>
      <c r="Y171" s="305">
        <f t="shared" si="137"/>
        <v>0</v>
      </c>
      <c r="Z171" s="306" t="str">
        <f t="shared" si="138"/>
        <v>-</v>
      </c>
      <c r="AA171" s="305">
        <f t="shared" si="139"/>
        <v>0</v>
      </c>
      <c r="AB171" s="306" t="str">
        <f t="shared" si="140"/>
        <v>-</v>
      </c>
      <c r="AC171" s="305">
        <f t="shared" si="141"/>
        <v>0</v>
      </c>
      <c r="AD171" s="306" t="str">
        <f t="shared" si="142"/>
        <v>-</v>
      </c>
      <c r="AE171" s="305">
        <f t="shared" si="143"/>
        <v>0</v>
      </c>
      <c r="AF171" s="306" t="str">
        <f t="shared" si="144"/>
        <v>-</v>
      </c>
      <c r="AG171" s="308"/>
      <c r="AH171" s="169"/>
      <c r="AI171" s="169"/>
      <c r="AJ171" s="169"/>
      <c r="AK171" s="5"/>
      <c r="AL171" s="43"/>
      <c r="AM171" s="43"/>
      <c r="AN171" s="284"/>
    </row>
    <row r="172" spans="1:40" s="28" customFormat="1" ht="16.2" outlineLevel="1" thickBot="1">
      <c r="A172" s="1399"/>
      <c r="B172" s="78" t="s">
        <v>104</v>
      </c>
      <c r="C172" s="73">
        <f t="shared" si="117"/>
        <v>0</v>
      </c>
      <c r="D172" s="304" t="str">
        <f t="shared" si="118"/>
        <v>-</v>
      </c>
      <c r="E172" s="73">
        <f>SUMPRODUCT((RO_2014=B172)*(Phase2014&lt;&gt;"fin"))</f>
        <v>0</v>
      </c>
      <c r="F172" s="304" t="str">
        <f t="shared" si="120"/>
        <v>-</v>
      </c>
      <c r="G172" s="305">
        <f t="shared" si="121"/>
        <v>0</v>
      </c>
      <c r="H172" s="306" t="str">
        <f t="shared" si="122"/>
        <v>-</v>
      </c>
      <c r="I172" s="305">
        <f t="shared" si="123"/>
        <v>0</v>
      </c>
      <c r="J172" s="306" t="str">
        <f t="shared" si="124"/>
        <v>-</v>
      </c>
      <c r="K172" s="305">
        <f t="shared" si="125"/>
        <v>0</v>
      </c>
      <c r="L172" s="306" t="str">
        <f t="shared" si="126"/>
        <v>-</v>
      </c>
      <c r="M172" s="903">
        <f t="shared" si="127"/>
        <v>0</v>
      </c>
      <c r="N172" s="904" t="str">
        <f t="shared" si="128"/>
        <v>-</v>
      </c>
      <c r="O172" s="901">
        <f t="shared" si="129"/>
        <v>0</v>
      </c>
      <c r="P172" s="902" t="str">
        <f t="shared" si="130"/>
        <v>-</v>
      </c>
      <c r="Q172" s="305">
        <f t="shared" si="145"/>
        <v>69598</v>
      </c>
      <c r="R172" s="306">
        <f t="shared" si="131"/>
        <v>0.31172542292412225</v>
      </c>
      <c r="S172" s="305">
        <f t="shared" si="132"/>
        <v>185130.15668202765</v>
      </c>
      <c r="T172" s="306">
        <f t="shared" si="146"/>
        <v>1</v>
      </c>
      <c r="U172" s="305">
        <f t="shared" si="133"/>
        <v>120045.23502304147</v>
      </c>
      <c r="V172" s="306">
        <f t="shared" si="134"/>
        <v>0.69982027521264745</v>
      </c>
      <c r="W172" s="305">
        <f t="shared" si="135"/>
        <v>106571.67281105992</v>
      </c>
      <c r="X172" s="306">
        <f t="shared" si="136"/>
        <v>0.53616469654529519</v>
      </c>
      <c r="Y172" s="305">
        <f t="shared" si="137"/>
        <v>26486.622119815671</v>
      </c>
      <c r="Z172" s="306">
        <f t="shared" si="138"/>
        <v>0.21605593912968601</v>
      </c>
      <c r="AA172" s="305">
        <f t="shared" si="139"/>
        <v>3702.5990783410143</v>
      </c>
      <c r="AB172" s="306">
        <f t="shared" si="140"/>
        <v>3.0202738479558337E-2</v>
      </c>
      <c r="AC172" s="305">
        <f t="shared" si="141"/>
        <v>0</v>
      </c>
      <c r="AD172" s="306" t="str">
        <f t="shared" si="142"/>
        <v>-</v>
      </c>
      <c r="AE172" s="305">
        <f t="shared" si="143"/>
        <v>0</v>
      </c>
      <c r="AF172" s="306" t="str">
        <f t="shared" si="144"/>
        <v>-</v>
      </c>
      <c r="AG172" s="308"/>
      <c r="AH172" s="169"/>
      <c r="AI172" s="169"/>
      <c r="AJ172" s="169"/>
      <c r="AK172" s="5"/>
      <c r="AL172" s="43"/>
      <c r="AM172" s="43"/>
      <c r="AN172" s="284"/>
    </row>
    <row r="173" spans="1:40" s="28" customFormat="1" ht="16.2" outlineLevel="1" thickBot="1">
      <c r="A173" s="1399"/>
      <c r="B173" s="112"/>
      <c r="C173" s="309">
        <f t="shared" ref="C173:V173" si="147">SUM(C165:C172)</f>
        <v>21</v>
      </c>
      <c r="D173" s="310">
        <f t="shared" si="147"/>
        <v>1</v>
      </c>
      <c r="E173" s="309">
        <f t="shared" si="147"/>
        <v>1</v>
      </c>
      <c r="F173" s="310">
        <f t="shared" si="147"/>
        <v>1</v>
      </c>
      <c r="G173" s="311">
        <f t="shared" si="147"/>
        <v>3865132</v>
      </c>
      <c r="H173" s="113">
        <f t="shared" si="147"/>
        <v>1</v>
      </c>
      <c r="I173" s="311">
        <f t="shared" si="147"/>
        <v>193256.6</v>
      </c>
      <c r="J173" s="113">
        <f t="shared" si="147"/>
        <v>1</v>
      </c>
      <c r="K173" s="311">
        <f t="shared" si="147"/>
        <v>9662.6000000000058</v>
      </c>
      <c r="L173" s="113">
        <f t="shared" si="147"/>
        <v>1</v>
      </c>
      <c r="M173" s="905">
        <f t="shared" si="147"/>
        <v>0</v>
      </c>
      <c r="N173" s="906">
        <f t="shared" si="147"/>
        <v>0</v>
      </c>
      <c r="O173" s="905">
        <f t="shared" si="147"/>
        <v>0</v>
      </c>
      <c r="P173" s="906">
        <f t="shared" si="147"/>
        <v>0</v>
      </c>
      <c r="Q173" s="311">
        <f t="shared" si="147"/>
        <v>223267</v>
      </c>
      <c r="R173" s="113">
        <f t="shared" si="147"/>
        <v>1</v>
      </c>
      <c r="S173" s="311">
        <f>SUM(S165:S172)</f>
        <v>185130.15668202765</v>
      </c>
      <c r="T173" s="113">
        <f>SUM(T165:T172)</f>
        <v>1</v>
      </c>
      <c r="U173" s="311">
        <f t="shared" si="147"/>
        <v>171537.23502304149</v>
      </c>
      <c r="V173" s="113">
        <f t="shared" si="147"/>
        <v>1</v>
      </c>
      <c r="W173" s="311">
        <f t="shared" ref="W173:Z173" si="148">SUM(W165:W172)</f>
        <v>198766.67281105992</v>
      </c>
      <c r="X173" s="113">
        <f t="shared" si="148"/>
        <v>1</v>
      </c>
      <c r="Y173" s="311">
        <f t="shared" si="148"/>
        <v>122591.50211981568</v>
      </c>
      <c r="Z173" s="113">
        <f t="shared" si="148"/>
        <v>0.99999999999999989</v>
      </c>
      <c r="AA173" s="311">
        <f t="shared" ref="AA173:AB173" si="149">SUM(AA165:AA172)</f>
        <v>27033.599078341016</v>
      </c>
      <c r="AB173" s="113">
        <f t="shared" si="149"/>
        <v>0.22051772440082784</v>
      </c>
      <c r="AC173" s="311">
        <f>SUM(AC165:AC172)</f>
        <v>9662.83</v>
      </c>
      <c r="AD173" s="113">
        <f>SUM(AD165:AD172)</f>
        <v>1</v>
      </c>
      <c r="AE173" s="311">
        <f t="shared" ref="AE173:AF173" si="150">SUM(AE165:AE172)</f>
        <v>0</v>
      </c>
      <c r="AF173" s="113">
        <f t="shared" si="150"/>
        <v>0</v>
      </c>
      <c r="AG173" s="213"/>
      <c r="AH173" s="169"/>
      <c r="AI173" s="169"/>
      <c r="AJ173" s="169"/>
      <c r="AK173" s="5"/>
      <c r="AL173" s="43"/>
      <c r="AM173" s="43"/>
      <c r="AN173" s="284"/>
    </row>
    <row r="174" spans="1:40" s="28" customFormat="1" ht="15.75" customHeight="1" outlineLevel="1">
      <c r="A174" s="1400" t="s">
        <v>141</v>
      </c>
      <c r="B174" s="72" t="s">
        <v>12</v>
      </c>
      <c r="C174" s="300">
        <f t="shared" ref="C174:C180" si="151">SUMPRODUCT((RO_2015=B174)*(Phase2015&lt;&gt;"fin")*(Prog2015))</f>
        <v>74</v>
      </c>
      <c r="D174" s="301">
        <f t="shared" ref="D174:D180" si="152">IF(C174=0,"-",C174/$C$181)</f>
        <v>0.30962343096234307</v>
      </c>
      <c r="E174" s="300">
        <f t="shared" ref="E174:E180" si="153">SUMPRODUCT((RO_2015=B174)*(Phase2015&lt;&gt;"fin"))</f>
        <v>3</v>
      </c>
      <c r="F174" s="301">
        <f t="shared" ref="F174:F180" si="154">IF(E174=0,"-",E174/$E$181)</f>
        <v>0.5</v>
      </c>
      <c r="G174" s="302">
        <f t="shared" ref="G174:G180" si="155">SUMPRODUCT((RO_2015=B174)*(Phase2015&lt;&gt;"fin")*(Bdgt2015))</f>
        <v>9656789.5711599998</v>
      </c>
      <c r="H174" s="303">
        <f t="shared" ref="H174:H180" si="156">IF(G174=0,"-",G174/$G$181)</f>
        <v>0.26445382307727444</v>
      </c>
      <c r="I174" s="302">
        <f t="shared" ref="I174:I180" si="157">SUMPRODUCT((RO_2015=B174)*(Phase2015&lt;&gt;"fin")*(Rem_2015))</f>
        <v>376033.82488479267</v>
      </c>
      <c r="J174" s="303">
        <f t="shared" ref="J174:J180" si="158">IF(I174=0,"-",I174/$I$181)</f>
        <v>0.21889011964886107</v>
      </c>
      <c r="K174" s="302">
        <f t="shared" ref="K174:K180" si="159">SUMPRODUCT((RO_2015=B174)*(Phase2015&lt;&gt;"fin")*(RemRest2015))</f>
        <v>0</v>
      </c>
      <c r="L174" s="303" t="str">
        <f t="shared" ref="L174:L180" si="160">IF(K174=0,"-",K174/$K$181)</f>
        <v>-</v>
      </c>
      <c r="M174" s="302">
        <f t="shared" ref="M174:M180" si="161">SUMPRODUCT((RO_2015=B174)*(Phase2015&lt;&gt;"fin")*(Rem2015en2012))</f>
        <v>0</v>
      </c>
      <c r="N174" s="303" t="str">
        <f t="shared" ref="N174:N180" si="162">IF(M174=0,"-",M174/$M$181)</f>
        <v>-</v>
      </c>
      <c r="O174" s="302">
        <f t="shared" ref="O174:O180" si="163">SUMPRODUCT((RO_2015=B174)*(Phase2015&lt;&gt;"fin")*(Rem2015en2013))</f>
        <v>0</v>
      </c>
      <c r="P174" s="303" t="str">
        <f t="shared" ref="P174:P180" si="164">IF(O174=0,"-",O174/$O$181)</f>
        <v>-</v>
      </c>
      <c r="Q174" s="302">
        <f t="shared" ref="Q174:Q180" si="165">SUMPRODUCT((RO_2015=B174)*(Rem2015en2014))</f>
        <v>13467</v>
      </c>
      <c r="R174" s="303">
        <f t="shared" ref="R174:R180" si="166">IF(Q174=0,"-",Q174/$Q$181)</f>
        <v>4.417611399779562E-2</v>
      </c>
      <c r="S174" s="302">
        <f t="shared" ref="S174:S180" si="167">SUMPRODUCT((RO_2015=B174)*(Rem2015en2015))</f>
        <v>32524</v>
      </c>
      <c r="T174" s="303">
        <f t="shared" ref="T174:T180" si="168">IF(S174=0,"-",S174/$S$181)</f>
        <v>6.429014773845905E-2</v>
      </c>
      <c r="U174" s="302">
        <f t="shared" ref="U174:U180" si="169">SUMPRODUCT((RO_2015=B174)*(Rem2015en2016))</f>
        <v>173716.8986175115</v>
      </c>
      <c r="V174" s="303">
        <f t="shared" ref="V174:V180" si="170">IF(U174=0,"-",U174/$U$181)</f>
        <v>0.73287168581087581</v>
      </c>
      <c r="W174" s="302">
        <f t="shared" ref="W174:W180" si="171">SUMPRODUCT((RO_2015=B174)*(Rem2015en2017))</f>
        <v>46990.981566820279</v>
      </c>
      <c r="X174" s="303">
        <f t="shared" ref="X174:X180" si="172">IF(W174=0,"-",W174/$W$181)</f>
        <v>0.18757603286181376</v>
      </c>
      <c r="Y174" s="302">
        <f t="shared" ref="Y174:Y180" si="173">SUMPRODUCT((RO_2015=B174)*(Rem2015en2018))</f>
        <v>70852.989999999991</v>
      </c>
      <c r="Z174" s="303">
        <f t="shared" ref="Z174:Z180" si="174">IF(Y174=0,"-",Y174/$Y$181)</f>
        <v>0.21192411528556246</v>
      </c>
      <c r="AA174" s="302">
        <f t="shared" ref="AA174:AA180" si="175">SUMPRODUCT((RO_2015=B174)*(Rem2015en2019))</f>
        <v>28137.981566820275</v>
      </c>
      <c r="AB174" s="303">
        <f t="shared" ref="AB174:AB180" si="176">IF(AA174=0,"-",AA174/$Y$181)</f>
        <v>8.4161823650206607E-2</v>
      </c>
      <c r="AC174" s="302">
        <f t="shared" ref="AC174:AC180" si="177">SUMPRODUCT((RO_2015=B174)*(Rem2015Preven2020))</f>
        <v>0</v>
      </c>
      <c r="AD174" s="303" t="str">
        <f t="shared" ref="AD174:AD180" si="178">IF(AC174=0,"-",AC174/$AC$181)</f>
        <v>-</v>
      </c>
      <c r="AE174" s="302">
        <f t="shared" ref="AE174:AE180" si="179">SUMPRODUCT((RO_2015=B174)*(Rem2015en2020))</f>
        <v>10343</v>
      </c>
      <c r="AF174" s="303">
        <f t="shared" ref="AF174:AF180" si="180">IF(AE174=0,"-",AE174/$Y$181)</f>
        <v>3.0936324979349113E-2</v>
      </c>
      <c r="AG174" s="308"/>
      <c r="AH174" s="169"/>
      <c r="AI174" s="169"/>
      <c r="AJ174" s="169"/>
      <c r="AK174" s="5"/>
      <c r="AL174" s="43"/>
      <c r="AM174" s="43"/>
      <c r="AN174" s="284"/>
    </row>
    <row r="175" spans="1:40" s="28" customFormat="1" outlineLevel="1">
      <c r="A175" s="1400"/>
      <c r="B175" s="73" t="s">
        <v>291</v>
      </c>
      <c r="C175" s="73">
        <f t="shared" si="151"/>
        <v>0</v>
      </c>
      <c r="D175" s="304" t="str">
        <f t="shared" si="152"/>
        <v>-</v>
      </c>
      <c r="E175" s="73">
        <f t="shared" si="153"/>
        <v>0</v>
      </c>
      <c r="F175" s="304" t="str">
        <f t="shared" si="154"/>
        <v>-</v>
      </c>
      <c r="G175" s="305">
        <f t="shared" si="155"/>
        <v>0</v>
      </c>
      <c r="H175" s="306" t="str">
        <f t="shared" si="156"/>
        <v>-</v>
      </c>
      <c r="I175" s="305">
        <f t="shared" si="157"/>
        <v>0</v>
      </c>
      <c r="J175" s="306" t="str">
        <f t="shared" si="158"/>
        <v>-</v>
      </c>
      <c r="K175" s="305">
        <f t="shared" si="159"/>
        <v>0</v>
      </c>
      <c r="L175" s="306" t="str">
        <f t="shared" si="160"/>
        <v>-</v>
      </c>
      <c r="M175" s="307">
        <f t="shared" si="161"/>
        <v>0</v>
      </c>
      <c r="N175" s="308" t="str">
        <f t="shared" si="162"/>
        <v>-</v>
      </c>
      <c r="O175" s="305">
        <f t="shared" si="163"/>
        <v>0</v>
      </c>
      <c r="P175" s="306" t="str">
        <f t="shared" si="164"/>
        <v>-</v>
      </c>
      <c r="Q175" s="305">
        <f t="shared" si="165"/>
        <v>32383</v>
      </c>
      <c r="R175" s="306">
        <f t="shared" si="166"/>
        <v>0.10622670970450848</v>
      </c>
      <c r="S175" s="305">
        <f t="shared" si="167"/>
        <v>33340</v>
      </c>
      <c r="T175" s="306">
        <f t="shared" si="168"/>
        <v>6.5903133858080942E-2</v>
      </c>
      <c r="U175" s="305">
        <f t="shared" si="169"/>
        <v>19717</v>
      </c>
      <c r="V175" s="306">
        <f t="shared" si="170"/>
        <v>8.3181493246370947E-2</v>
      </c>
      <c r="W175" s="305">
        <f t="shared" si="171"/>
        <v>19717</v>
      </c>
      <c r="X175" s="306">
        <f t="shared" si="172"/>
        <v>7.870524335988334E-2</v>
      </c>
      <c r="Y175" s="305">
        <f t="shared" si="173"/>
        <v>19717</v>
      </c>
      <c r="Z175" s="306">
        <f t="shared" si="174"/>
        <v>5.8974332361773803E-2</v>
      </c>
      <c r="AA175" s="305">
        <f t="shared" si="175"/>
        <v>8717</v>
      </c>
      <c r="AB175" s="306">
        <f t="shared" si="176"/>
        <v>2.6072894212992963E-2</v>
      </c>
      <c r="AC175" s="305">
        <f t="shared" si="177"/>
        <v>0</v>
      </c>
      <c r="AD175" s="306" t="str">
        <f t="shared" si="178"/>
        <v>-</v>
      </c>
      <c r="AE175" s="305">
        <f t="shared" si="179"/>
        <v>0</v>
      </c>
      <c r="AF175" s="306" t="str">
        <f t="shared" si="180"/>
        <v>-</v>
      </c>
      <c r="AG175" s="308"/>
      <c r="AH175" s="169"/>
      <c r="AI175" s="169"/>
      <c r="AJ175" s="169"/>
      <c r="AK175" s="5"/>
      <c r="AL175" s="43"/>
      <c r="AM175" s="43"/>
      <c r="AN175" s="284"/>
    </row>
    <row r="176" spans="1:40" s="28" customFormat="1" outlineLevel="1">
      <c r="A176" s="1400"/>
      <c r="B176" s="75" t="s">
        <v>7</v>
      </c>
      <c r="C176" s="73">
        <f t="shared" si="151"/>
        <v>18</v>
      </c>
      <c r="D176" s="304">
        <f t="shared" si="152"/>
        <v>7.5313807531380755E-2</v>
      </c>
      <c r="E176" s="73">
        <f t="shared" si="153"/>
        <v>1</v>
      </c>
      <c r="F176" s="304">
        <f t="shared" si="154"/>
        <v>0.16666666666666666</v>
      </c>
      <c r="G176" s="305">
        <f t="shared" si="155"/>
        <v>2921136</v>
      </c>
      <c r="H176" s="306">
        <f t="shared" si="156"/>
        <v>7.9996108151278861E-2</v>
      </c>
      <c r="I176" s="305">
        <f t="shared" si="157"/>
        <v>144975</v>
      </c>
      <c r="J176" s="306">
        <f t="shared" si="158"/>
        <v>8.4390267566530772E-2</v>
      </c>
      <c r="K176" s="305">
        <f t="shared" si="159"/>
        <v>0</v>
      </c>
      <c r="L176" s="306" t="str">
        <f t="shared" si="160"/>
        <v>-</v>
      </c>
      <c r="M176" s="307">
        <f t="shared" si="161"/>
        <v>0</v>
      </c>
      <c r="N176" s="308" t="str">
        <f t="shared" si="162"/>
        <v>-</v>
      </c>
      <c r="O176" s="305">
        <f t="shared" si="163"/>
        <v>0</v>
      </c>
      <c r="P176" s="306" t="str">
        <f t="shared" si="164"/>
        <v>-</v>
      </c>
      <c r="Q176" s="305">
        <f t="shared" si="165"/>
        <v>36305</v>
      </c>
      <c r="R176" s="306">
        <f t="shared" si="166"/>
        <v>0.1190921377210938</v>
      </c>
      <c r="S176" s="305">
        <f t="shared" si="167"/>
        <v>35474</v>
      </c>
      <c r="T176" s="306">
        <f t="shared" si="168"/>
        <v>7.0121408832680365E-2</v>
      </c>
      <c r="U176" s="305">
        <f t="shared" si="169"/>
        <v>0</v>
      </c>
      <c r="V176" s="306" t="str">
        <f t="shared" si="170"/>
        <v>-</v>
      </c>
      <c r="W176" s="305">
        <f t="shared" si="171"/>
        <v>21534</v>
      </c>
      <c r="X176" s="306">
        <f t="shared" si="172"/>
        <v>8.5958244687920474E-2</v>
      </c>
      <c r="Y176" s="305">
        <f t="shared" si="173"/>
        <v>36171.9</v>
      </c>
      <c r="Z176" s="306">
        <f t="shared" si="174"/>
        <v>0.10819159368853506</v>
      </c>
      <c r="AA176" s="305">
        <f t="shared" si="175"/>
        <v>22668</v>
      </c>
      <c r="AB176" s="306">
        <f t="shared" si="176"/>
        <v>6.7800890905142186E-2</v>
      </c>
      <c r="AC176" s="305">
        <f t="shared" si="177"/>
        <v>0</v>
      </c>
      <c r="AD176" s="306" t="str">
        <f t="shared" si="178"/>
        <v>-</v>
      </c>
      <c r="AE176" s="305">
        <f t="shared" si="179"/>
        <v>0</v>
      </c>
      <c r="AF176" s="306" t="str">
        <f t="shared" si="180"/>
        <v>-</v>
      </c>
      <c r="AG176" s="308"/>
      <c r="AH176" s="169"/>
      <c r="AI176" s="169"/>
      <c r="AJ176" s="169"/>
      <c r="AK176" s="5"/>
      <c r="AL176" s="43"/>
      <c r="AM176" s="43"/>
      <c r="AN176" s="284"/>
    </row>
    <row r="177" spans="1:41" s="28" customFormat="1" outlineLevel="1">
      <c r="A177" s="1400"/>
      <c r="B177" s="76" t="s">
        <v>103</v>
      </c>
      <c r="C177" s="73">
        <f t="shared" si="151"/>
        <v>89</v>
      </c>
      <c r="D177" s="304">
        <f t="shared" si="152"/>
        <v>0.3723849372384937</v>
      </c>
      <c r="E177" s="73">
        <f>SUMPRODUCT((RO_2015=B177)*(Phase2015&lt;&gt;"fin"))</f>
        <v>1</v>
      </c>
      <c r="F177" s="304">
        <f t="shared" si="154"/>
        <v>0.16666666666666666</v>
      </c>
      <c r="G177" s="305">
        <f>SUMPRODUCT((RO_2015=B177)*(Phase2015&lt;&gt;"fin")*(Bdgt2015))</f>
        <v>14421908.862042284</v>
      </c>
      <c r="H177" s="306">
        <f t="shared" si="156"/>
        <v>0.39494791789078687</v>
      </c>
      <c r="I177" s="305">
        <f t="shared" si="157"/>
        <v>721095.44310211425</v>
      </c>
      <c r="J177" s="306">
        <f t="shared" si="158"/>
        <v>0.41975124941813063</v>
      </c>
      <c r="K177" s="305">
        <f t="shared" si="159"/>
        <v>145375.44310211425</v>
      </c>
      <c r="L177" s="306">
        <f t="shared" si="160"/>
        <v>0.85936793295050939</v>
      </c>
      <c r="M177" s="307">
        <f t="shared" si="161"/>
        <v>0</v>
      </c>
      <c r="N177" s="308" t="str">
        <f t="shared" si="162"/>
        <v>-</v>
      </c>
      <c r="O177" s="305">
        <f t="shared" si="163"/>
        <v>0</v>
      </c>
      <c r="P177" s="306" t="str">
        <f t="shared" si="164"/>
        <v>-</v>
      </c>
      <c r="Q177" s="305">
        <f t="shared" si="165"/>
        <v>222693</v>
      </c>
      <c r="R177" s="306">
        <f t="shared" si="166"/>
        <v>0.73050503857660209</v>
      </c>
      <c r="S177" s="305">
        <f t="shared" si="167"/>
        <v>203931</v>
      </c>
      <c r="T177" s="306">
        <f t="shared" si="168"/>
        <v>0.4031101376968298</v>
      </c>
      <c r="U177" s="305">
        <f t="shared" si="169"/>
        <v>25164</v>
      </c>
      <c r="V177" s="306">
        <f t="shared" si="170"/>
        <v>0.10616113486086516</v>
      </c>
      <c r="W177" s="305">
        <f t="shared" si="171"/>
        <v>93713</v>
      </c>
      <c r="X177" s="306">
        <f t="shared" si="172"/>
        <v>0.37407843338158681</v>
      </c>
      <c r="Y177" s="305">
        <f t="shared" si="173"/>
        <v>93714</v>
      </c>
      <c r="Z177" s="306">
        <f t="shared" si="174"/>
        <v>0.2803023067886225</v>
      </c>
      <c r="AA177" s="305">
        <f t="shared" si="175"/>
        <v>71535</v>
      </c>
      <c r="AB177" s="306">
        <f t="shared" si="176"/>
        <v>0.21396403436118522</v>
      </c>
      <c r="AC177" s="305">
        <f t="shared" si="177"/>
        <v>72109.544310211422</v>
      </c>
      <c r="AD177" s="306">
        <f t="shared" si="178"/>
        <v>0.7519271299584287</v>
      </c>
      <c r="AE177" s="305">
        <f t="shared" si="179"/>
        <v>0</v>
      </c>
      <c r="AF177" s="306" t="str">
        <f t="shared" si="180"/>
        <v>-</v>
      </c>
      <c r="AG177" s="308"/>
      <c r="AH177" s="169"/>
      <c r="AI177" s="169"/>
      <c r="AJ177" s="169"/>
      <c r="AK177" s="5"/>
      <c r="AL177" s="43"/>
      <c r="AM177" s="43"/>
      <c r="AN177" s="284"/>
    </row>
    <row r="178" spans="1:41" s="28" customFormat="1" outlineLevel="1">
      <c r="A178" s="1400"/>
      <c r="B178" s="1062" t="s">
        <v>321</v>
      </c>
      <c r="C178" s="73">
        <f t="shared" si="151"/>
        <v>58</v>
      </c>
      <c r="D178" s="304">
        <f t="shared" si="152"/>
        <v>0.24267782426778242</v>
      </c>
      <c r="E178" s="73">
        <f>SUMPRODUCT((RO_2015=B178)*(Phase2015&lt;&gt;"fin"))</f>
        <v>1</v>
      </c>
      <c r="F178" s="304">
        <f t="shared" si="154"/>
        <v>0.16666666666666666</v>
      </c>
      <c r="G178" s="305">
        <f>SUMPRODUCT((RO_2015=B178)*(Phase2015&lt;&gt;"fin")*(Bdgt2015))</f>
        <v>9516142</v>
      </c>
      <c r="H178" s="306">
        <f t="shared" si="156"/>
        <v>0.26060215088065986</v>
      </c>
      <c r="I178" s="305">
        <f t="shared" ref="I178" si="181">SUMPRODUCT((RO_2015=B178)*(Phase2015&lt;&gt;"fin")*(Rem_2015))</f>
        <v>475807.10000000003</v>
      </c>
      <c r="J178" s="306">
        <f t="shared" si="158"/>
        <v>0.27696836336647745</v>
      </c>
      <c r="K178" s="305">
        <f t="shared" ref="K178" si="182">SUMPRODUCT((RO_2015=B178)*(Phase2015&lt;&gt;"fin")*(RemRest2015))</f>
        <v>23790.100000000035</v>
      </c>
      <c r="L178" s="306">
        <f t="shared" si="160"/>
        <v>0.14063206704949063</v>
      </c>
      <c r="M178" s="307">
        <f t="shared" ref="M178" si="183">SUMPRODUCT((RO_2015=B178)*(Phase2015&lt;&gt;"fin")*(Rem2015en2012))</f>
        <v>41000</v>
      </c>
      <c r="N178" s="308">
        <f t="shared" si="162"/>
        <v>1</v>
      </c>
      <c r="O178" s="305">
        <f t="shared" ref="O178" si="184">SUMPRODUCT((RO_2015=B178)*(Phase2015&lt;&gt;"fin")*(Rem2015en2013))</f>
        <v>0</v>
      </c>
      <c r="P178" s="306" t="str">
        <f t="shared" si="164"/>
        <v>-</v>
      </c>
      <c r="Q178" s="305">
        <f t="shared" ref="Q178" si="185">SUMPRODUCT((RO_2015=B178)*(Rem2015en2014))</f>
        <v>0</v>
      </c>
      <c r="R178" s="306" t="str">
        <f t="shared" si="166"/>
        <v>-</v>
      </c>
      <c r="S178" s="305">
        <f t="shared" ref="S178" si="186">SUMPRODUCT((RO_2015=B178)*(Rem2015en2015))</f>
        <v>200625</v>
      </c>
      <c r="T178" s="306">
        <f t="shared" si="168"/>
        <v>0.39657517187394986</v>
      </c>
      <c r="U178" s="305">
        <f t="shared" ref="U178" si="187">SUMPRODUCT((RO_2015=B178)*(Rem2015en2016))</f>
        <v>18438</v>
      </c>
      <c r="V178" s="306">
        <f t="shared" si="170"/>
        <v>7.7785686081888086E-2</v>
      </c>
      <c r="W178" s="305">
        <f t="shared" ref="W178" si="188">SUMPRODUCT((RO_2015=B178)*(Rem2015en2017))</f>
        <v>68562</v>
      </c>
      <c r="X178" s="306">
        <f t="shared" si="172"/>
        <v>0.27368204570879551</v>
      </c>
      <c r="Y178" s="305">
        <f t="shared" ref="Y178" si="189">SUMPRODUCT((RO_2015=B178)*(Rem2015en2018))</f>
        <v>113876</v>
      </c>
      <c r="Z178" s="306">
        <f t="shared" si="174"/>
        <v>0.34060765187550607</v>
      </c>
      <c r="AA178" s="305">
        <f t="shared" si="175"/>
        <v>9516</v>
      </c>
      <c r="AB178" s="306">
        <f t="shared" si="176"/>
        <v>2.8462735038527136E-2</v>
      </c>
      <c r="AC178" s="305">
        <f t="shared" si="177"/>
        <v>23790.1</v>
      </c>
      <c r="AD178" s="306">
        <f t="shared" si="178"/>
        <v>0.24807287004157141</v>
      </c>
      <c r="AE178" s="305">
        <f t="shared" si="179"/>
        <v>0</v>
      </c>
      <c r="AF178" s="306" t="str">
        <f t="shared" si="180"/>
        <v>-</v>
      </c>
      <c r="AG178" s="308"/>
      <c r="AH178" s="169"/>
      <c r="AI178" s="169"/>
      <c r="AJ178" s="169"/>
      <c r="AK178" s="5"/>
      <c r="AL178" s="43"/>
      <c r="AM178" s="43"/>
      <c r="AN178" s="284"/>
    </row>
    <row r="179" spans="1:41" s="28" customFormat="1" outlineLevel="1">
      <c r="A179" s="1400"/>
      <c r="B179" s="156" t="s">
        <v>322</v>
      </c>
      <c r="C179" s="73">
        <f t="shared" si="151"/>
        <v>0</v>
      </c>
      <c r="D179" s="304" t="str">
        <f t="shared" si="152"/>
        <v>-</v>
      </c>
      <c r="E179" s="73">
        <f t="shared" si="153"/>
        <v>0</v>
      </c>
      <c r="F179" s="304" t="str">
        <f t="shared" si="154"/>
        <v>-</v>
      </c>
      <c r="G179" s="305">
        <f t="shared" si="155"/>
        <v>0</v>
      </c>
      <c r="H179" s="306" t="str">
        <f t="shared" si="156"/>
        <v>-</v>
      </c>
      <c r="I179" s="305">
        <f t="shared" si="157"/>
        <v>0</v>
      </c>
      <c r="J179" s="306" t="str">
        <f t="shared" si="158"/>
        <v>-</v>
      </c>
      <c r="K179" s="305">
        <f t="shared" si="159"/>
        <v>0</v>
      </c>
      <c r="L179" s="306" t="str">
        <f t="shared" si="160"/>
        <v>-</v>
      </c>
      <c r="M179" s="307">
        <f t="shared" si="161"/>
        <v>0</v>
      </c>
      <c r="N179" s="308" t="str">
        <f t="shared" si="162"/>
        <v>-</v>
      </c>
      <c r="O179" s="305">
        <f t="shared" si="163"/>
        <v>0</v>
      </c>
      <c r="P179" s="306" t="str">
        <f t="shared" si="164"/>
        <v>-</v>
      </c>
      <c r="Q179" s="305">
        <f t="shared" si="165"/>
        <v>0</v>
      </c>
      <c r="R179" s="306" t="str">
        <f t="shared" si="166"/>
        <v>-</v>
      </c>
      <c r="S179" s="305">
        <f t="shared" si="167"/>
        <v>0</v>
      </c>
      <c r="T179" s="306" t="str">
        <f t="shared" si="168"/>
        <v>-</v>
      </c>
      <c r="U179" s="305">
        <f t="shared" si="169"/>
        <v>0</v>
      </c>
      <c r="V179" s="306" t="str">
        <f t="shared" si="170"/>
        <v>-</v>
      </c>
      <c r="W179" s="305">
        <f t="shared" si="171"/>
        <v>0</v>
      </c>
      <c r="X179" s="306" t="str">
        <f t="shared" si="172"/>
        <v>-</v>
      </c>
      <c r="Y179" s="305">
        <f t="shared" si="173"/>
        <v>0</v>
      </c>
      <c r="Z179" s="306" t="str">
        <f t="shared" si="174"/>
        <v>-</v>
      </c>
      <c r="AA179" s="305">
        <f t="shared" si="175"/>
        <v>0</v>
      </c>
      <c r="AB179" s="306" t="str">
        <f t="shared" si="176"/>
        <v>-</v>
      </c>
      <c r="AC179" s="305">
        <f t="shared" si="177"/>
        <v>0</v>
      </c>
      <c r="AD179" s="306" t="str">
        <f t="shared" si="178"/>
        <v>-</v>
      </c>
      <c r="AE179" s="305">
        <f t="shared" si="179"/>
        <v>0</v>
      </c>
      <c r="AF179" s="306" t="str">
        <f t="shared" si="180"/>
        <v>-</v>
      </c>
      <c r="AG179" s="308"/>
      <c r="AH179" s="169"/>
      <c r="AI179" s="169"/>
      <c r="AJ179" s="169"/>
      <c r="AK179" s="5"/>
      <c r="AL179" s="43"/>
      <c r="AM179" s="43"/>
      <c r="AN179" s="284"/>
    </row>
    <row r="180" spans="1:41" s="28" customFormat="1" ht="16.2" outlineLevel="1" thickBot="1">
      <c r="A180" s="1400"/>
      <c r="B180" s="78" t="s">
        <v>104</v>
      </c>
      <c r="C180" s="73">
        <f t="shared" si="151"/>
        <v>0</v>
      </c>
      <c r="D180" s="304" t="str">
        <f t="shared" si="152"/>
        <v>-</v>
      </c>
      <c r="E180" s="73">
        <f t="shared" si="153"/>
        <v>0</v>
      </c>
      <c r="F180" s="304" t="str">
        <f t="shared" si="154"/>
        <v>-</v>
      </c>
      <c r="G180" s="305">
        <f t="shared" si="155"/>
        <v>0</v>
      </c>
      <c r="H180" s="306" t="str">
        <f t="shared" si="156"/>
        <v>-</v>
      </c>
      <c r="I180" s="305">
        <f t="shared" si="157"/>
        <v>0</v>
      </c>
      <c r="J180" s="306" t="str">
        <f t="shared" si="158"/>
        <v>-</v>
      </c>
      <c r="K180" s="305">
        <f t="shared" si="159"/>
        <v>0</v>
      </c>
      <c r="L180" s="306" t="str">
        <f t="shared" si="160"/>
        <v>-</v>
      </c>
      <c r="M180" s="307">
        <f t="shared" si="161"/>
        <v>0</v>
      </c>
      <c r="N180" s="308" t="str">
        <f t="shared" si="162"/>
        <v>-</v>
      </c>
      <c r="O180" s="305">
        <f t="shared" si="163"/>
        <v>0</v>
      </c>
      <c r="P180" s="306" t="str">
        <f t="shared" si="164"/>
        <v>-</v>
      </c>
      <c r="Q180" s="305">
        <f t="shared" si="165"/>
        <v>0</v>
      </c>
      <c r="R180" s="306" t="str">
        <f t="shared" si="166"/>
        <v>-</v>
      </c>
      <c r="S180" s="305">
        <f t="shared" si="167"/>
        <v>0</v>
      </c>
      <c r="T180" s="306" t="str">
        <f t="shared" si="168"/>
        <v>-</v>
      </c>
      <c r="U180" s="305">
        <f t="shared" si="169"/>
        <v>0</v>
      </c>
      <c r="V180" s="306" t="str">
        <f t="shared" si="170"/>
        <v>-</v>
      </c>
      <c r="W180" s="305">
        <f t="shared" si="171"/>
        <v>0</v>
      </c>
      <c r="X180" s="306" t="str">
        <f t="shared" si="172"/>
        <v>-</v>
      </c>
      <c r="Y180" s="305">
        <f t="shared" si="173"/>
        <v>0</v>
      </c>
      <c r="Z180" s="306" t="str">
        <f t="shared" si="174"/>
        <v>-</v>
      </c>
      <c r="AA180" s="305">
        <f t="shared" si="175"/>
        <v>0</v>
      </c>
      <c r="AB180" s="306" t="str">
        <f t="shared" si="176"/>
        <v>-</v>
      </c>
      <c r="AC180" s="305">
        <f t="shared" si="177"/>
        <v>0</v>
      </c>
      <c r="AD180" s="306" t="str">
        <f t="shared" si="178"/>
        <v>-</v>
      </c>
      <c r="AE180" s="305">
        <f t="shared" si="179"/>
        <v>0</v>
      </c>
      <c r="AF180" s="306" t="str">
        <f t="shared" si="180"/>
        <v>-</v>
      </c>
      <c r="AG180" s="308"/>
      <c r="AH180" s="169"/>
      <c r="AI180" s="169"/>
      <c r="AJ180" s="169"/>
      <c r="AK180" s="5"/>
      <c r="AL180" s="43"/>
      <c r="AM180" s="43"/>
      <c r="AN180" s="284"/>
    </row>
    <row r="181" spans="1:41" s="28" customFormat="1" ht="16.2" outlineLevel="1" thickBot="1">
      <c r="A181" s="1400"/>
      <c r="B181" s="112"/>
      <c r="C181" s="309">
        <f t="shared" ref="C181:AF181" si="190">SUM(C174:C180)</f>
        <v>239</v>
      </c>
      <c r="D181" s="310">
        <f t="shared" si="190"/>
        <v>0.99999999999999989</v>
      </c>
      <c r="E181" s="309">
        <f t="shared" si="190"/>
        <v>6</v>
      </c>
      <c r="F181" s="310">
        <f t="shared" si="190"/>
        <v>0.99999999999999989</v>
      </c>
      <c r="G181" s="311">
        <f t="shared" si="190"/>
        <v>36515976.433202282</v>
      </c>
      <c r="H181" s="113">
        <f t="shared" si="190"/>
        <v>1</v>
      </c>
      <c r="I181" s="311">
        <f t="shared" si="190"/>
        <v>1717911.367986907</v>
      </c>
      <c r="J181" s="113">
        <f t="shared" si="190"/>
        <v>1</v>
      </c>
      <c r="K181" s="311">
        <f t="shared" si="190"/>
        <v>169165.54310211429</v>
      </c>
      <c r="L181" s="113">
        <f t="shared" si="190"/>
        <v>1</v>
      </c>
      <c r="M181" s="311">
        <f t="shared" si="190"/>
        <v>41000</v>
      </c>
      <c r="N181" s="113">
        <f t="shared" si="190"/>
        <v>1</v>
      </c>
      <c r="O181" s="311">
        <f t="shared" si="190"/>
        <v>0</v>
      </c>
      <c r="P181" s="113">
        <f t="shared" si="190"/>
        <v>0</v>
      </c>
      <c r="Q181" s="311">
        <f t="shared" si="190"/>
        <v>304848</v>
      </c>
      <c r="R181" s="113">
        <f t="shared" si="190"/>
        <v>1</v>
      </c>
      <c r="S181" s="311">
        <f t="shared" si="190"/>
        <v>505894</v>
      </c>
      <c r="T181" s="113">
        <f t="shared" si="190"/>
        <v>1</v>
      </c>
      <c r="U181" s="311">
        <f t="shared" si="190"/>
        <v>237035.8986175115</v>
      </c>
      <c r="V181" s="113">
        <f t="shared" si="190"/>
        <v>1</v>
      </c>
      <c r="W181" s="311">
        <f t="shared" si="190"/>
        <v>250516.98156682029</v>
      </c>
      <c r="X181" s="113">
        <f t="shared" si="190"/>
        <v>0.99999999999999989</v>
      </c>
      <c r="Y181" s="311">
        <f t="shared" si="190"/>
        <v>334331.89</v>
      </c>
      <c r="Z181" s="113">
        <f t="shared" si="190"/>
        <v>1</v>
      </c>
      <c r="AA181" s="311">
        <f t="shared" ref="AA181:AB181" si="191">SUM(AA174:AA180)</f>
        <v>140573.98156682029</v>
      </c>
      <c r="AB181" s="113">
        <f t="shared" si="191"/>
        <v>0.4204623781680541</v>
      </c>
      <c r="AC181" s="311">
        <f t="shared" si="190"/>
        <v>95899.644310211414</v>
      </c>
      <c r="AD181" s="113">
        <f t="shared" si="190"/>
        <v>1</v>
      </c>
      <c r="AE181" s="311">
        <f t="shared" si="190"/>
        <v>10343</v>
      </c>
      <c r="AF181" s="113">
        <f t="shared" si="190"/>
        <v>3.0936324979349113E-2</v>
      </c>
      <c r="AG181" s="213"/>
      <c r="AH181" s="169"/>
      <c r="AI181" s="169"/>
      <c r="AJ181" s="169"/>
      <c r="AK181" s="5"/>
      <c r="AL181" s="43"/>
      <c r="AM181" s="43"/>
      <c r="AN181" s="284"/>
    </row>
    <row r="182" spans="1:41" s="28" customFormat="1" outlineLevel="1">
      <c r="A182" s="1397" t="s">
        <v>175</v>
      </c>
      <c r="B182" s="72" t="s">
        <v>12</v>
      </c>
      <c r="C182" s="300">
        <f t="shared" ref="C182:C187" si="192">SUMPRODUCT((RO_2016=B182)*(Phase2016&lt;&gt;"fin")*(Prog2016))</f>
        <v>103</v>
      </c>
      <c r="D182" s="301">
        <f t="shared" ref="D182:D187" si="193">IF(C182=0,"-",C182/$C$188)</f>
        <v>0.68211920529801329</v>
      </c>
      <c r="E182" s="300">
        <f>SUMPRODUCT((RO_2016=B182)*(Phase2016&lt;&gt;"fin"))</f>
        <v>3</v>
      </c>
      <c r="F182" s="301">
        <f t="shared" ref="F182:F187" si="194">IF(E182=0,"-",E182/$E$188)</f>
        <v>0.6</v>
      </c>
      <c r="G182" s="302">
        <f>SUMPRODUCT((RO_2016=B182)*(Phase2016&lt;&gt;"fin")*(Bdgt2016))</f>
        <v>14307201.796204237</v>
      </c>
      <c r="H182" s="306">
        <f t="shared" ref="H182:H187" si="195">IF(G182=0,"-",G182/$G$188)</f>
        <v>0.68372538616625655</v>
      </c>
      <c r="I182" s="302">
        <f t="shared" ref="I182:I187" si="196">SUMPRODUCT((RO_2016=B182)*(Phase2016&lt;&gt;"fin")*(Rem_2016))</f>
        <v>715360.08981021191</v>
      </c>
      <c r="J182" s="303">
        <f t="shared" ref="J182:J187" si="197">IF(I182=0,"-",I182/$I$188)</f>
        <v>0.78275110792044611</v>
      </c>
      <c r="K182" s="302">
        <f t="shared" ref="K182:K187" si="198">SUMPRODUCT((RO_2016=B182)*(Phase2016&lt;&gt;"fin")*(RemRest2016))</f>
        <v>77092.32562421012</v>
      </c>
      <c r="L182" s="303">
        <f t="shared" ref="L182:L187" si="199">IF(K182=0,"-",K182/$K$188)</f>
        <v>0.88258674282611926</v>
      </c>
      <c r="M182" s="302">
        <f t="shared" ref="M182:M187" si="200">SUMPRODUCT((RO_2016=B182)*(Phase2016&lt;&gt;"fin")*(Rem2016en2012))</f>
        <v>0</v>
      </c>
      <c r="N182" s="303" t="str">
        <f t="shared" ref="N182:N187" si="201">IF(M182=0,"-",M182/$M$188)</f>
        <v>-</v>
      </c>
      <c r="O182" s="897">
        <f>SUMPRODUCT((RO_2016=B182)*(Phase2016&lt;&gt;"fin")*(Rem2016en2013))</f>
        <v>0</v>
      </c>
      <c r="P182" s="898" t="str">
        <f t="shared" ref="P182:P187" si="202">IF(O182=0,"-",O182/$O$188)</f>
        <v>-</v>
      </c>
      <c r="Q182" s="302">
        <f>SUMPRODUCT((RO_2016=B182)*(Rem2016en2014))</f>
        <v>0</v>
      </c>
      <c r="R182" s="303" t="str">
        <f t="shared" ref="R182:R187" si="203">IF(Q182=0,"-",Q182/$Q$188)</f>
        <v>-</v>
      </c>
      <c r="S182" s="302">
        <f t="shared" ref="S182:S187" si="204">SUMPRODUCT((RO_2016=B182)*(Rem2016en2015))</f>
        <v>70922</v>
      </c>
      <c r="T182" s="303">
        <f t="shared" ref="T182:T187" si="205">IF(S182=0,"-",S182/$S$188)</f>
        <v>1</v>
      </c>
      <c r="U182" s="302">
        <f t="shared" ref="U182:U187" si="206">SUMPRODUCT((RO_2016=B182)*(Rem2016en2016))</f>
        <v>198282</v>
      </c>
      <c r="V182" s="303">
        <f t="shared" ref="V182:V187" si="207">IF(U182=0,"-",U182/$U$188)</f>
        <v>0.59729790791197868</v>
      </c>
      <c r="W182" s="302">
        <f t="shared" ref="W182:W187" si="208">SUMPRODUCT((RO_2016=B182)*(Rem2016en2017))</f>
        <v>109610</v>
      </c>
      <c r="X182" s="303">
        <f t="shared" ref="X182:X187" si="209">IF(W182=0,"-",W182/$W$188)</f>
        <v>0.71261393631268932</v>
      </c>
      <c r="Y182" s="302">
        <f t="shared" ref="Y182:Y187" si="210">SUMPRODUCT((RO_2016=B182)*(Rem2016en2018))</f>
        <v>88272.1</v>
      </c>
      <c r="Z182" s="303">
        <f t="shared" ref="Z182:Z187" si="211">IF(Y182=0,"-",Y182/$Y$188)</f>
        <v>0.67762389736165163</v>
      </c>
      <c r="AA182" s="302">
        <f>SUMPRODUCT((RO_2016=B182)*(Rem2016en2019))</f>
        <v>135090</v>
      </c>
      <c r="AB182" s="303">
        <f t="shared" ref="AB182:AB187" si="212">IF(AA182=0,"-",AA182/$Y$188)</f>
        <v>1.0370231624101558</v>
      </c>
      <c r="AC182" s="302">
        <f t="shared" ref="AC182:AC187" si="213">SUMPRODUCT((RO_2016=B182)*(Rem2016Preven2020))</f>
        <v>25629.332562421012</v>
      </c>
      <c r="AD182" s="303">
        <f t="shared" ref="AD182:AD187" si="214">IF(AC182=0,"-",AC182/$AC$188)</f>
        <v>1</v>
      </c>
      <c r="AE182" s="302">
        <f t="shared" ref="AE182:AE187" si="215">SUMPRODUCT((RO_2016=B182)*(Rem2016en2020))</f>
        <v>36092</v>
      </c>
      <c r="AF182" s="303">
        <f t="shared" ref="AF182:AF187" si="216">IF(AE182=0,"-",AE182/$Y$188)</f>
        <v>0.27706151438083754</v>
      </c>
      <c r="AG182" s="308"/>
      <c r="AH182" s="170"/>
      <c r="AI182" s="170"/>
      <c r="AJ182" s="170"/>
      <c r="AK182" s="50"/>
      <c r="AL182" s="474"/>
      <c r="AM182" s="474"/>
      <c r="AN182" s="139"/>
      <c r="AO182" s="5"/>
    </row>
    <row r="183" spans="1:41" s="28" customFormat="1" outlineLevel="1">
      <c r="A183" s="1397"/>
      <c r="B183" s="73" t="s">
        <v>103</v>
      </c>
      <c r="C183" s="73">
        <f>SUMPRODUCT((RO_2016=B183)*(Phase2016&lt;&gt;"fin")*(Prog2016))</f>
        <v>0</v>
      </c>
      <c r="D183" s="304" t="str">
        <f t="shared" si="193"/>
        <v>-</v>
      </c>
      <c r="E183" s="73">
        <f t="shared" ref="E183:E187" si="217">SUMPRODUCT((RO_2016=B183)*(Phase2016&lt;&gt;"fin"))</f>
        <v>0</v>
      </c>
      <c r="F183" s="304" t="str">
        <f t="shared" si="194"/>
        <v>-</v>
      </c>
      <c r="G183" s="305">
        <f>SUMPRODUCT((RO_2016=B183)*(Phase2016&lt;&gt;"fin")*(Bdgt2016))</f>
        <v>0</v>
      </c>
      <c r="H183" s="306" t="str">
        <f t="shared" si="195"/>
        <v>-</v>
      </c>
      <c r="I183" s="305">
        <f t="shared" si="196"/>
        <v>0</v>
      </c>
      <c r="J183" s="306" t="str">
        <f t="shared" si="197"/>
        <v>-</v>
      </c>
      <c r="K183" s="305">
        <f t="shared" si="198"/>
        <v>0</v>
      </c>
      <c r="L183" s="306" t="str">
        <f t="shared" si="199"/>
        <v>-</v>
      </c>
      <c r="M183" s="307">
        <f t="shared" si="200"/>
        <v>0</v>
      </c>
      <c r="N183" s="308" t="str">
        <f t="shared" si="201"/>
        <v>-</v>
      </c>
      <c r="O183" s="901">
        <f t="shared" ref="O183:O187" si="218">SUMPRODUCT((RO_2016=B183)*(Phase2016&lt;&gt;"fin")*(Rem2016en2013))</f>
        <v>0</v>
      </c>
      <c r="P183" s="902" t="str">
        <f t="shared" si="202"/>
        <v>-</v>
      </c>
      <c r="Q183" s="305">
        <f t="shared" ref="Q183:Q187" si="219">SUMPRODUCT((RO_2016=B183)*(Rem2016en2014))</f>
        <v>0</v>
      </c>
      <c r="R183" s="306" t="str">
        <f t="shared" si="203"/>
        <v>-</v>
      </c>
      <c r="S183" s="305">
        <f t="shared" si="204"/>
        <v>0</v>
      </c>
      <c r="T183" s="306" t="str">
        <f t="shared" si="205"/>
        <v>-</v>
      </c>
      <c r="U183" s="305">
        <f t="shared" si="206"/>
        <v>0</v>
      </c>
      <c r="V183" s="306" t="str">
        <f t="shared" si="207"/>
        <v>-</v>
      </c>
      <c r="W183" s="305">
        <f t="shared" si="208"/>
        <v>0</v>
      </c>
      <c r="X183" s="306" t="str">
        <f t="shared" si="209"/>
        <v>-</v>
      </c>
      <c r="Y183" s="305">
        <f t="shared" si="210"/>
        <v>0</v>
      </c>
      <c r="Z183" s="306" t="str">
        <f t="shared" si="211"/>
        <v>-</v>
      </c>
      <c r="AA183" s="305">
        <f>SUMPRODUCT((RO_2016=B183)*(Rem2016en2019))</f>
        <v>0</v>
      </c>
      <c r="AB183" s="306" t="str">
        <f t="shared" si="212"/>
        <v>-</v>
      </c>
      <c r="AC183" s="305">
        <f t="shared" si="213"/>
        <v>0</v>
      </c>
      <c r="AD183" s="306" t="str">
        <f t="shared" si="214"/>
        <v>-</v>
      </c>
      <c r="AE183" s="305">
        <f t="shared" si="215"/>
        <v>0</v>
      </c>
      <c r="AF183" s="306" t="str">
        <f t="shared" si="216"/>
        <v>-</v>
      </c>
      <c r="AG183" s="308"/>
      <c r="AH183" s="170"/>
      <c r="AI183" s="170"/>
      <c r="AJ183" s="170"/>
      <c r="AK183" s="50"/>
      <c r="AL183" s="474"/>
      <c r="AM183" s="474"/>
      <c r="AN183" s="139"/>
      <c r="AO183" s="5"/>
    </row>
    <row r="184" spans="1:41" s="28" customFormat="1" outlineLevel="1">
      <c r="A184" s="1397"/>
      <c r="B184" s="180" t="s">
        <v>291</v>
      </c>
      <c r="C184" s="73">
        <f t="shared" si="192"/>
        <v>18</v>
      </c>
      <c r="D184" s="304">
        <f t="shared" si="193"/>
        <v>0.11920529801324503</v>
      </c>
      <c r="E184" s="73">
        <f t="shared" si="217"/>
        <v>1</v>
      </c>
      <c r="F184" s="304">
        <f t="shared" si="194"/>
        <v>0.2</v>
      </c>
      <c r="G184" s="305">
        <f>SUMPRODUCT((RO_2016=B184)*(Phase2016&lt;&gt;"fin")*(Bdgt2016))</f>
        <v>3262728.2436972028</v>
      </c>
      <c r="H184" s="306">
        <f t="shared" si="195"/>
        <v>0.15592218241929501</v>
      </c>
      <c r="I184" s="305">
        <f t="shared" si="196"/>
        <v>97881.847310916084</v>
      </c>
      <c r="J184" s="306">
        <f t="shared" si="197"/>
        <v>0.10710287800406416</v>
      </c>
      <c r="K184" s="305">
        <f t="shared" si="198"/>
        <v>27807.847310916084</v>
      </c>
      <c r="L184" s="306">
        <f t="shared" si="199"/>
        <v>0.31835642762656569</v>
      </c>
      <c r="M184" s="307">
        <f t="shared" si="200"/>
        <v>0</v>
      </c>
      <c r="N184" s="308" t="str">
        <f t="shared" si="201"/>
        <v>-</v>
      </c>
      <c r="O184" s="901">
        <f t="shared" si="218"/>
        <v>0</v>
      </c>
      <c r="P184" s="902" t="str">
        <f t="shared" si="202"/>
        <v>-</v>
      </c>
      <c r="Q184" s="305">
        <f t="shared" si="219"/>
        <v>125141</v>
      </c>
      <c r="R184" s="306">
        <f t="shared" si="203"/>
        <v>1</v>
      </c>
      <c r="S184" s="305">
        <f t="shared" si="204"/>
        <v>0</v>
      </c>
      <c r="T184" s="306" t="str">
        <f t="shared" si="205"/>
        <v>-</v>
      </c>
      <c r="U184" s="305">
        <f t="shared" si="206"/>
        <v>98663</v>
      </c>
      <c r="V184" s="306">
        <f t="shared" si="207"/>
        <v>0.29720904312201585</v>
      </c>
      <c r="W184" s="305">
        <f t="shared" si="208"/>
        <v>44204</v>
      </c>
      <c r="X184" s="306">
        <f t="shared" si="209"/>
        <v>0.28738606368731062</v>
      </c>
      <c r="Y184" s="305">
        <f t="shared" si="210"/>
        <v>41995</v>
      </c>
      <c r="Z184" s="306">
        <f t="shared" si="211"/>
        <v>0.32237610263834843</v>
      </c>
      <c r="AA184" s="305">
        <f>SUMPRODUCT((RO_2016=B184)*(Rem2016en2019))+AH62</f>
        <v>10691.599999999999</v>
      </c>
      <c r="AB184" s="306">
        <f t="shared" si="212"/>
        <v>8.2074445504659255E-2</v>
      </c>
      <c r="AC184" s="305">
        <f t="shared" si="213"/>
        <v>0</v>
      </c>
      <c r="AD184" s="306" t="str">
        <f t="shared" si="214"/>
        <v>-</v>
      </c>
      <c r="AE184" s="305">
        <f t="shared" si="215"/>
        <v>0</v>
      </c>
      <c r="AF184" s="306" t="str">
        <f t="shared" si="216"/>
        <v>-</v>
      </c>
      <c r="AG184" s="308"/>
      <c r="AH184" s="170"/>
      <c r="AI184" s="170"/>
      <c r="AJ184" s="170"/>
      <c r="AK184" s="50"/>
      <c r="AL184" s="474"/>
      <c r="AM184" s="474"/>
      <c r="AN184" s="139"/>
      <c r="AO184" s="5"/>
    </row>
    <row r="185" spans="1:41" s="28" customFormat="1" outlineLevel="1">
      <c r="A185" s="1397"/>
      <c r="B185" s="75" t="s">
        <v>213</v>
      </c>
      <c r="C185" s="73">
        <f t="shared" si="192"/>
        <v>0</v>
      </c>
      <c r="D185" s="304" t="str">
        <f t="shared" si="193"/>
        <v>-</v>
      </c>
      <c r="E185" s="73">
        <f t="shared" si="217"/>
        <v>0</v>
      </c>
      <c r="F185" s="304" t="str">
        <f t="shared" si="194"/>
        <v>-</v>
      </c>
      <c r="G185" s="305">
        <f>SUMPRODUCT((RO_2016=B185)*(Phase2016&lt;&gt;"fin")*(Bdgt2016))</f>
        <v>0</v>
      </c>
      <c r="H185" s="306" t="str">
        <f t="shared" si="195"/>
        <v>-</v>
      </c>
      <c r="I185" s="305">
        <f t="shared" si="196"/>
        <v>0</v>
      </c>
      <c r="J185" s="306" t="str">
        <f t="shared" si="197"/>
        <v>-</v>
      </c>
      <c r="K185" s="305">
        <f t="shared" si="198"/>
        <v>0</v>
      </c>
      <c r="L185" s="306" t="str">
        <f t="shared" si="199"/>
        <v>-</v>
      </c>
      <c r="M185" s="307">
        <f t="shared" si="200"/>
        <v>0</v>
      </c>
      <c r="N185" s="308" t="str">
        <f t="shared" si="201"/>
        <v>-</v>
      </c>
      <c r="O185" s="901">
        <f t="shared" si="218"/>
        <v>0</v>
      </c>
      <c r="P185" s="902" t="str">
        <f t="shared" si="202"/>
        <v>-</v>
      </c>
      <c r="Q185" s="305">
        <f t="shared" si="219"/>
        <v>0</v>
      </c>
      <c r="R185" s="306" t="str">
        <f t="shared" si="203"/>
        <v>-</v>
      </c>
      <c r="S185" s="305">
        <f t="shared" si="204"/>
        <v>0</v>
      </c>
      <c r="T185" s="306" t="str">
        <f t="shared" si="205"/>
        <v>-</v>
      </c>
      <c r="U185" s="305">
        <f t="shared" si="206"/>
        <v>0</v>
      </c>
      <c r="V185" s="306" t="str">
        <f t="shared" si="207"/>
        <v>-</v>
      </c>
      <c r="W185" s="305">
        <f t="shared" si="208"/>
        <v>0</v>
      </c>
      <c r="X185" s="306" t="str">
        <f t="shared" si="209"/>
        <v>-</v>
      </c>
      <c r="Y185" s="305">
        <f t="shared" si="210"/>
        <v>0</v>
      </c>
      <c r="Z185" s="306" t="str">
        <f t="shared" si="211"/>
        <v>-</v>
      </c>
      <c r="AA185" s="305">
        <f>SUMPRODUCT((RO_2016=B185)*(Rem2016en2019))</f>
        <v>0</v>
      </c>
      <c r="AB185" s="306" t="str">
        <f t="shared" si="212"/>
        <v>-</v>
      </c>
      <c r="AC185" s="305">
        <f t="shared" si="213"/>
        <v>0</v>
      </c>
      <c r="AD185" s="306" t="str">
        <f t="shared" si="214"/>
        <v>-</v>
      </c>
      <c r="AE185" s="305">
        <f t="shared" si="215"/>
        <v>0</v>
      </c>
      <c r="AF185" s="306" t="str">
        <f t="shared" si="216"/>
        <v>-</v>
      </c>
      <c r="AG185" s="308"/>
      <c r="AH185" s="170"/>
      <c r="AI185" s="170"/>
      <c r="AJ185" s="170"/>
      <c r="AK185" s="50"/>
      <c r="AL185" s="474"/>
      <c r="AM185" s="474"/>
      <c r="AN185" s="139"/>
      <c r="AO185" s="5"/>
    </row>
    <row r="186" spans="1:41" s="28" customFormat="1" outlineLevel="1">
      <c r="A186" s="1397"/>
      <c r="B186" s="156" t="s">
        <v>300</v>
      </c>
      <c r="C186" s="73">
        <f t="shared" si="192"/>
        <v>0</v>
      </c>
      <c r="D186" s="304" t="str">
        <f t="shared" si="193"/>
        <v>-</v>
      </c>
      <c r="E186" s="73">
        <f t="shared" si="217"/>
        <v>0</v>
      </c>
      <c r="F186" s="304" t="str">
        <f t="shared" si="194"/>
        <v>-</v>
      </c>
      <c r="G186" s="305">
        <f>SUMPRODUCT((RO_2016=B186)*(Phase2016&lt;&gt;"fin")*(Bdgt2016))</f>
        <v>0</v>
      </c>
      <c r="H186" s="306" t="str">
        <f t="shared" si="195"/>
        <v>-</v>
      </c>
      <c r="I186" s="305">
        <f t="shared" si="196"/>
        <v>0</v>
      </c>
      <c r="J186" s="306" t="str">
        <f t="shared" si="197"/>
        <v>-</v>
      </c>
      <c r="K186" s="305">
        <f t="shared" si="198"/>
        <v>0</v>
      </c>
      <c r="L186" s="306" t="str">
        <f t="shared" si="199"/>
        <v>-</v>
      </c>
      <c r="M186" s="307">
        <f t="shared" si="200"/>
        <v>0</v>
      </c>
      <c r="N186" s="308" t="str">
        <f t="shared" si="201"/>
        <v>-</v>
      </c>
      <c r="O186" s="901">
        <f t="shared" si="218"/>
        <v>0</v>
      </c>
      <c r="P186" s="902" t="str">
        <f t="shared" si="202"/>
        <v>-</v>
      </c>
      <c r="Q186" s="305">
        <f t="shared" si="219"/>
        <v>0</v>
      </c>
      <c r="R186" s="306" t="str">
        <f t="shared" si="203"/>
        <v>-</v>
      </c>
      <c r="S186" s="305">
        <f t="shared" si="204"/>
        <v>0</v>
      </c>
      <c r="T186" s="306" t="str">
        <f t="shared" si="205"/>
        <v>-</v>
      </c>
      <c r="U186" s="305">
        <f t="shared" si="206"/>
        <v>0</v>
      </c>
      <c r="V186" s="306" t="str">
        <f t="shared" si="207"/>
        <v>-</v>
      </c>
      <c r="W186" s="305">
        <f t="shared" si="208"/>
        <v>0</v>
      </c>
      <c r="X186" s="306" t="str">
        <f t="shared" si="209"/>
        <v>-</v>
      </c>
      <c r="Y186" s="305">
        <f t="shared" si="210"/>
        <v>0</v>
      </c>
      <c r="Z186" s="306" t="str">
        <f t="shared" si="211"/>
        <v>-</v>
      </c>
      <c r="AA186" s="305">
        <f>SUMPRODUCT((RO_2016=B186)*(Rem2016en2019))</f>
        <v>0</v>
      </c>
      <c r="AB186" s="306" t="str">
        <f t="shared" si="212"/>
        <v>-</v>
      </c>
      <c r="AC186" s="305">
        <f t="shared" si="213"/>
        <v>0</v>
      </c>
      <c r="AD186" s="306" t="str">
        <f t="shared" si="214"/>
        <v>-</v>
      </c>
      <c r="AE186" s="305">
        <f t="shared" si="215"/>
        <v>0</v>
      </c>
      <c r="AF186" s="306" t="str">
        <f t="shared" si="216"/>
        <v>-</v>
      </c>
      <c r="AG186" s="308"/>
      <c r="AH186" s="170"/>
      <c r="AI186" s="170"/>
      <c r="AJ186" s="170"/>
      <c r="AK186" s="50"/>
      <c r="AL186" s="474"/>
      <c r="AM186" s="474"/>
      <c r="AN186" s="139"/>
      <c r="AO186" s="5"/>
    </row>
    <row r="187" spans="1:41" s="28" customFormat="1" ht="16.2" outlineLevel="1" thickBot="1">
      <c r="A187" s="1397"/>
      <c r="B187" s="78" t="s">
        <v>104</v>
      </c>
      <c r="C187" s="73">
        <f t="shared" si="192"/>
        <v>30</v>
      </c>
      <c r="D187" s="304">
        <f t="shared" si="193"/>
        <v>0.19867549668874171</v>
      </c>
      <c r="E187" s="73">
        <f t="shared" si="217"/>
        <v>1</v>
      </c>
      <c r="F187" s="304">
        <f t="shared" si="194"/>
        <v>0.2</v>
      </c>
      <c r="G187" s="305">
        <f t="shared" ref="G187" si="220">SUMPRODUCT((RO_2016=B187)*(Phase2016&lt;&gt;"fin")*(Bdgt2016))</f>
        <v>3355432.8114425917</v>
      </c>
      <c r="H187" s="306">
        <f t="shared" si="195"/>
        <v>0.16035243141444849</v>
      </c>
      <c r="I187" s="305">
        <f t="shared" si="196"/>
        <v>100662.98434327774</v>
      </c>
      <c r="J187" s="306">
        <f t="shared" si="197"/>
        <v>0.1101460140754897</v>
      </c>
      <c r="K187" s="305">
        <f t="shared" si="198"/>
        <v>-17552.015656722258</v>
      </c>
      <c r="L187" s="306">
        <f t="shared" si="199"/>
        <v>-0.20094317045268495</v>
      </c>
      <c r="M187" s="307">
        <f t="shared" si="200"/>
        <v>25155</v>
      </c>
      <c r="N187" s="308">
        <f t="shared" si="201"/>
        <v>1</v>
      </c>
      <c r="O187" s="901">
        <f t="shared" si="218"/>
        <v>0</v>
      </c>
      <c r="P187" s="902" t="str">
        <f t="shared" si="202"/>
        <v>-</v>
      </c>
      <c r="Q187" s="305">
        <f t="shared" si="219"/>
        <v>0</v>
      </c>
      <c r="R187" s="306" t="str">
        <f t="shared" si="203"/>
        <v>-</v>
      </c>
      <c r="S187" s="305">
        <f t="shared" si="204"/>
        <v>0</v>
      </c>
      <c r="T187" s="306" t="str">
        <f t="shared" si="205"/>
        <v>-</v>
      </c>
      <c r="U187" s="305">
        <f t="shared" si="206"/>
        <v>35020</v>
      </c>
      <c r="V187" s="306">
        <f t="shared" si="207"/>
        <v>0.10549304896600545</v>
      </c>
      <c r="W187" s="305">
        <f t="shared" si="208"/>
        <v>0</v>
      </c>
      <c r="X187" s="306" t="str">
        <f t="shared" si="209"/>
        <v>-</v>
      </c>
      <c r="Y187" s="305">
        <f t="shared" si="210"/>
        <v>0</v>
      </c>
      <c r="Z187" s="306" t="str">
        <f t="shared" si="211"/>
        <v>-</v>
      </c>
      <c r="AA187" s="305">
        <f>SUMPRODUCT((RO_2016=B187)*(Rem2016en2019))</f>
        <v>0</v>
      </c>
      <c r="AB187" s="306" t="str">
        <f t="shared" si="212"/>
        <v>-</v>
      </c>
      <c r="AC187" s="305">
        <f t="shared" si="213"/>
        <v>0</v>
      </c>
      <c r="AD187" s="306" t="str">
        <f t="shared" si="214"/>
        <v>-</v>
      </c>
      <c r="AE187" s="305">
        <f t="shared" si="215"/>
        <v>0</v>
      </c>
      <c r="AF187" s="306" t="str">
        <f t="shared" si="216"/>
        <v>-</v>
      </c>
      <c r="AG187" s="308"/>
      <c r="AH187" s="170"/>
      <c r="AI187" s="170"/>
      <c r="AJ187" s="170"/>
      <c r="AK187" s="50"/>
      <c r="AL187" s="474"/>
      <c r="AM187" s="474"/>
      <c r="AN187" s="139"/>
      <c r="AO187" s="5"/>
    </row>
    <row r="188" spans="1:41" s="28" customFormat="1" ht="16.2" outlineLevel="1" thickBot="1">
      <c r="A188" s="1397"/>
      <c r="B188" s="112"/>
      <c r="C188" s="309">
        <f t="shared" ref="C188:AF188" si="221">SUM(C182:C187)</f>
        <v>151</v>
      </c>
      <c r="D188" s="310">
        <f t="shared" si="221"/>
        <v>1</v>
      </c>
      <c r="E188" s="309">
        <f t="shared" si="221"/>
        <v>5</v>
      </c>
      <c r="F188" s="310">
        <f t="shared" si="221"/>
        <v>1</v>
      </c>
      <c r="G188" s="311">
        <f t="shared" si="221"/>
        <v>20925362.85134403</v>
      </c>
      <c r="H188" s="113">
        <f t="shared" si="221"/>
        <v>1</v>
      </c>
      <c r="I188" s="311">
        <f t="shared" si="221"/>
        <v>913904.92146440572</v>
      </c>
      <c r="J188" s="113">
        <f t="shared" si="221"/>
        <v>1</v>
      </c>
      <c r="K188" s="311">
        <f t="shared" si="221"/>
        <v>87348.157278403945</v>
      </c>
      <c r="L188" s="113">
        <f t="shared" si="221"/>
        <v>1</v>
      </c>
      <c r="M188" s="311">
        <f t="shared" si="221"/>
        <v>25155</v>
      </c>
      <c r="N188" s="113">
        <f t="shared" si="221"/>
        <v>1</v>
      </c>
      <c r="O188" s="905">
        <f t="shared" si="221"/>
        <v>0</v>
      </c>
      <c r="P188" s="906">
        <f t="shared" si="221"/>
        <v>0</v>
      </c>
      <c r="Q188" s="311">
        <f t="shared" si="221"/>
        <v>125141</v>
      </c>
      <c r="R188" s="113">
        <f t="shared" si="221"/>
        <v>1</v>
      </c>
      <c r="S188" s="311">
        <f t="shared" si="221"/>
        <v>70922</v>
      </c>
      <c r="T188" s="113">
        <f t="shared" si="221"/>
        <v>1</v>
      </c>
      <c r="U188" s="311">
        <f t="shared" si="221"/>
        <v>331965</v>
      </c>
      <c r="V188" s="113">
        <f t="shared" si="221"/>
        <v>0.99999999999999989</v>
      </c>
      <c r="W188" s="311">
        <f t="shared" si="221"/>
        <v>153814</v>
      </c>
      <c r="X188" s="113">
        <f t="shared" si="221"/>
        <v>1</v>
      </c>
      <c r="Y188" s="311">
        <f t="shared" si="221"/>
        <v>130267.1</v>
      </c>
      <c r="Z188" s="113">
        <f t="shared" si="221"/>
        <v>1</v>
      </c>
      <c r="AA188" s="311">
        <f t="shared" ref="AA188:AB188" si="222">SUM(AA182:AA187)</f>
        <v>145781.6</v>
      </c>
      <c r="AB188" s="113">
        <f t="shared" si="222"/>
        <v>1.1190976079148149</v>
      </c>
      <c r="AC188" s="311">
        <f t="shared" si="221"/>
        <v>25629.332562421012</v>
      </c>
      <c r="AD188" s="113">
        <f t="shared" si="221"/>
        <v>1</v>
      </c>
      <c r="AE188" s="311">
        <f t="shared" si="221"/>
        <v>36092</v>
      </c>
      <c r="AF188" s="113">
        <f t="shared" si="221"/>
        <v>0.27706151438083754</v>
      </c>
      <c r="AG188" s="213"/>
      <c r="AH188" s="170"/>
      <c r="AI188" s="170"/>
      <c r="AJ188" s="170"/>
      <c r="AK188" s="50"/>
      <c r="AL188" s="474"/>
      <c r="AM188" s="474"/>
      <c r="AN188" s="139"/>
      <c r="AO188" s="5"/>
    </row>
    <row r="189" spans="1:41" s="28" customFormat="1" outlineLevel="1">
      <c r="A189" s="1355" t="s">
        <v>192</v>
      </c>
      <c r="B189" s="72" t="s">
        <v>12</v>
      </c>
      <c r="C189" s="300">
        <f>SUMPRODUCT((RO_2017=B189)*(Phase2017&lt;&gt;"fin")*(Prog2017))</f>
        <v>0</v>
      </c>
      <c r="D189" s="301" t="str">
        <f t="shared" ref="D189:D194" si="223">IF(C189=0,"-",C189/$C$195)</f>
        <v>-</v>
      </c>
      <c r="E189" s="300">
        <f>SUMPRODUCT((RO_2017=B189)*(Phase2017&lt;&gt;"fin"))</f>
        <v>0</v>
      </c>
      <c r="F189" s="301" t="str">
        <f t="shared" ref="F189:F194" si="224">IF(E189=0,"-",E189/$E$195)</f>
        <v>-</v>
      </c>
      <c r="G189" s="302">
        <f t="shared" ref="G189:G194" si="225">SUMPRODUCT((RO_2017=B189)*(Phase2017&lt;&gt;"fin")*(Bdgt2017))</f>
        <v>0</v>
      </c>
      <c r="H189" s="306" t="str">
        <f t="shared" ref="H189:H194" si="226">IF(G189=0,"-",G189/$G$195)</f>
        <v>-</v>
      </c>
      <c r="I189" s="302">
        <f t="shared" ref="I189:I194" si="227">SUMPRODUCT((RO_2017=B189)*(Phase2017&lt;&gt;"fin")*(Rem_2017))</f>
        <v>0</v>
      </c>
      <c r="J189" s="303" t="str">
        <f t="shared" ref="J189:J194" si="228">IF(I189=0,"-",I189/$I$195)</f>
        <v>-</v>
      </c>
      <c r="K189" s="302">
        <f>SUMPRODUCT((RO_2017=B189)*(Phase2017&lt;&gt;"fin")*(RemRest2017))</f>
        <v>0</v>
      </c>
      <c r="L189" s="303" t="str">
        <f t="shared" ref="L189:L194" si="229">IF(K189=0,"-",K189/$K$195)</f>
        <v>-</v>
      </c>
      <c r="M189" s="897">
        <v>0</v>
      </c>
      <c r="N189" s="898" t="str">
        <f t="shared" ref="N189:N194" si="230">IF(M189=0,"-",M189/$M$195)</f>
        <v>-</v>
      </c>
      <c r="O189" s="897">
        <f t="shared" ref="O189:O194" si="231">SUMPRODUCT((RO_2017=B189)*(Phase2017&lt;&gt;"fin")*(Rem2017en2013))</f>
        <v>0</v>
      </c>
      <c r="P189" s="898" t="str">
        <f t="shared" ref="P189:P194" si="232">IF(O189=0,"-",O189/$O$195)</f>
        <v>-</v>
      </c>
      <c r="Q189" s="897">
        <f t="shared" ref="Q189:Q194" si="233">SUMPRODUCT((RO_2017=B189)*(Rem2017en2014))</f>
        <v>0</v>
      </c>
      <c r="R189" s="898" t="str">
        <f t="shared" ref="R189:R194" si="234">IF(Q189=0,"-",Q189/$Q$195)</f>
        <v>-</v>
      </c>
      <c r="S189" s="897">
        <f t="shared" ref="S189:S194" si="235">SUMPRODUCT((RO_2017=B189)*(Rem2017en2015))</f>
        <v>0</v>
      </c>
      <c r="T189" s="898" t="str">
        <f t="shared" ref="T189:T194" si="236">IF(S189=0,"-",S189/$S$195)</f>
        <v>-</v>
      </c>
      <c r="U189" s="302">
        <f t="shared" ref="U189:U194" si="237">SUMPRODUCT((RO_2017=B189)*(Rem2017en2016))</f>
        <v>0</v>
      </c>
      <c r="V189" s="303" t="str">
        <f t="shared" ref="V189:V194" si="238">IF(U189=0,"-",U189/$U$195)</f>
        <v>-</v>
      </c>
      <c r="W189" s="302">
        <f t="shared" ref="W189:W194" si="239">SUMPRODUCT((RO_2017=B189)*(Rem2017en2017))</f>
        <v>0</v>
      </c>
      <c r="X189" s="303" t="str">
        <f t="shared" ref="X189:X194" si="240">IF(W189=0,"-",W189/$W$195)</f>
        <v>-</v>
      </c>
      <c r="Y189" s="302">
        <f t="shared" ref="Y189:Y194" si="241">SUMPRODUCT((RO_2017=B189)*(Rem2017en2018))</f>
        <v>0</v>
      </c>
      <c r="Z189" s="303" t="str">
        <f t="shared" ref="Z189:Z194" si="242">IF(Y189=0,"-",Y189/$Y$195)</f>
        <v>-</v>
      </c>
      <c r="AA189" s="302">
        <f t="shared" ref="AA189:AA194" si="243">SUMPRODUCT((RO_2017=B189)*(Rem2017en2019))</f>
        <v>0</v>
      </c>
      <c r="AB189" s="303" t="str">
        <f t="shared" ref="AB189:AB194" si="244">IF(AA189=0,"-",AA189/$Y$195)</f>
        <v>-</v>
      </c>
      <c r="AC189" s="302">
        <f t="shared" ref="AC189:AC194" si="245">SUMPRODUCT((RO_2017=B189)*(Rem2017Preven2020))</f>
        <v>0</v>
      </c>
      <c r="AD189" s="303" t="str">
        <f t="shared" ref="AD189:AD194" si="246">IF(AC189=0,"-",AC189/$AC$195)</f>
        <v>-</v>
      </c>
      <c r="AE189" s="302">
        <f t="shared" ref="AE189:AE194" si="247">SUMPRODUCT((RO_2017=B189)*(Rem2017en2020))</f>
        <v>0</v>
      </c>
      <c r="AF189" s="303" t="str">
        <f t="shared" ref="AF189:AF194" si="248">IF(AE189=0,"-",AE189/$Y$195)</f>
        <v>-</v>
      </c>
      <c r="AG189" s="308"/>
      <c r="AH189" s="170"/>
      <c r="AI189" s="170"/>
      <c r="AJ189" s="170"/>
      <c r="AK189" s="50"/>
      <c r="AL189" s="474"/>
      <c r="AM189" s="474"/>
      <c r="AN189" s="139"/>
      <c r="AO189" s="5"/>
    </row>
    <row r="190" spans="1:41" s="28" customFormat="1" outlineLevel="1">
      <c r="A190" s="1356"/>
      <c r="B190" s="180" t="s">
        <v>291</v>
      </c>
      <c r="C190" s="73">
        <f t="shared" ref="C190:C194" si="249">SUMPRODUCT((RO_2017=B190)*(Phase2017&lt;&gt;"fin")*(Prog2017))</f>
        <v>47</v>
      </c>
      <c r="D190" s="304">
        <f t="shared" si="223"/>
        <v>9.6907216494845363E-2</v>
      </c>
      <c r="E190" s="73">
        <f t="shared" ref="E190:E194" si="250">SUMPRODUCT((RO_2017=B190)*(Phase2017&lt;&gt;"fin"))</f>
        <v>2</v>
      </c>
      <c r="F190" s="304">
        <f t="shared" si="224"/>
        <v>0.2857142857142857</v>
      </c>
      <c r="G190" s="305">
        <f t="shared" si="225"/>
        <v>8276410</v>
      </c>
      <c r="H190" s="306">
        <f t="shared" si="226"/>
        <v>0.17954393882230485</v>
      </c>
      <c r="I190" s="305">
        <f t="shared" si="227"/>
        <v>325645.83999999997</v>
      </c>
      <c r="J190" s="306">
        <f t="shared" si="228"/>
        <v>0.17495460401998475</v>
      </c>
      <c r="K190" s="305">
        <f t="shared" ref="K190:K194" si="251">SUMPRODUCT((RO_2017=B190)*(Phase2017&lt;&gt;"fin")*(RemRest2017))</f>
        <v>58072.84</v>
      </c>
      <c r="L190" s="306">
        <f t="shared" si="229"/>
        <v>0.48109702076898264</v>
      </c>
      <c r="M190" s="903">
        <v>0</v>
      </c>
      <c r="N190" s="904" t="str">
        <f t="shared" si="230"/>
        <v>-</v>
      </c>
      <c r="O190" s="901">
        <f t="shared" si="231"/>
        <v>0</v>
      </c>
      <c r="P190" s="902" t="str">
        <f t="shared" si="232"/>
        <v>-</v>
      </c>
      <c r="Q190" s="901">
        <f t="shared" si="233"/>
        <v>0</v>
      </c>
      <c r="R190" s="902" t="str">
        <f t="shared" si="234"/>
        <v>-</v>
      </c>
      <c r="S190" s="901">
        <f t="shared" si="235"/>
        <v>0</v>
      </c>
      <c r="T190" s="902" t="str">
        <f t="shared" si="236"/>
        <v>-</v>
      </c>
      <c r="U190" s="305">
        <f t="shared" si="237"/>
        <v>94998</v>
      </c>
      <c r="V190" s="306">
        <f t="shared" si="238"/>
        <v>0.25540254977766069</v>
      </c>
      <c r="W190" s="305">
        <f t="shared" si="239"/>
        <v>121250</v>
      </c>
      <c r="X190" s="306">
        <f t="shared" si="240"/>
        <v>0.2385017565531431</v>
      </c>
      <c r="Y190" s="305">
        <f t="shared" si="241"/>
        <v>0</v>
      </c>
      <c r="Z190" s="306" t="str">
        <f t="shared" si="242"/>
        <v>-</v>
      </c>
      <c r="AA190" s="305">
        <f t="shared" si="243"/>
        <v>40715</v>
      </c>
      <c r="AB190" s="306">
        <f t="shared" si="244"/>
        <v>0.11358722488959316</v>
      </c>
      <c r="AC190" s="305">
        <f t="shared" si="245"/>
        <v>9794.4500000000007</v>
      </c>
      <c r="AD190" s="306">
        <f t="shared" si="246"/>
        <v>1</v>
      </c>
      <c r="AE190" s="305">
        <f t="shared" si="247"/>
        <v>10609</v>
      </c>
      <c r="AF190" s="306">
        <f t="shared" si="248"/>
        <v>2.9597123145123267E-2</v>
      </c>
      <c r="AG190" s="308"/>
      <c r="AH190" s="170"/>
      <c r="AI190" s="170"/>
      <c r="AJ190" s="170"/>
      <c r="AK190" s="50"/>
      <c r="AL190" s="474"/>
      <c r="AM190" s="474"/>
      <c r="AN190" s="139"/>
      <c r="AO190" s="5"/>
    </row>
    <row r="191" spans="1:41" s="28" customFormat="1" outlineLevel="1">
      <c r="A191" s="1356"/>
      <c r="B191" s="75" t="s">
        <v>7</v>
      </c>
      <c r="C191" s="73">
        <f>SUMPRODUCT((RO_2017=B191)*(Phase2017&lt;&gt;"fin")*(Prog2017))</f>
        <v>300</v>
      </c>
      <c r="D191" s="304">
        <f t="shared" si="223"/>
        <v>0.61855670103092786</v>
      </c>
      <c r="E191" s="73">
        <f t="shared" si="250"/>
        <v>2</v>
      </c>
      <c r="F191" s="304">
        <f t="shared" si="224"/>
        <v>0.2857142857142857</v>
      </c>
      <c r="G191" s="305">
        <f t="shared" si="225"/>
        <v>17853471</v>
      </c>
      <c r="H191" s="306">
        <f t="shared" si="226"/>
        <v>0.38730349330081448</v>
      </c>
      <c r="I191" s="305">
        <f t="shared" si="227"/>
        <v>785323</v>
      </c>
      <c r="J191" s="306">
        <f t="shared" si="228"/>
        <v>0.42191810125007739</v>
      </c>
      <c r="K191" s="305">
        <f t="shared" si="251"/>
        <v>0</v>
      </c>
      <c r="L191" s="306" t="str">
        <f t="shared" si="229"/>
        <v>-</v>
      </c>
      <c r="M191" s="903">
        <v>0</v>
      </c>
      <c r="N191" s="904" t="str">
        <f t="shared" si="230"/>
        <v>-</v>
      </c>
      <c r="O191" s="901">
        <f t="shared" si="231"/>
        <v>0</v>
      </c>
      <c r="P191" s="902" t="str">
        <f t="shared" si="232"/>
        <v>-</v>
      </c>
      <c r="Q191" s="901">
        <f t="shared" si="233"/>
        <v>0</v>
      </c>
      <c r="R191" s="902" t="str">
        <f t="shared" si="234"/>
        <v>-</v>
      </c>
      <c r="S191" s="901">
        <f t="shared" si="235"/>
        <v>0</v>
      </c>
      <c r="T191" s="902" t="str">
        <f t="shared" si="236"/>
        <v>-</v>
      </c>
      <c r="U191" s="305">
        <f t="shared" si="237"/>
        <v>97674</v>
      </c>
      <c r="V191" s="306">
        <f t="shared" si="238"/>
        <v>0.26259698779956664</v>
      </c>
      <c r="W191" s="305">
        <f t="shared" si="239"/>
        <v>153440</v>
      </c>
      <c r="X191" s="306">
        <f t="shared" si="240"/>
        <v>0.30182028474650952</v>
      </c>
      <c r="Y191" s="305">
        <f t="shared" si="241"/>
        <v>202834</v>
      </c>
      <c r="Z191" s="306">
        <f t="shared" si="242"/>
        <v>0.56586887322254054</v>
      </c>
      <c r="AA191" s="305">
        <f t="shared" si="243"/>
        <v>331375.15000000002</v>
      </c>
      <c r="AB191" s="306">
        <f t="shared" si="244"/>
        <v>0.92447460851953012</v>
      </c>
      <c r="AC191" s="305">
        <f t="shared" si="245"/>
        <v>0</v>
      </c>
      <c r="AD191" s="306" t="str">
        <f t="shared" si="246"/>
        <v>-</v>
      </c>
      <c r="AE191" s="305">
        <f t="shared" si="247"/>
        <v>0</v>
      </c>
      <c r="AF191" s="306" t="str">
        <f t="shared" si="248"/>
        <v>-</v>
      </c>
      <c r="AG191" s="308"/>
      <c r="AH191" s="170"/>
      <c r="AI191" s="170"/>
      <c r="AJ191" s="170"/>
      <c r="AK191" s="50"/>
      <c r="AL191" s="474"/>
      <c r="AM191" s="474"/>
      <c r="AN191" s="139"/>
      <c r="AO191" s="5"/>
    </row>
    <row r="192" spans="1:41" s="28" customFormat="1" outlineLevel="1">
      <c r="A192" s="1356"/>
      <c r="B192" s="76" t="s">
        <v>103</v>
      </c>
      <c r="C192" s="73">
        <f t="shared" si="249"/>
        <v>0</v>
      </c>
      <c r="D192" s="304" t="str">
        <f t="shared" si="223"/>
        <v>-</v>
      </c>
      <c r="E192" s="73">
        <f t="shared" si="250"/>
        <v>0</v>
      </c>
      <c r="F192" s="304" t="str">
        <f t="shared" si="224"/>
        <v>-</v>
      </c>
      <c r="G192" s="305">
        <f t="shared" si="225"/>
        <v>0</v>
      </c>
      <c r="H192" s="306" t="str">
        <f t="shared" si="226"/>
        <v>-</v>
      </c>
      <c r="I192" s="305">
        <f t="shared" si="227"/>
        <v>0</v>
      </c>
      <c r="J192" s="306" t="str">
        <f t="shared" si="228"/>
        <v>-</v>
      </c>
      <c r="K192" s="305">
        <f t="shared" si="251"/>
        <v>0</v>
      </c>
      <c r="L192" s="306" t="str">
        <f t="shared" si="229"/>
        <v>-</v>
      </c>
      <c r="M192" s="903">
        <v>0</v>
      </c>
      <c r="N192" s="904" t="str">
        <f t="shared" si="230"/>
        <v>-</v>
      </c>
      <c r="O192" s="901">
        <f t="shared" si="231"/>
        <v>0</v>
      </c>
      <c r="P192" s="902" t="str">
        <f t="shared" si="232"/>
        <v>-</v>
      </c>
      <c r="Q192" s="901">
        <f t="shared" si="233"/>
        <v>0</v>
      </c>
      <c r="R192" s="902" t="str">
        <f t="shared" si="234"/>
        <v>-</v>
      </c>
      <c r="S192" s="901">
        <f t="shared" si="235"/>
        <v>0</v>
      </c>
      <c r="T192" s="902" t="str">
        <f t="shared" si="236"/>
        <v>-</v>
      </c>
      <c r="U192" s="305">
        <f t="shared" si="237"/>
        <v>0</v>
      </c>
      <c r="V192" s="306" t="str">
        <f t="shared" si="238"/>
        <v>-</v>
      </c>
      <c r="W192" s="305">
        <f t="shared" si="239"/>
        <v>0</v>
      </c>
      <c r="X192" s="306" t="str">
        <f t="shared" si="240"/>
        <v>-</v>
      </c>
      <c r="Y192" s="305">
        <f t="shared" si="241"/>
        <v>0</v>
      </c>
      <c r="Z192" s="306" t="str">
        <f t="shared" si="242"/>
        <v>-</v>
      </c>
      <c r="AA192" s="305">
        <f t="shared" si="243"/>
        <v>0</v>
      </c>
      <c r="AB192" s="306" t="str">
        <f t="shared" si="244"/>
        <v>-</v>
      </c>
      <c r="AC192" s="305">
        <f t="shared" si="245"/>
        <v>0</v>
      </c>
      <c r="AD192" s="306" t="str">
        <f t="shared" si="246"/>
        <v>-</v>
      </c>
      <c r="AE192" s="305">
        <f t="shared" si="247"/>
        <v>0</v>
      </c>
      <c r="AF192" s="306" t="str">
        <f t="shared" si="248"/>
        <v>-</v>
      </c>
      <c r="AG192" s="308"/>
      <c r="AH192" s="170"/>
      <c r="AI192" s="170"/>
      <c r="AJ192" s="170"/>
      <c r="AK192" s="50"/>
      <c r="AL192" s="474"/>
      <c r="AM192" s="474"/>
      <c r="AN192" s="139"/>
      <c r="AO192" s="5"/>
    </row>
    <row r="193" spans="1:49" s="28" customFormat="1" outlineLevel="1">
      <c r="A193" s="1356"/>
      <c r="B193" s="156" t="s">
        <v>322</v>
      </c>
      <c r="C193" s="73">
        <f t="shared" si="249"/>
        <v>84</v>
      </c>
      <c r="D193" s="304">
        <f t="shared" si="223"/>
        <v>0.17319587628865979</v>
      </c>
      <c r="E193" s="73">
        <f t="shared" si="250"/>
        <v>1</v>
      </c>
      <c r="F193" s="304">
        <f t="shared" si="224"/>
        <v>0.14285714285714285</v>
      </c>
      <c r="G193" s="305">
        <f t="shared" si="225"/>
        <v>12400063.909209061</v>
      </c>
      <c r="H193" s="306">
        <f t="shared" si="226"/>
        <v>0.26900024478097412</v>
      </c>
      <c r="I193" s="305">
        <f t="shared" si="227"/>
        <v>372001.91727627185</v>
      </c>
      <c r="J193" s="306">
        <f t="shared" si="228"/>
        <v>0.1998596024802444</v>
      </c>
      <c r="K193" s="305">
        <f t="shared" si="251"/>
        <v>52630.917276271852</v>
      </c>
      <c r="L193" s="306">
        <f t="shared" si="229"/>
        <v>0.43601410748902875</v>
      </c>
      <c r="M193" s="903">
        <v>0</v>
      </c>
      <c r="N193" s="904" t="str">
        <f t="shared" si="230"/>
        <v>-</v>
      </c>
      <c r="O193" s="901">
        <f t="shared" si="231"/>
        <v>0</v>
      </c>
      <c r="P193" s="902" t="str">
        <f t="shared" si="232"/>
        <v>-</v>
      </c>
      <c r="Q193" s="901">
        <f t="shared" si="233"/>
        <v>0</v>
      </c>
      <c r="R193" s="902" t="str">
        <f t="shared" si="234"/>
        <v>-</v>
      </c>
      <c r="S193" s="901">
        <f t="shared" si="235"/>
        <v>0</v>
      </c>
      <c r="T193" s="902" t="str">
        <f t="shared" si="236"/>
        <v>-</v>
      </c>
      <c r="U193" s="305">
        <f t="shared" si="237"/>
        <v>133744</v>
      </c>
      <c r="V193" s="306">
        <f t="shared" si="238"/>
        <v>0.35957134484371722</v>
      </c>
      <c r="W193" s="305">
        <f t="shared" si="239"/>
        <v>85861</v>
      </c>
      <c r="X193" s="306">
        <f t="shared" si="240"/>
        <v>0.16889071603636635</v>
      </c>
      <c r="Y193" s="305">
        <f t="shared" si="241"/>
        <v>99766</v>
      </c>
      <c r="Z193" s="306">
        <f t="shared" si="242"/>
        <v>0.27832845581076143</v>
      </c>
      <c r="AA193" s="305">
        <f t="shared" si="243"/>
        <v>0</v>
      </c>
      <c r="AB193" s="306" t="str">
        <f t="shared" si="244"/>
        <v>-</v>
      </c>
      <c r="AC193" s="305">
        <f t="shared" si="245"/>
        <v>0</v>
      </c>
      <c r="AD193" s="306" t="str">
        <f t="shared" si="246"/>
        <v>-</v>
      </c>
      <c r="AE193" s="305">
        <f t="shared" si="247"/>
        <v>0</v>
      </c>
      <c r="AF193" s="306" t="str">
        <f t="shared" si="248"/>
        <v>-</v>
      </c>
      <c r="AG193" s="308"/>
      <c r="AH193" s="170"/>
      <c r="AI193" s="170"/>
      <c r="AJ193" s="170"/>
      <c r="AK193" s="50"/>
      <c r="AL193" s="474"/>
      <c r="AM193" s="474"/>
      <c r="AN193" s="139"/>
      <c r="AO193" s="5"/>
    </row>
    <row r="194" spans="1:49" s="28" customFormat="1" ht="16.2" outlineLevel="1" thickBot="1">
      <c r="A194" s="1356"/>
      <c r="B194" s="78" t="s">
        <v>104</v>
      </c>
      <c r="C194" s="73">
        <f t="shared" si="249"/>
        <v>54</v>
      </c>
      <c r="D194" s="304">
        <f t="shared" si="223"/>
        <v>0.11134020618556702</v>
      </c>
      <c r="E194" s="73">
        <f t="shared" si="250"/>
        <v>2</v>
      </c>
      <c r="F194" s="304">
        <f t="shared" si="224"/>
        <v>0.2857142857142857</v>
      </c>
      <c r="G194" s="305">
        <f t="shared" si="225"/>
        <v>7566905</v>
      </c>
      <c r="H194" s="306">
        <f t="shared" si="226"/>
        <v>0.16415232309590663</v>
      </c>
      <c r="I194" s="305">
        <f t="shared" si="227"/>
        <v>378345.45</v>
      </c>
      <c r="J194" s="306">
        <f t="shared" si="228"/>
        <v>0.20326769224969357</v>
      </c>
      <c r="K194" s="305">
        <f t="shared" si="251"/>
        <v>10005.450000000012</v>
      </c>
      <c r="L194" s="306">
        <f t="shared" si="229"/>
        <v>8.2888871741988571E-2</v>
      </c>
      <c r="M194" s="903">
        <v>0</v>
      </c>
      <c r="N194" s="904" t="str">
        <f t="shared" si="230"/>
        <v>-</v>
      </c>
      <c r="O194" s="901">
        <f t="shared" si="231"/>
        <v>0</v>
      </c>
      <c r="P194" s="902" t="str">
        <f t="shared" si="232"/>
        <v>-</v>
      </c>
      <c r="Q194" s="901">
        <f t="shared" si="233"/>
        <v>0</v>
      </c>
      <c r="R194" s="902" t="str">
        <f t="shared" si="234"/>
        <v>-</v>
      </c>
      <c r="S194" s="901">
        <f t="shared" si="235"/>
        <v>0</v>
      </c>
      <c r="T194" s="902" t="str">
        <f t="shared" si="236"/>
        <v>-</v>
      </c>
      <c r="U194" s="305">
        <f t="shared" si="237"/>
        <v>45538</v>
      </c>
      <c r="V194" s="306">
        <f t="shared" si="238"/>
        <v>0.12242911757905547</v>
      </c>
      <c r="W194" s="305">
        <f t="shared" si="239"/>
        <v>147831</v>
      </c>
      <c r="X194" s="306">
        <f t="shared" si="240"/>
        <v>0.29078724266398104</v>
      </c>
      <c r="Y194" s="305">
        <f t="shared" si="241"/>
        <v>55847</v>
      </c>
      <c r="Z194" s="306">
        <f t="shared" si="242"/>
        <v>0.155802670966698</v>
      </c>
      <c r="AA194" s="305">
        <f t="shared" si="243"/>
        <v>59492</v>
      </c>
      <c r="AB194" s="306">
        <f t="shared" si="244"/>
        <v>0.16597153833063186</v>
      </c>
      <c r="AC194" s="305">
        <f t="shared" si="245"/>
        <v>0</v>
      </c>
      <c r="AD194" s="306" t="str">
        <f t="shared" si="246"/>
        <v>-</v>
      </c>
      <c r="AE194" s="305">
        <f t="shared" si="247"/>
        <v>69424</v>
      </c>
      <c r="AF194" s="306">
        <f t="shared" si="248"/>
        <v>0.19367995826440171</v>
      </c>
      <c r="AG194" s="308"/>
      <c r="AH194" s="170"/>
      <c r="AI194" s="170"/>
      <c r="AJ194" s="170"/>
      <c r="AK194" s="50"/>
      <c r="AL194" s="474"/>
      <c r="AM194" s="474"/>
      <c r="AN194" s="139"/>
      <c r="AO194" s="5"/>
    </row>
    <row r="195" spans="1:49" s="28" customFormat="1" ht="16.2" outlineLevel="1" thickBot="1">
      <c r="A195" s="1357"/>
      <c r="B195" s="112"/>
      <c r="C195" s="309">
        <f t="shared" ref="C195:AF195" si="252">SUM(C189:C194)</f>
        <v>485</v>
      </c>
      <c r="D195" s="310">
        <f t="shared" si="252"/>
        <v>1</v>
      </c>
      <c r="E195" s="309">
        <f t="shared" si="252"/>
        <v>7</v>
      </c>
      <c r="F195" s="310">
        <f t="shared" si="252"/>
        <v>0.99999999999999989</v>
      </c>
      <c r="G195" s="311">
        <f t="shared" si="252"/>
        <v>46096849.909209058</v>
      </c>
      <c r="H195" s="113">
        <f t="shared" si="252"/>
        <v>1</v>
      </c>
      <c r="I195" s="311">
        <f t="shared" si="252"/>
        <v>1861316.2072762717</v>
      </c>
      <c r="J195" s="113">
        <f t="shared" si="252"/>
        <v>1.0000000000000002</v>
      </c>
      <c r="K195" s="311">
        <f t="shared" si="252"/>
        <v>120709.20727627186</v>
      </c>
      <c r="L195" s="113">
        <f t="shared" si="252"/>
        <v>0.99999999999999989</v>
      </c>
      <c r="M195" s="905">
        <f t="shared" si="252"/>
        <v>0</v>
      </c>
      <c r="N195" s="906">
        <f t="shared" si="252"/>
        <v>0</v>
      </c>
      <c r="O195" s="905">
        <f t="shared" si="252"/>
        <v>0</v>
      </c>
      <c r="P195" s="906">
        <f t="shared" si="252"/>
        <v>0</v>
      </c>
      <c r="Q195" s="905">
        <f t="shared" si="252"/>
        <v>0</v>
      </c>
      <c r="R195" s="906">
        <f t="shared" si="252"/>
        <v>0</v>
      </c>
      <c r="S195" s="905">
        <f t="shared" si="252"/>
        <v>0</v>
      </c>
      <c r="T195" s="906">
        <f t="shared" si="252"/>
        <v>0</v>
      </c>
      <c r="U195" s="311">
        <f t="shared" si="252"/>
        <v>371954</v>
      </c>
      <c r="V195" s="113">
        <f t="shared" si="252"/>
        <v>1</v>
      </c>
      <c r="W195" s="311">
        <f t="shared" si="252"/>
        <v>508382</v>
      </c>
      <c r="X195" s="113">
        <f t="shared" si="252"/>
        <v>1</v>
      </c>
      <c r="Y195" s="311">
        <f t="shared" si="252"/>
        <v>358447</v>
      </c>
      <c r="Z195" s="113">
        <f t="shared" si="252"/>
        <v>1</v>
      </c>
      <c r="AA195" s="311">
        <f t="shared" ref="AA195:AB195" si="253">SUM(AA189:AA194)</f>
        <v>431582.15</v>
      </c>
      <c r="AB195" s="113">
        <f t="shared" si="253"/>
        <v>1.2040333717397553</v>
      </c>
      <c r="AC195" s="311">
        <f t="shared" si="252"/>
        <v>9794.4500000000007</v>
      </c>
      <c r="AD195" s="113">
        <f t="shared" si="252"/>
        <v>1</v>
      </c>
      <c r="AE195" s="311">
        <f t="shared" si="252"/>
        <v>80033</v>
      </c>
      <c r="AF195" s="113">
        <f t="shared" si="252"/>
        <v>0.22327708140952499</v>
      </c>
      <c r="AG195" s="213"/>
      <c r="AH195" s="170"/>
      <c r="AI195" s="170"/>
      <c r="AJ195" s="170"/>
      <c r="AK195" s="50"/>
      <c r="AL195" s="474"/>
      <c r="AM195" s="474"/>
      <c r="AN195" s="139"/>
      <c r="AO195" s="5"/>
    </row>
    <row r="196" spans="1:49" s="28" customFormat="1" outlineLevel="1">
      <c r="A196" s="1371" t="s">
        <v>250</v>
      </c>
      <c r="B196" s="72" t="s">
        <v>12</v>
      </c>
      <c r="C196" s="300">
        <f>SUMPRODUCT((RO_2018=B196)*(Phase2018&lt;&gt;"fin")*(Prog2018))</f>
        <v>0</v>
      </c>
      <c r="D196" s="301" t="str">
        <f t="shared" ref="D196:D201" si="254">IF(C196=0,"-",C196/$C$202)</f>
        <v>-</v>
      </c>
      <c r="E196" s="300">
        <f t="shared" ref="E196:E201" si="255">SUMPRODUCT((RO_2018=B196)*(Phase2018&lt;&gt;"fin"))</f>
        <v>0</v>
      </c>
      <c r="F196" s="301" t="str">
        <f t="shared" ref="F196:F201" si="256">IF(E196=0,"-",E196/$E$202)</f>
        <v>-</v>
      </c>
      <c r="G196" s="302">
        <f t="shared" ref="G196:G201" si="257">SUMPRODUCT((RO_2018=B196)*(Phase2018&lt;&gt;"fin")*(Bdgt2018))</f>
        <v>0</v>
      </c>
      <c r="H196" s="306" t="str">
        <f t="shared" ref="H196:H201" si="258">IF(G196=0,"-",G196/$G$202)</f>
        <v>-</v>
      </c>
      <c r="I196" s="302">
        <f t="shared" ref="I196:I201" si="259">SUMPRODUCT((RO_2018=B196)*(Phase2018&lt;&gt;"fin")*(Rem_2018))</f>
        <v>0</v>
      </c>
      <c r="J196" s="303" t="str">
        <f t="shared" ref="J196:J201" si="260">IF(I196=0,"-",I196/$I$202)</f>
        <v>-</v>
      </c>
      <c r="K196" s="302">
        <f t="shared" ref="K196:K201" si="261">SUMPRODUCT((RO_2018=B196)*(Phase2018&lt;&gt;"fin")*(RemRest2018))</f>
        <v>0</v>
      </c>
      <c r="L196" s="303" t="str">
        <f t="shared" ref="L196:L201" si="262">IF(K196=0,"-",K196/$K$202)</f>
        <v>-</v>
      </c>
      <c r="M196" s="897">
        <v>0</v>
      </c>
      <c r="N196" s="898" t="str">
        <f t="shared" ref="N196:N201" si="263">IF(M196=0,"-",M196/$M$202)</f>
        <v>-</v>
      </c>
      <c r="O196" s="897">
        <v>0</v>
      </c>
      <c r="P196" s="898" t="str">
        <f t="shared" ref="P196:P201" si="264">IF(O196=0,"-",O196/$O$202)</f>
        <v>-</v>
      </c>
      <c r="Q196" s="897">
        <v>0</v>
      </c>
      <c r="R196" s="898" t="str">
        <f t="shared" ref="R196:R201" si="265">IF(Q196=0,"-",Q196/$Q$202)</f>
        <v>-</v>
      </c>
      <c r="S196" s="897">
        <v>0</v>
      </c>
      <c r="T196" s="898" t="str">
        <f t="shared" ref="T196:T201" si="266">IF(S196=0,"-",S196/$S$202)</f>
        <v>-</v>
      </c>
      <c r="U196" s="897">
        <f t="shared" ref="U196:U201" si="267">SUMPRODUCT((RO_2018=B196)*(Rem2018en2016))</f>
        <v>0</v>
      </c>
      <c r="V196" s="898" t="str">
        <f t="shared" ref="V196:V201" si="268">IF(U196=0,"-",U196/$U$202)</f>
        <v>-</v>
      </c>
      <c r="W196" s="302">
        <f t="shared" ref="W196:W201" si="269">SUMPRODUCT((RO_2018=B196)*(Rem2018en2017))</f>
        <v>0</v>
      </c>
      <c r="X196" s="303" t="str">
        <f t="shared" ref="X196:X201" si="270">IF(W196=0,"-",W196/$W$202)</f>
        <v>-</v>
      </c>
      <c r="Y196" s="302">
        <f t="shared" ref="Y196:Y201" si="271">SUMPRODUCT((RO_2018=B196)*(Rem2018en2018))</f>
        <v>0</v>
      </c>
      <c r="Z196" s="303" t="str">
        <f t="shared" ref="Z196:Z201" si="272">IF(Y196=0,"-",Y196/$Y$202)</f>
        <v>-</v>
      </c>
      <c r="AA196" s="302">
        <f t="shared" ref="AA196:AA201" si="273">SUMPRODUCT((RO_2018=B196)*(Rem2018en2019))</f>
        <v>0</v>
      </c>
      <c r="AB196" s="303" t="str">
        <f t="shared" ref="AB196:AB201" si="274">IF(AA196=0,"-",AA196/$Y$202)</f>
        <v>-</v>
      </c>
      <c r="AC196" s="302">
        <f t="shared" ref="AC196:AC201" si="275">SUMPRODUCT((RO_2018=B196)*(Rem2018Preven2020))</f>
        <v>0</v>
      </c>
      <c r="AD196" s="303" t="str">
        <f t="shared" ref="AD196:AD201" si="276">IF(AC196=0,"-",AC196/$AC$202)</f>
        <v>-</v>
      </c>
      <c r="AE196" s="302">
        <f t="shared" ref="AE196:AE201" si="277">SUMPRODUCT((RO_2018=B196)*(Rem2018en2020))</f>
        <v>0</v>
      </c>
      <c r="AF196" s="303" t="str">
        <f t="shared" ref="AF196:AF201" si="278">IF(AE196=0,"-",AE196/$Y$202)</f>
        <v>-</v>
      </c>
      <c r="AG196" s="308"/>
      <c r="AH196" s="170"/>
      <c r="AI196" s="170"/>
      <c r="AJ196" s="170"/>
      <c r="AK196" s="50"/>
      <c r="AL196" s="474"/>
      <c r="AM196" s="474"/>
      <c r="AN196" s="139"/>
      <c r="AO196" s="5"/>
    </row>
    <row r="197" spans="1:49" s="28" customFormat="1" outlineLevel="1">
      <c r="A197" s="1372"/>
      <c r="B197" s="180" t="s">
        <v>291</v>
      </c>
      <c r="C197" s="73">
        <f t="shared" ref="C197:C201" si="279">SUMPRODUCT((RO_2018=B197)*(Phase2018&lt;&gt;"fin")*(Prog2018))</f>
        <v>0</v>
      </c>
      <c r="D197" s="304" t="str">
        <f t="shared" si="254"/>
        <v>-</v>
      </c>
      <c r="E197" s="73">
        <f t="shared" si="255"/>
        <v>0</v>
      </c>
      <c r="F197" s="304" t="str">
        <f t="shared" si="256"/>
        <v>-</v>
      </c>
      <c r="G197" s="305">
        <f t="shared" si="257"/>
        <v>0</v>
      </c>
      <c r="H197" s="306" t="str">
        <f t="shared" si="258"/>
        <v>-</v>
      </c>
      <c r="I197" s="305">
        <f t="shared" si="259"/>
        <v>0</v>
      </c>
      <c r="J197" s="306" t="str">
        <f t="shared" si="260"/>
        <v>-</v>
      </c>
      <c r="K197" s="305">
        <f t="shared" si="261"/>
        <v>0</v>
      </c>
      <c r="L197" s="306" t="str">
        <f t="shared" si="262"/>
        <v>-</v>
      </c>
      <c r="M197" s="903">
        <v>0</v>
      </c>
      <c r="N197" s="904" t="str">
        <f t="shared" si="263"/>
        <v>-</v>
      </c>
      <c r="O197" s="901">
        <v>0</v>
      </c>
      <c r="P197" s="902" t="str">
        <f t="shared" si="264"/>
        <v>-</v>
      </c>
      <c r="Q197" s="901">
        <v>0</v>
      </c>
      <c r="R197" s="902" t="str">
        <f t="shared" si="265"/>
        <v>-</v>
      </c>
      <c r="S197" s="901">
        <v>0</v>
      </c>
      <c r="T197" s="902" t="str">
        <f t="shared" si="266"/>
        <v>-</v>
      </c>
      <c r="U197" s="901">
        <f t="shared" si="267"/>
        <v>0</v>
      </c>
      <c r="V197" s="902" t="str">
        <f t="shared" si="268"/>
        <v>-</v>
      </c>
      <c r="W197" s="305">
        <f t="shared" si="269"/>
        <v>0</v>
      </c>
      <c r="X197" s="306" t="str">
        <f t="shared" si="270"/>
        <v>-</v>
      </c>
      <c r="Y197" s="305">
        <f t="shared" si="271"/>
        <v>0</v>
      </c>
      <c r="Z197" s="306" t="str">
        <f t="shared" si="272"/>
        <v>-</v>
      </c>
      <c r="AA197" s="305">
        <f t="shared" si="273"/>
        <v>0</v>
      </c>
      <c r="AB197" s="306" t="str">
        <f t="shared" si="274"/>
        <v>-</v>
      </c>
      <c r="AC197" s="305">
        <f t="shared" si="275"/>
        <v>0</v>
      </c>
      <c r="AD197" s="306" t="str">
        <f t="shared" si="276"/>
        <v>-</v>
      </c>
      <c r="AE197" s="305">
        <f t="shared" si="277"/>
        <v>0</v>
      </c>
      <c r="AF197" s="306" t="str">
        <f t="shared" si="278"/>
        <v>-</v>
      </c>
      <c r="AG197" s="308"/>
      <c r="AH197" s="170"/>
      <c r="AI197" s="170"/>
      <c r="AJ197" s="170"/>
      <c r="AK197" s="50"/>
      <c r="AL197" s="474"/>
      <c r="AM197" s="474"/>
      <c r="AN197" s="139"/>
      <c r="AO197" s="5"/>
    </row>
    <row r="198" spans="1:49" s="28" customFormat="1" outlineLevel="1">
      <c r="A198" s="1372"/>
      <c r="B198" s="75" t="s">
        <v>7</v>
      </c>
      <c r="C198" s="73">
        <f>SUMPRODUCT((RO_2018=B198)*(Phase2018&lt;&gt;"fin")*(Prog2018))</f>
        <v>17</v>
      </c>
      <c r="D198" s="304">
        <f t="shared" si="254"/>
        <v>0.15178571428571427</v>
      </c>
      <c r="E198" s="73">
        <f t="shared" si="255"/>
        <v>1</v>
      </c>
      <c r="F198" s="304">
        <f t="shared" si="256"/>
        <v>0.33333333333333331</v>
      </c>
      <c r="G198" s="305">
        <f t="shared" si="257"/>
        <v>3251460.2132535796</v>
      </c>
      <c r="H198" s="306">
        <f t="shared" si="258"/>
        <v>0.15802845448385203</v>
      </c>
      <c r="I198" s="305">
        <f t="shared" si="259"/>
        <v>162573.01066267898</v>
      </c>
      <c r="J198" s="306">
        <f t="shared" si="260"/>
        <v>0.23827765750414495</v>
      </c>
      <c r="K198" s="305">
        <f t="shared" si="261"/>
        <v>56701.010662678978</v>
      </c>
      <c r="L198" s="306">
        <f t="shared" si="262"/>
        <v>0.34412654955107497</v>
      </c>
      <c r="M198" s="903">
        <v>0</v>
      </c>
      <c r="N198" s="904" t="str">
        <f t="shared" si="263"/>
        <v>-</v>
      </c>
      <c r="O198" s="901">
        <v>0</v>
      </c>
      <c r="P198" s="902" t="str">
        <f t="shared" si="264"/>
        <v>-</v>
      </c>
      <c r="Q198" s="901">
        <v>0</v>
      </c>
      <c r="R198" s="902" t="str">
        <f t="shared" si="265"/>
        <v>-</v>
      </c>
      <c r="S198" s="901">
        <v>0</v>
      </c>
      <c r="T198" s="902" t="str">
        <f t="shared" si="266"/>
        <v>-</v>
      </c>
      <c r="U198" s="901">
        <f t="shared" si="267"/>
        <v>0</v>
      </c>
      <c r="V198" s="902" t="str">
        <f t="shared" si="268"/>
        <v>-</v>
      </c>
      <c r="W198" s="305">
        <f t="shared" si="269"/>
        <v>31237</v>
      </c>
      <c r="X198" s="306">
        <f t="shared" si="270"/>
        <v>0.16317714046910098</v>
      </c>
      <c r="Y198" s="305">
        <f t="shared" si="271"/>
        <v>45412</v>
      </c>
      <c r="Z198" s="306">
        <f t="shared" si="272"/>
        <v>0.19947202199761926</v>
      </c>
      <c r="AA198" s="305">
        <f t="shared" si="273"/>
        <v>29223</v>
      </c>
      <c r="AB198" s="306">
        <f t="shared" si="274"/>
        <v>0.12836190651890311</v>
      </c>
      <c r="AC198" s="305">
        <f t="shared" si="275"/>
        <v>24385.951599401847</v>
      </c>
      <c r="AD198" s="306">
        <f t="shared" si="276"/>
        <v>1</v>
      </c>
      <c r="AE198" s="305">
        <f t="shared" si="277"/>
        <v>0</v>
      </c>
      <c r="AF198" s="306" t="str">
        <f t="shared" si="278"/>
        <v>-</v>
      </c>
      <c r="AG198" s="308"/>
      <c r="AH198" s="170"/>
      <c r="AI198" s="170"/>
      <c r="AJ198" s="170"/>
      <c r="AK198" s="50"/>
      <c r="AL198" s="474"/>
      <c r="AM198" s="474"/>
      <c r="AN198" s="139"/>
      <c r="AO198" s="5"/>
    </row>
    <row r="199" spans="1:49" s="28" customFormat="1" outlineLevel="1">
      <c r="A199" s="1372"/>
      <c r="B199" s="76" t="s">
        <v>103</v>
      </c>
      <c r="C199" s="73">
        <f t="shared" si="279"/>
        <v>0</v>
      </c>
      <c r="D199" s="304" t="str">
        <f t="shared" si="254"/>
        <v>-</v>
      </c>
      <c r="E199" s="73">
        <f t="shared" si="255"/>
        <v>0</v>
      </c>
      <c r="F199" s="304" t="str">
        <f t="shared" si="256"/>
        <v>-</v>
      </c>
      <c r="G199" s="305">
        <f t="shared" si="257"/>
        <v>0</v>
      </c>
      <c r="H199" s="306" t="str">
        <f t="shared" si="258"/>
        <v>-</v>
      </c>
      <c r="I199" s="305">
        <f t="shared" si="259"/>
        <v>0</v>
      </c>
      <c r="J199" s="306" t="str">
        <f t="shared" si="260"/>
        <v>-</v>
      </c>
      <c r="K199" s="305">
        <f t="shared" si="261"/>
        <v>0</v>
      </c>
      <c r="L199" s="306" t="str">
        <f t="shared" si="262"/>
        <v>-</v>
      </c>
      <c r="M199" s="903">
        <v>0</v>
      </c>
      <c r="N199" s="904" t="str">
        <f t="shared" si="263"/>
        <v>-</v>
      </c>
      <c r="O199" s="901">
        <v>0</v>
      </c>
      <c r="P199" s="902" t="str">
        <f t="shared" si="264"/>
        <v>-</v>
      </c>
      <c r="Q199" s="901">
        <v>0</v>
      </c>
      <c r="R199" s="902" t="str">
        <f t="shared" si="265"/>
        <v>-</v>
      </c>
      <c r="S199" s="901">
        <v>0</v>
      </c>
      <c r="T199" s="902" t="str">
        <f t="shared" si="266"/>
        <v>-</v>
      </c>
      <c r="U199" s="901">
        <f t="shared" si="267"/>
        <v>0</v>
      </c>
      <c r="V199" s="902" t="str">
        <f t="shared" si="268"/>
        <v>-</v>
      </c>
      <c r="W199" s="305">
        <f t="shared" si="269"/>
        <v>0</v>
      </c>
      <c r="X199" s="306" t="str">
        <f t="shared" si="270"/>
        <v>-</v>
      </c>
      <c r="Y199" s="305">
        <f t="shared" si="271"/>
        <v>0</v>
      </c>
      <c r="Z199" s="306" t="str">
        <f t="shared" si="272"/>
        <v>-</v>
      </c>
      <c r="AA199" s="305">
        <f t="shared" si="273"/>
        <v>0</v>
      </c>
      <c r="AB199" s="306" t="str">
        <f t="shared" si="274"/>
        <v>-</v>
      </c>
      <c r="AC199" s="305">
        <f t="shared" si="275"/>
        <v>0</v>
      </c>
      <c r="AD199" s="306" t="str">
        <f t="shared" si="276"/>
        <v>-</v>
      </c>
      <c r="AE199" s="305">
        <f t="shared" si="277"/>
        <v>0</v>
      </c>
      <c r="AF199" s="306" t="str">
        <f t="shared" si="278"/>
        <v>-</v>
      </c>
      <c r="AG199" s="308"/>
      <c r="AH199" s="170"/>
      <c r="AI199" s="170"/>
      <c r="AJ199" s="170"/>
      <c r="AK199" s="50"/>
      <c r="AL199" s="474"/>
      <c r="AM199" s="474"/>
      <c r="AN199" s="139"/>
      <c r="AO199" s="5"/>
    </row>
    <row r="200" spans="1:49" s="28" customFormat="1" outlineLevel="1">
      <c r="A200" s="1372"/>
      <c r="B200" s="156" t="s">
        <v>322</v>
      </c>
      <c r="C200" s="73">
        <f t="shared" si="279"/>
        <v>56</v>
      </c>
      <c r="D200" s="304">
        <f t="shared" si="254"/>
        <v>0.5</v>
      </c>
      <c r="E200" s="73">
        <f t="shared" si="255"/>
        <v>1</v>
      </c>
      <c r="F200" s="304">
        <f t="shared" si="256"/>
        <v>0.33333333333333331</v>
      </c>
      <c r="G200" s="305">
        <f t="shared" si="257"/>
        <v>9453797.0685173143</v>
      </c>
      <c r="H200" s="306">
        <f t="shared" si="258"/>
        <v>0.45947630964452718</v>
      </c>
      <c r="I200" s="305">
        <f t="shared" si="259"/>
        <v>283613.91205551941</v>
      </c>
      <c r="J200" s="306">
        <f t="shared" si="260"/>
        <v>0.41568313414822833</v>
      </c>
      <c r="K200" s="305">
        <f t="shared" si="261"/>
        <v>52939.912055519409</v>
      </c>
      <c r="L200" s="306">
        <f t="shared" si="262"/>
        <v>0.32129990376334672</v>
      </c>
      <c r="M200" s="903">
        <v>0</v>
      </c>
      <c r="N200" s="904" t="str">
        <f t="shared" si="263"/>
        <v>-</v>
      </c>
      <c r="O200" s="901">
        <v>0</v>
      </c>
      <c r="P200" s="902" t="str">
        <f t="shared" si="264"/>
        <v>-</v>
      </c>
      <c r="Q200" s="901">
        <v>0</v>
      </c>
      <c r="R200" s="902" t="str">
        <f t="shared" si="265"/>
        <v>-</v>
      </c>
      <c r="S200" s="901">
        <v>0</v>
      </c>
      <c r="T200" s="902" t="str">
        <f t="shared" si="266"/>
        <v>-</v>
      </c>
      <c r="U200" s="901">
        <f t="shared" si="267"/>
        <v>0</v>
      </c>
      <c r="V200" s="902" t="str">
        <f t="shared" si="268"/>
        <v>-</v>
      </c>
      <c r="W200" s="305">
        <f t="shared" si="269"/>
        <v>113602</v>
      </c>
      <c r="X200" s="306">
        <f t="shared" si="270"/>
        <v>0.59343885493391846</v>
      </c>
      <c r="Y200" s="305">
        <f t="shared" si="271"/>
        <v>47870</v>
      </c>
      <c r="Z200" s="306">
        <f t="shared" si="272"/>
        <v>0.21026877682167786</v>
      </c>
      <c r="AA200" s="305">
        <f t="shared" si="273"/>
        <v>69202</v>
      </c>
      <c r="AB200" s="306">
        <f t="shared" si="274"/>
        <v>0.30396949850874766</v>
      </c>
      <c r="AC200" s="305">
        <f t="shared" si="275"/>
        <v>0</v>
      </c>
      <c r="AD200" s="306" t="str">
        <f t="shared" si="276"/>
        <v>-</v>
      </c>
      <c r="AE200" s="305">
        <f t="shared" si="277"/>
        <v>0</v>
      </c>
      <c r="AF200" s="306" t="str">
        <f t="shared" si="278"/>
        <v>-</v>
      </c>
      <c r="AG200" s="308"/>
      <c r="AH200" s="170"/>
      <c r="AI200" s="170"/>
      <c r="AJ200" s="170"/>
      <c r="AK200" s="50"/>
      <c r="AL200" s="474"/>
      <c r="AM200" s="474"/>
      <c r="AN200" s="139"/>
      <c r="AO200" s="5"/>
    </row>
    <row r="201" spans="1:49" s="28" customFormat="1" ht="16.2" outlineLevel="1" thickBot="1">
      <c r="A201" s="1372"/>
      <c r="B201" s="78" t="s">
        <v>104</v>
      </c>
      <c r="C201" s="73">
        <f t="shared" si="279"/>
        <v>39</v>
      </c>
      <c r="D201" s="304">
        <f t="shared" si="254"/>
        <v>0.3482142857142857</v>
      </c>
      <c r="E201" s="73">
        <f t="shared" si="255"/>
        <v>1</v>
      </c>
      <c r="F201" s="304">
        <f t="shared" si="256"/>
        <v>0.33333333333333331</v>
      </c>
      <c r="G201" s="305">
        <f t="shared" si="257"/>
        <v>7869899.4131003246</v>
      </c>
      <c r="H201" s="306">
        <f t="shared" si="258"/>
        <v>0.38249523587162082</v>
      </c>
      <c r="I201" s="305">
        <f t="shared" si="259"/>
        <v>236096.98239300973</v>
      </c>
      <c r="J201" s="306">
        <f t="shared" si="260"/>
        <v>0.34603920834762675</v>
      </c>
      <c r="K201" s="305">
        <f t="shared" si="261"/>
        <v>55126.982393009734</v>
      </c>
      <c r="L201" s="306">
        <f t="shared" si="262"/>
        <v>0.33457354668557837</v>
      </c>
      <c r="M201" s="903">
        <v>0</v>
      </c>
      <c r="N201" s="904" t="str">
        <f t="shared" si="263"/>
        <v>-</v>
      </c>
      <c r="O201" s="901">
        <v>0</v>
      </c>
      <c r="P201" s="902" t="str">
        <f t="shared" si="264"/>
        <v>-</v>
      </c>
      <c r="Q201" s="901">
        <v>0</v>
      </c>
      <c r="R201" s="902" t="str">
        <f t="shared" si="265"/>
        <v>-</v>
      </c>
      <c r="S201" s="901">
        <v>0</v>
      </c>
      <c r="T201" s="902" t="str">
        <f t="shared" si="266"/>
        <v>-</v>
      </c>
      <c r="U201" s="901">
        <f t="shared" si="267"/>
        <v>0</v>
      </c>
      <c r="V201" s="902" t="str">
        <f t="shared" si="268"/>
        <v>-</v>
      </c>
      <c r="W201" s="305">
        <f t="shared" si="269"/>
        <v>46591</v>
      </c>
      <c r="X201" s="306">
        <f t="shared" si="270"/>
        <v>0.24338400459698062</v>
      </c>
      <c r="Y201" s="305">
        <f t="shared" si="271"/>
        <v>134379</v>
      </c>
      <c r="Z201" s="306">
        <f t="shared" si="272"/>
        <v>0.59025920118070285</v>
      </c>
      <c r="AA201" s="305">
        <f t="shared" si="273"/>
        <v>0</v>
      </c>
      <c r="AB201" s="306" t="str">
        <f t="shared" si="274"/>
        <v>-</v>
      </c>
      <c r="AC201" s="305">
        <f t="shared" si="275"/>
        <v>0</v>
      </c>
      <c r="AD201" s="306" t="str">
        <f t="shared" si="276"/>
        <v>-</v>
      </c>
      <c r="AE201" s="305">
        <f t="shared" si="277"/>
        <v>0</v>
      </c>
      <c r="AF201" s="306" t="str">
        <f t="shared" si="278"/>
        <v>-</v>
      </c>
      <c r="AG201" s="308"/>
      <c r="AH201" s="170"/>
      <c r="AI201" s="170"/>
      <c r="AJ201" s="170"/>
      <c r="AK201" s="50"/>
      <c r="AL201" s="474"/>
      <c r="AM201" s="474"/>
      <c r="AN201" s="139"/>
      <c r="AO201" s="5"/>
    </row>
    <row r="202" spans="1:49" s="28" customFormat="1" ht="16.2" outlineLevel="1" thickBot="1">
      <c r="A202" s="1373"/>
      <c r="B202" s="112"/>
      <c r="C202" s="309">
        <f t="shared" ref="C202:AF202" si="280">SUM(C196:C201)</f>
        <v>112</v>
      </c>
      <c r="D202" s="310">
        <f t="shared" si="280"/>
        <v>1</v>
      </c>
      <c r="E202" s="309">
        <f t="shared" si="280"/>
        <v>3</v>
      </c>
      <c r="F202" s="310">
        <f t="shared" si="280"/>
        <v>1</v>
      </c>
      <c r="G202" s="311">
        <f t="shared" si="280"/>
        <v>20575156.694871217</v>
      </c>
      <c r="H202" s="113">
        <f t="shared" si="280"/>
        <v>1</v>
      </c>
      <c r="I202" s="311">
        <f t="shared" si="280"/>
        <v>682283.90511120809</v>
      </c>
      <c r="J202" s="113">
        <f t="shared" si="280"/>
        <v>1</v>
      </c>
      <c r="K202" s="311">
        <f t="shared" si="280"/>
        <v>164767.90511120812</v>
      </c>
      <c r="L202" s="113">
        <f t="shared" si="280"/>
        <v>1</v>
      </c>
      <c r="M202" s="905">
        <f t="shared" si="280"/>
        <v>0</v>
      </c>
      <c r="N202" s="906">
        <f t="shared" si="280"/>
        <v>0</v>
      </c>
      <c r="O202" s="905">
        <f t="shared" si="280"/>
        <v>0</v>
      </c>
      <c r="P202" s="906">
        <f t="shared" si="280"/>
        <v>0</v>
      </c>
      <c r="Q202" s="905">
        <f t="shared" si="280"/>
        <v>0</v>
      </c>
      <c r="R202" s="906">
        <f t="shared" si="280"/>
        <v>0</v>
      </c>
      <c r="S202" s="905">
        <f t="shared" si="280"/>
        <v>0</v>
      </c>
      <c r="T202" s="906">
        <f t="shared" si="280"/>
        <v>0</v>
      </c>
      <c r="U202" s="905">
        <f t="shared" si="280"/>
        <v>0</v>
      </c>
      <c r="V202" s="906">
        <f t="shared" si="280"/>
        <v>0</v>
      </c>
      <c r="W202" s="311">
        <f t="shared" si="280"/>
        <v>191430</v>
      </c>
      <c r="X202" s="113">
        <f t="shared" si="280"/>
        <v>1</v>
      </c>
      <c r="Y202" s="311">
        <f t="shared" si="280"/>
        <v>227661</v>
      </c>
      <c r="Z202" s="113">
        <f t="shared" si="280"/>
        <v>1</v>
      </c>
      <c r="AA202" s="311">
        <f t="shared" ref="AA202:AB202" si="281">SUM(AA196:AA201)</f>
        <v>98425</v>
      </c>
      <c r="AB202" s="113">
        <f t="shared" si="281"/>
        <v>0.43233140502765077</v>
      </c>
      <c r="AC202" s="311">
        <f t="shared" si="280"/>
        <v>24385.951599401847</v>
      </c>
      <c r="AD202" s="113">
        <f t="shared" si="280"/>
        <v>1</v>
      </c>
      <c r="AE202" s="311">
        <f t="shared" si="280"/>
        <v>0</v>
      </c>
      <c r="AF202" s="113">
        <f t="shared" si="280"/>
        <v>0</v>
      </c>
      <c r="AG202" s="213"/>
      <c r="AH202" s="170"/>
      <c r="AI202" s="170"/>
      <c r="AJ202" s="170"/>
      <c r="AK202" s="50"/>
      <c r="AL202" s="474"/>
      <c r="AM202" s="474"/>
      <c r="AN202" s="139"/>
      <c r="AO202" s="5"/>
    </row>
    <row r="203" spans="1:49" s="28" customFormat="1" ht="15.75" customHeight="1" outlineLevel="1">
      <c r="A203" s="1365" t="s">
        <v>262</v>
      </c>
      <c r="B203" s="518" t="s">
        <v>12</v>
      </c>
      <c r="C203" s="300">
        <f t="shared" ref="C203:C205" si="282">SUMPRODUCT((RO_2019=B203)*(Phase2019&lt;&gt;"fin")*(Prog2019))</f>
        <v>76</v>
      </c>
      <c r="D203" s="301">
        <f>IF(C203=0,"-",C203/$C$209)</f>
        <v>0.2620689655172414</v>
      </c>
      <c r="E203" s="300">
        <f t="shared" ref="E203:E205" si="283">SUMPRODUCT((RO_2019=B203)*(Phase2019&lt;&gt;"fin"))</f>
        <v>2</v>
      </c>
      <c r="F203" s="301">
        <f>IF(E203=0,"-",E203/$E$209)</f>
        <v>0.33333333333333331</v>
      </c>
      <c r="G203" s="302">
        <f t="shared" ref="G203:G205" si="284">SUMPRODUCT((RO_2019=B203)*(Phase2019&lt;&gt;"fin")*(Bdgt2019))</f>
        <v>11819288</v>
      </c>
      <c r="H203" s="306">
        <f>IF(G203=0,"-",G203/$G$209)</f>
        <v>0.23633268440573615</v>
      </c>
      <c r="I203" s="302">
        <f>SUMPRODUCT((RO_2019=B203)*(Phase2019&lt;&gt;"fin")*(Rem_2019))</f>
        <v>346500</v>
      </c>
      <c r="J203" s="303">
        <f>IF(I203=0,"-",I203/$I$209)</f>
        <v>0.22441326423451394</v>
      </c>
      <c r="K203" s="302">
        <f t="shared" ref="K203:K205" si="285">SUMPRODUCT((RO_2019=B203)*(Phase2019&lt;&gt;"fin")*(RemRest2019))</f>
        <v>242550</v>
      </c>
      <c r="L203" s="303">
        <f>IF(K203=0,"-",K203/$K$209)</f>
        <v>0.2821502438008433</v>
      </c>
      <c r="M203" s="897">
        <v>0</v>
      </c>
      <c r="N203" s="898" t="str">
        <f>IF(M203=0,"-",M203/$M$209)</f>
        <v>-</v>
      </c>
      <c r="O203" s="897">
        <v>0</v>
      </c>
      <c r="P203" s="898" t="str">
        <f>IF(O203=0,"-",O203/$O$209)</f>
        <v>-</v>
      </c>
      <c r="Q203" s="897">
        <v>0</v>
      </c>
      <c r="R203" s="898" t="str">
        <f>IF(Q203=0,"-",Q203/$Q$209)</f>
        <v>-</v>
      </c>
      <c r="S203" s="897">
        <v>0</v>
      </c>
      <c r="T203" s="898" t="str">
        <f>IF(S203=0,"-",S203/$S$209)</f>
        <v>-</v>
      </c>
      <c r="U203" s="897">
        <f t="shared" ref="U203:U205" si="286">SUMPRODUCT((RO_2019=B203)*(Rem2019en2016))</f>
        <v>0</v>
      </c>
      <c r="V203" s="898" t="str">
        <f>IF(U203=0,"-",U203/$U$209)</f>
        <v>-</v>
      </c>
      <c r="W203" s="302">
        <f t="shared" ref="W203:W205" si="287">SUMPRODUCT((RO_2019=B203)*(Rem2019en2017))</f>
        <v>0</v>
      </c>
      <c r="X203" s="303" t="str">
        <f>IF(W203=0,"-",W203/$W$209)</f>
        <v>-</v>
      </c>
      <c r="Y203" s="302">
        <f t="shared" ref="Y203:Y205" si="288">SUMPRODUCT((RO_2019=B203)*(Rem2019en2018))</f>
        <v>34350</v>
      </c>
      <c r="Z203" s="303">
        <f>IF(Y203=0,"-",Y203/$Y$209)</f>
        <v>0.15425099578335705</v>
      </c>
      <c r="AA203" s="302">
        <f>SUMPRODUCT((RO_2019=B203)*(Rem2019en2019))</f>
        <v>69600</v>
      </c>
      <c r="AB203" s="303">
        <f>IF(AA203=0,"-",AA203/$Y$209)</f>
        <v>0.31254350237326495</v>
      </c>
      <c r="AC203" s="302">
        <f t="shared" ref="AC203:AC208" si="289">SUMPRODUCT((RO_2019=B203)*(Rem2019Preven2020))</f>
        <v>0</v>
      </c>
      <c r="AD203" s="303" t="str">
        <f>IF(AC203=0,"-",AC203/$AC$209)</f>
        <v>-</v>
      </c>
      <c r="AE203" s="302">
        <f t="shared" ref="AE203:AE208" si="290">SUMPRODUCT((RO_2019=B203)*(Rem2019en2020))</f>
        <v>0</v>
      </c>
      <c r="AF203" s="303" t="str">
        <f>IF(AE203=0,"-",AE203/$Y$209)</f>
        <v>-</v>
      </c>
      <c r="AG203" s="308"/>
      <c r="AH203" s="170"/>
      <c r="AI203" s="170"/>
      <c r="AJ203" s="170"/>
      <c r="AK203" s="50"/>
      <c r="AL203" s="474"/>
      <c r="AM203" s="474"/>
      <c r="AN203" s="139"/>
      <c r="AO203" s="5"/>
    </row>
    <row r="204" spans="1:49" s="28" customFormat="1" ht="15.75" customHeight="1" outlineLevel="1">
      <c r="A204" s="1366"/>
      <c r="B204" s="180" t="s">
        <v>291</v>
      </c>
      <c r="C204" s="73">
        <f t="shared" ref="C204" si="291">SUMPRODUCT((RO_2019=B204)*(Phase2019&lt;&gt;"fin")*(Prog2019))</f>
        <v>0</v>
      </c>
      <c r="D204" s="304" t="str">
        <f>IF(C204=0,"-",C204/$C$209)</f>
        <v>-</v>
      </c>
      <c r="E204" s="73">
        <f t="shared" ref="E204" si="292">SUMPRODUCT((RO_2019=B204)*(Phase2019&lt;&gt;"fin"))</f>
        <v>0</v>
      </c>
      <c r="F204" s="304" t="str">
        <f>IF(E204=0,"-",E204/$E$209)</f>
        <v>-</v>
      </c>
      <c r="G204" s="305">
        <f t="shared" ref="G204" si="293">SUMPRODUCT((RO_2019=B204)*(Phase2019&lt;&gt;"fin")*(Bdgt2019))</f>
        <v>0</v>
      </c>
      <c r="H204" s="306" t="str">
        <f>IF(G204=0,"-",G204/$G$209)</f>
        <v>-</v>
      </c>
      <c r="I204" s="305">
        <f t="shared" ref="I204" si="294">SUMPRODUCT((RO_2019=B204)*(Phase2019&lt;&gt;"fin")*(Rem_2019))</f>
        <v>0</v>
      </c>
      <c r="J204" s="306" t="str">
        <f>IF(I204=0,"-",I204/$I$209)</f>
        <v>-</v>
      </c>
      <c r="K204" s="305">
        <f t="shared" ref="K204" si="295">SUMPRODUCT((RO_2019=B204)*(Phase2019&lt;&gt;"fin")*(RemRest2019))</f>
        <v>0</v>
      </c>
      <c r="L204" s="306" t="str">
        <f>IF(K204=0,"-",K204/$K$209)</f>
        <v>-</v>
      </c>
      <c r="M204" s="903">
        <v>0</v>
      </c>
      <c r="N204" s="904" t="str">
        <f>IF(M204=0,"-",M204/$M$209)</f>
        <v>-</v>
      </c>
      <c r="O204" s="901">
        <v>0</v>
      </c>
      <c r="P204" s="902" t="str">
        <f>IF(O204=0,"-",O204/$O$209)</f>
        <v>-</v>
      </c>
      <c r="Q204" s="901">
        <v>0</v>
      </c>
      <c r="R204" s="902" t="str">
        <f>IF(Q204=0,"-",Q204/$Q$209)</f>
        <v>-</v>
      </c>
      <c r="S204" s="901">
        <v>0</v>
      </c>
      <c r="T204" s="902" t="str">
        <f>IF(S204=0,"-",S204/$S$209)</f>
        <v>-</v>
      </c>
      <c r="U204" s="901">
        <f t="shared" ref="U204" si="296">SUMPRODUCT((RO_2019=B204)*(Rem2019en2016))</f>
        <v>0</v>
      </c>
      <c r="V204" s="902" t="str">
        <f>IF(U204=0,"-",U204/$U$209)</f>
        <v>-</v>
      </c>
      <c r="W204" s="305">
        <f t="shared" ref="W204" si="297">SUMPRODUCT((RO_2019=B204)*(Rem2019en2017))</f>
        <v>0</v>
      </c>
      <c r="X204" s="306" t="str">
        <f>IF(W204=0,"-",W204/$W$209)</f>
        <v>-</v>
      </c>
      <c r="Y204" s="305">
        <f t="shared" ref="Y204" si="298">SUMPRODUCT((RO_2019=B204)*(Rem2019en2018))</f>
        <v>0</v>
      </c>
      <c r="Z204" s="306" t="str">
        <f>IF(Y204=0,"-",Y204/$Y$209)</f>
        <v>-</v>
      </c>
      <c r="AA204" s="305">
        <f>SUMPRODUCT((RO_2019=B204)*(Rem2019en2019))</f>
        <v>0</v>
      </c>
      <c r="AB204" s="306" t="str">
        <f>IF(AA204=0,"-",AA204/$Y$209)</f>
        <v>-</v>
      </c>
      <c r="AC204" s="305">
        <f t="shared" si="289"/>
        <v>0</v>
      </c>
      <c r="AD204" s="306" t="str">
        <f>IF(AC204=0,"-",AC204/$AC$209)</f>
        <v>-</v>
      </c>
      <c r="AE204" s="305">
        <f t="shared" si="290"/>
        <v>0</v>
      </c>
      <c r="AF204" s="306" t="str">
        <f>IF(AE204=0,"-",AE204/$Y$209)</f>
        <v>-</v>
      </c>
      <c r="AG204" s="308"/>
      <c r="AH204" s="170"/>
      <c r="AI204" s="170"/>
      <c r="AJ204" s="170"/>
      <c r="AK204" s="50"/>
      <c r="AL204" s="474"/>
      <c r="AM204" s="474"/>
      <c r="AN204" s="139"/>
      <c r="AO204" s="5"/>
      <c r="AT204"/>
    </row>
    <row r="205" spans="1:49" s="28" customFormat="1" outlineLevel="1">
      <c r="A205" s="1366"/>
      <c r="B205" s="519" t="s">
        <v>7</v>
      </c>
      <c r="C205" s="73">
        <f t="shared" si="282"/>
        <v>118</v>
      </c>
      <c r="D205" s="304">
        <f>IF(C205=0,"-",C205/$C$209)</f>
        <v>0.40689655172413791</v>
      </c>
      <c r="E205" s="73">
        <f t="shared" si="283"/>
        <v>2</v>
      </c>
      <c r="F205" s="304">
        <f>IF(E205=0,"-",E205/$E$209)</f>
        <v>0.33333333333333331</v>
      </c>
      <c r="G205" s="305">
        <f t="shared" si="284"/>
        <v>21773595</v>
      </c>
      <c r="H205" s="306">
        <f>IF(G205=0,"-",G205/$G$209)</f>
        <v>0.43537412367930411</v>
      </c>
      <c r="I205" s="305">
        <f t="shared" ref="I205" si="299">SUMPRODUCT((RO_2019=B205)*(Phase2019&lt;&gt;"fin")*(Rem_2019))</f>
        <v>704976</v>
      </c>
      <c r="J205" s="306">
        <f>IF(I205=0,"-",I205/$I$209)</f>
        <v>0.45658287263200781</v>
      </c>
      <c r="K205" s="305">
        <f t="shared" si="285"/>
        <v>418548</v>
      </c>
      <c r="L205" s="306">
        <f>IF(K205=0,"-",K205/$K$209)</f>
        <v>0.48688278805341317</v>
      </c>
      <c r="M205" s="903">
        <v>0</v>
      </c>
      <c r="N205" s="904" t="str">
        <f>IF(M205=0,"-",M205/$M$209)</f>
        <v>-</v>
      </c>
      <c r="O205" s="901">
        <v>0</v>
      </c>
      <c r="P205" s="902" t="str">
        <f>IF(O205=0,"-",O205/$O$209)</f>
        <v>-</v>
      </c>
      <c r="Q205" s="901">
        <v>0</v>
      </c>
      <c r="R205" s="902" t="str">
        <f>IF(Q205=0,"-",Q205/$Q$209)</f>
        <v>-</v>
      </c>
      <c r="S205" s="901">
        <v>0</v>
      </c>
      <c r="T205" s="902" t="str">
        <f>IF(S205=0,"-",S205/$S$209)</f>
        <v>-</v>
      </c>
      <c r="U205" s="901">
        <f t="shared" si="286"/>
        <v>0</v>
      </c>
      <c r="V205" s="902" t="str">
        <f>IF(U205=0,"-",U205/$U$209)</f>
        <v>-</v>
      </c>
      <c r="W205" s="305">
        <f t="shared" si="287"/>
        <v>0</v>
      </c>
      <c r="X205" s="306" t="str">
        <f>IF(W205=0,"-",W205/$W$209)</f>
        <v>-</v>
      </c>
      <c r="Y205" s="305">
        <f t="shared" si="288"/>
        <v>126499</v>
      </c>
      <c r="Z205" s="306">
        <f>IF(Y205=0,"-",Y205/$Y$209)</f>
        <v>0.56805230613097191</v>
      </c>
      <c r="AA205" s="305">
        <f>SUMPRODUCT((RO_2019=B205)*(Rem2019en2019))</f>
        <v>160429</v>
      </c>
      <c r="AB205" s="306">
        <f>IF(AA205=0,"-",AA205/$Y$209)</f>
        <v>0.72041726353793856</v>
      </c>
      <c r="AC205" s="305">
        <f t="shared" si="289"/>
        <v>171806.4</v>
      </c>
      <c r="AD205" s="306">
        <f>IF(AC205=0,"-",AC205/$AC$209)</f>
        <v>1</v>
      </c>
      <c r="AE205" s="305">
        <f t="shared" si="290"/>
        <v>0</v>
      </c>
      <c r="AF205" s="306" t="str">
        <f>IF(AE205=0,"-",AE205/$Y$209)</f>
        <v>-</v>
      </c>
      <c r="AG205" s="308"/>
      <c r="AH205" s="170"/>
      <c r="AI205" s="170"/>
      <c r="AJ205" s="170"/>
      <c r="AK205" s="50"/>
      <c r="AL205" s="474"/>
      <c r="AM205" s="474"/>
      <c r="AN205" s="139"/>
      <c r="AO205" s="5"/>
      <c r="AT205"/>
    </row>
    <row r="206" spans="1:49" s="28" customFormat="1" outlineLevel="1">
      <c r="A206" s="1366"/>
      <c r="B206" s="519" t="s">
        <v>15</v>
      </c>
      <c r="C206" s="73">
        <f t="shared" ref="C206:C208" si="300">SUMPRODUCT((RO_2019=B206)*(Phase2019&lt;&gt;"fin")*(Prog2019))</f>
        <v>0</v>
      </c>
      <c r="D206" s="304" t="str">
        <f t="shared" ref="D206:D208" si="301">IF(C206=0,"-",C206/$C$209)</f>
        <v>-</v>
      </c>
      <c r="E206" s="73">
        <f t="shared" ref="E206:E208" si="302">SUMPRODUCT((RO_2019=B206)*(Phase2019&lt;&gt;"fin"))</f>
        <v>0</v>
      </c>
      <c r="F206" s="304" t="str">
        <f t="shared" ref="F206:F208" si="303">IF(E206=0,"-",E206/$E$209)</f>
        <v>-</v>
      </c>
      <c r="G206" s="305">
        <f t="shared" ref="G206:G208" si="304">SUMPRODUCT((RO_2019=B206)*(Phase2019&lt;&gt;"fin")*(Bdgt2019))</f>
        <v>0</v>
      </c>
      <c r="H206" s="306" t="str">
        <f t="shared" ref="H206:H208" si="305">IF(G206=0,"-",G206/$G$209)</f>
        <v>-</v>
      </c>
      <c r="I206" s="305">
        <f t="shared" ref="I206:I208" si="306">SUMPRODUCT((RO_2019=B206)*(Phase2019&lt;&gt;"fin")*(Rem_2019))</f>
        <v>0</v>
      </c>
      <c r="J206" s="306" t="str">
        <f t="shared" ref="J206:J208" si="307">IF(I206=0,"-",I206/$I$209)</f>
        <v>-</v>
      </c>
      <c r="K206" s="305">
        <f t="shared" ref="K206:K208" si="308">SUMPRODUCT((RO_2019=B206)*(Phase2019&lt;&gt;"fin")*(RemRest2019))</f>
        <v>0</v>
      </c>
      <c r="L206" s="306" t="str">
        <f t="shared" ref="L206:L208" si="309">IF(K206=0,"-",K206/$K$209)</f>
        <v>-</v>
      </c>
      <c r="M206" s="903">
        <v>1</v>
      </c>
      <c r="N206" s="904">
        <f t="shared" ref="N206:N208" si="310">IF(M206=0,"-",M206/$M$209)</f>
        <v>0.16666666666666666</v>
      </c>
      <c r="O206" s="901">
        <v>1</v>
      </c>
      <c r="P206" s="902">
        <f t="shared" ref="P206:P208" si="311">IF(O206=0,"-",O206/$O$209)</f>
        <v>0.16666666666666666</v>
      </c>
      <c r="Q206" s="901">
        <v>1</v>
      </c>
      <c r="R206" s="902" t="e">
        <f t="shared" ref="R206:R208" si="312">IF(Q206=0,"-",Q206/$Q$209)</f>
        <v>#DIV/0!</v>
      </c>
      <c r="S206" s="901">
        <v>1</v>
      </c>
      <c r="T206" s="902">
        <f t="shared" ref="T206:T208" si="313">IF(S206=0,"-",S206/$S$209)</f>
        <v>0.16666666666666666</v>
      </c>
      <c r="U206" s="901">
        <f t="shared" ref="U206:U208" si="314">SUMPRODUCT((RO_2019=B206)*(Rem2019en2016))</f>
        <v>0</v>
      </c>
      <c r="V206" s="902" t="str">
        <f t="shared" ref="V206:V208" si="315">IF(U206=0,"-",U206/$U$209)</f>
        <v>-</v>
      </c>
      <c r="W206" s="305">
        <f t="shared" ref="W206:W208" si="316">SUMPRODUCT((RO_2019=B206)*(Rem2019en2017))</f>
        <v>0</v>
      </c>
      <c r="X206" s="306" t="str">
        <f t="shared" ref="X206:X208" si="317">IF(W206=0,"-",W206/$W$209)</f>
        <v>-</v>
      </c>
      <c r="Y206" s="305">
        <f t="shared" ref="Y206:Y208" si="318">SUMPRODUCT((RO_2019=B206)*(Rem2019en2018))</f>
        <v>0</v>
      </c>
      <c r="Z206" s="306" t="str">
        <f t="shared" ref="Z206:Z208" si="319">IF(Y206=0,"-",Y206/$Y$209)</f>
        <v>-</v>
      </c>
      <c r="AA206" s="305">
        <f>SUMPRODUCT((RO_2019=B206)*(Rem2019en2019))</f>
        <v>0</v>
      </c>
      <c r="AB206" s="306" t="str">
        <f t="shared" ref="AB206:AB208" si="320">IF(AA206=0,"-",AA206/$Y$209)</f>
        <v>-</v>
      </c>
      <c r="AC206" s="305">
        <f t="shared" si="289"/>
        <v>0</v>
      </c>
      <c r="AD206" s="306" t="str">
        <f t="shared" ref="AD206:AD208" si="321">IF(AC206=0,"-",AC206/$AC$209)</f>
        <v>-</v>
      </c>
      <c r="AE206" s="305">
        <f t="shared" si="290"/>
        <v>0</v>
      </c>
      <c r="AF206" s="306" t="str">
        <f t="shared" ref="AF206:AF208" si="322">IF(AE206=0,"-",AE206/$Y$209)</f>
        <v>-</v>
      </c>
      <c r="AG206" s="308"/>
      <c r="AH206" s="170"/>
      <c r="AI206" s="170"/>
      <c r="AJ206" s="170"/>
      <c r="AK206" s="50"/>
      <c r="AL206" s="474"/>
      <c r="AM206" s="474"/>
      <c r="AN206" s="139"/>
      <c r="AO206" s="5"/>
      <c r="AT206"/>
    </row>
    <row r="207" spans="1:49" s="28" customFormat="1" outlineLevel="1">
      <c r="A207" s="1366"/>
      <c r="B207" s="520" t="s">
        <v>103</v>
      </c>
      <c r="C207" s="73">
        <f t="shared" si="300"/>
        <v>0</v>
      </c>
      <c r="D207" s="304" t="str">
        <f t="shared" si="301"/>
        <v>-</v>
      </c>
      <c r="E207" s="73">
        <f t="shared" si="302"/>
        <v>0</v>
      </c>
      <c r="F207" s="304" t="str">
        <f t="shared" si="303"/>
        <v>-</v>
      </c>
      <c r="G207" s="305">
        <f t="shared" si="304"/>
        <v>0</v>
      </c>
      <c r="H207" s="306" t="str">
        <f t="shared" si="305"/>
        <v>-</v>
      </c>
      <c r="I207" s="305">
        <f t="shared" si="306"/>
        <v>0</v>
      </c>
      <c r="J207" s="306" t="str">
        <f t="shared" si="307"/>
        <v>-</v>
      </c>
      <c r="K207" s="305">
        <f t="shared" si="308"/>
        <v>0</v>
      </c>
      <c r="L207" s="306" t="str">
        <f t="shared" si="309"/>
        <v>-</v>
      </c>
      <c r="M207" s="903">
        <v>2</v>
      </c>
      <c r="N207" s="904">
        <f t="shared" si="310"/>
        <v>0.33333333333333331</v>
      </c>
      <c r="O207" s="901">
        <v>2</v>
      </c>
      <c r="P207" s="902">
        <f t="shared" si="311"/>
        <v>0.33333333333333331</v>
      </c>
      <c r="Q207" s="901">
        <v>2</v>
      </c>
      <c r="R207" s="902" t="e">
        <f t="shared" si="312"/>
        <v>#DIV/0!</v>
      </c>
      <c r="S207" s="901">
        <v>2</v>
      </c>
      <c r="T207" s="902">
        <f t="shared" si="313"/>
        <v>0.33333333333333331</v>
      </c>
      <c r="U207" s="901">
        <f t="shared" si="314"/>
        <v>0</v>
      </c>
      <c r="V207" s="902" t="str">
        <f t="shared" si="315"/>
        <v>-</v>
      </c>
      <c r="W207" s="305">
        <f t="shared" si="316"/>
        <v>0</v>
      </c>
      <c r="X207" s="306" t="str">
        <f t="shared" si="317"/>
        <v>-</v>
      </c>
      <c r="Y207" s="305">
        <f t="shared" si="318"/>
        <v>0</v>
      </c>
      <c r="Z207" s="306" t="str">
        <f t="shared" si="319"/>
        <v>-</v>
      </c>
      <c r="AA207" s="305">
        <f>SUMPRODUCT((RO_2019=B207)*(Rem2019en2019))</f>
        <v>0</v>
      </c>
      <c r="AB207" s="306" t="str">
        <f t="shared" si="320"/>
        <v>-</v>
      </c>
      <c r="AC207" s="305">
        <f t="shared" si="289"/>
        <v>0</v>
      </c>
      <c r="AD207" s="306" t="str">
        <f t="shared" si="321"/>
        <v>-</v>
      </c>
      <c r="AE207" s="305">
        <f t="shared" si="290"/>
        <v>0</v>
      </c>
      <c r="AF207" s="306" t="str">
        <f t="shared" si="322"/>
        <v>-</v>
      </c>
      <c r="AG207" s="308"/>
      <c r="AH207" s="170"/>
      <c r="AI207" s="170"/>
      <c r="AJ207" s="170"/>
      <c r="AK207" s="50"/>
      <c r="AL207" s="474"/>
      <c r="AM207" s="474"/>
      <c r="AN207" s="139"/>
      <c r="AO207" s="5"/>
      <c r="AR207"/>
      <c r="AW207"/>
    </row>
    <row r="208" spans="1:49" s="28" customFormat="1" ht="16.2" outlineLevel="1" thickBot="1">
      <c r="A208" s="1366"/>
      <c r="B208" s="521" t="s">
        <v>104</v>
      </c>
      <c r="C208" s="73">
        <f t="shared" si="300"/>
        <v>96</v>
      </c>
      <c r="D208" s="304">
        <f t="shared" si="301"/>
        <v>0.33103448275862069</v>
      </c>
      <c r="E208" s="73">
        <f t="shared" si="302"/>
        <v>2</v>
      </c>
      <c r="F208" s="304">
        <f t="shared" si="303"/>
        <v>0.33333333333333331</v>
      </c>
      <c r="G208" s="305">
        <f t="shared" si="304"/>
        <v>16418346</v>
      </c>
      <c r="H208" s="306">
        <f t="shared" si="305"/>
        <v>0.32829319191495976</v>
      </c>
      <c r="I208" s="305">
        <f t="shared" si="306"/>
        <v>492550.38</v>
      </c>
      <c r="J208" s="306">
        <f t="shared" si="307"/>
        <v>0.31900386313347834</v>
      </c>
      <c r="K208" s="305">
        <f t="shared" si="308"/>
        <v>198550.38</v>
      </c>
      <c r="L208" s="306">
        <f t="shared" si="309"/>
        <v>0.2309669681457435</v>
      </c>
      <c r="M208" s="903">
        <v>3</v>
      </c>
      <c r="N208" s="904">
        <f t="shared" si="310"/>
        <v>0.5</v>
      </c>
      <c r="O208" s="901">
        <v>3</v>
      </c>
      <c r="P208" s="902">
        <f t="shared" si="311"/>
        <v>0.5</v>
      </c>
      <c r="Q208" s="901">
        <v>3</v>
      </c>
      <c r="R208" s="902" t="e">
        <f t="shared" si="312"/>
        <v>#DIV/0!</v>
      </c>
      <c r="S208" s="901">
        <v>3</v>
      </c>
      <c r="T208" s="902">
        <f t="shared" si="313"/>
        <v>0.5</v>
      </c>
      <c r="U208" s="901">
        <f t="shared" si="314"/>
        <v>0</v>
      </c>
      <c r="V208" s="902" t="str">
        <f t="shared" si="315"/>
        <v>-</v>
      </c>
      <c r="W208" s="305">
        <f t="shared" si="316"/>
        <v>0</v>
      </c>
      <c r="X208" s="306" t="str">
        <f t="shared" si="317"/>
        <v>-</v>
      </c>
      <c r="Y208" s="305">
        <f t="shared" si="318"/>
        <v>61840</v>
      </c>
      <c r="Z208" s="306">
        <f t="shared" si="319"/>
        <v>0.27769669808567105</v>
      </c>
      <c r="AA208" s="305">
        <f>SUMPRODUCT((RO_2019=B208)*(Rem2019en2019))+AH91</f>
        <v>129182</v>
      </c>
      <c r="AB208" s="306">
        <f t="shared" si="320"/>
        <v>0.58010049890205628</v>
      </c>
      <c r="AC208" s="305">
        <f t="shared" si="289"/>
        <v>0</v>
      </c>
      <c r="AD208" s="306" t="str">
        <f t="shared" si="321"/>
        <v>-</v>
      </c>
      <c r="AE208" s="305">
        <f t="shared" si="290"/>
        <v>111359</v>
      </c>
      <c r="AF208" s="306">
        <f t="shared" si="322"/>
        <v>0.50006511322966107</v>
      </c>
      <c r="AG208" s="308"/>
      <c r="AH208" s="170"/>
      <c r="AI208" s="170"/>
      <c r="AJ208" s="170"/>
      <c r="AK208" s="50"/>
      <c r="AL208" s="474"/>
      <c r="AM208" s="474"/>
      <c r="AN208" s="139"/>
      <c r="AO208" s="5"/>
      <c r="AS208"/>
    </row>
    <row r="209" spans="1:51" s="28" customFormat="1" ht="16.2" outlineLevel="1" thickBot="1">
      <c r="A209" s="1367"/>
      <c r="B209" s="517"/>
      <c r="C209" s="309">
        <f>SUM(C203:C208)</f>
        <v>290</v>
      </c>
      <c r="D209" s="310">
        <f t="shared" ref="D209:D221" si="323">IF(C209=0,"-",C209/$C$209)</f>
        <v>1</v>
      </c>
      <c r="E209" s="309">
        <f t="shared" ref="E209:P209" si="324">SUM(E203:E208)</f>
        <v>6</v>
      </c>
      <c r="F209" s="310">
        <f t="shared" si="324"/>
        <v>1</v>
      </c>
      <c r="G209" s="311">
        <f t="shared" si="324"/>
        <v>50011229</v>
      </c>
      <c r="H209" s="113">
        <f t="shared" si="324"/>
        <v>1</v>
      </c>
      <c r="I209" s="311">
        <f t="shared" si="324"/>
        <v>1544026.38</v>
      </c>
      <c r="J209" s="113">
        <f t="shared" si="324"/>
        <v>1</v>
      </c>
      <c r="K209" s="311">
        <f t="shared" si="324"/>
        <v>859648.38</v>
      </c>
      <c r="L209" s="113">
        <f t="shared" si="324"/>
        <v>0.99999999999999989</v>
      </c>
      <c r="M209" s="905">
        <f t="shared" si="324"/>
        <v>6</v>
      </c>
      <c r="N209" s="906">
        <f t="shared" si="324"/>
        <v>1</v>
      </c>
      <c r="O209" s="905">
        <f t="shared" si="324"/>
        <v>6</v>
      </c>
      <c r="P209" s="906">
        <f t="shared" si="324"/>
        <v>1</v>
      </c>
      <c r="Q209" s="905">
        <v>0</v>
      </c>
      <c r="R209" s="906" t="e">
        <f t="shared" ref="R209:AF209" si="325">SUM(R203:R208)</f>
        <v>#DIV/0!</v>
      </c>
      <c r="S209" s="905">
        <f t="shared" si="325"/>
        <v>6</v>
      </c>
      <c r="T209" s="906">
        <f t="shared" si="325"/>
        <v>1</v>
      </c>
      <c r="U209" s="905">
        <f t="shared" si="325"/>
        <v>0</v>
      </c>
      <c r="V209" s="906">
        <f t="shared" si="325"/>
        <v>0</v>
      </c>
      <c r="W209" s="311">
        <f t="shared" si="325"/>
        <v>0</v>
      </c>
      <c r="X209" s="113">
        <f t="shared" si="325"/>
        <v>0</v>
      </c>
      <c r="Y209" s="311">
        <f t="shared" si="325"/>
        <v>222689</v>
      </c>
      <c r="Z209" s="113">
        <f t="shared" si="325"/>
        <v>1</v>
      </c>
      <c r="AA209" s="311">
        <f t="shared" si="325"/>
        <v>359211</v>
      </c>
      <c r="AB209" s="113">
        <f t="shared" si="325"/>
        <v>1.6130612648132598</v>
      </c>
      <c r="AC209" s="311">
        <f t="shared" si="325"/>
        <v>171806.4</v>
      </c>
      <c r="AD209" s="113">
        <f t="shared" si="325"/>
        <v>1</v>
      </c>
      <c r="AE209" s="311">
        <f t="shared" si="325"/>
        <v>111359</v>
      </c>
      <c r="AF209" s="113">
        <f t="shared" si="325"/>
        <v>0.50006511322966107</v>
      </c>
      <c r="AG209" s="213"/>
      <c r="AH209" s="170"/>
      <c r="AI209" s="170"/>
      <c r="AJ209" s="170"/>
      <c r="AK209" s="50"/>
      <c r="AL209" s="474"/>
      <c r="AM209" s="474"/>
      <c r="AN209" s="139"/>
      <c r="AO209" s="5"/>
      <c r="AP209"/>
      <c r="AQ209"/>
      <c r="AS209"/>
    </row>
    <row r="210" spans="1:51" s="28" customFormat="1" outlineLevel="1">
      <c r="A210" s="1368" t="s">
        <v>296</v>
      </c>
      <c r="B210" s="518" t="s">
        <v>12</v>
      </c>
      <c r="C210" s="300">
        <f t="shared" ref="C210:C214" si="326">SUMPRODUCT((RO_2020=B210)*(Phase2020&lt;&gt;"fin")*(Prog2020))</f>
        <v>96</v>
      </c>
      <c r="D210" s="301">
        <f t="shared" si="323"/>
        <v>0.33103448275862069</v>
      </c>
      <c r="E210" s="300">
        <f t="shared" ref="E210:E214" si="327">SUMPRODUCT((RO_2020=B210)*(Phase2020&lt;&gt;"fin"))</f>
        <v>2</v>
      </c>
      <c r="F210" s="301">
        <f>IF(E210=0,"-",E210/$E$209)</f>
        <v>0.33333333333333331</v>
      </c>
      <c r="G210" s="302">
        <f t="shared" ref="G210:G214" si="328">SUMPRODUCT((RO_2020=B210)*(Phase2020&lt;&gt;"fin")*(Bdgt2020))</f>
        <v>12969603.51227464</v>
      </c>
      <c r="H210" s="306">
        <f>IF(G210=0,"-",G210/$G$209)</f>
        <v>0.2593338290541638</v>
      </c>
      <c r="I210" s="302">
        <f t="shared" ref="I210:I214" si="329">SUMPRODUCT((RO_2020=B210)*(Phase2020&lt;&gt;"fin")*(Rem_2020))</f>
        <v>389088.10536823916</v>
      </c>
      <c r="J210" s="303">
        <f>IF(I210=0,"-",I210/$I$209)</f>
        <v>0.25199576277203189</v>
      </c>
      <c r="K210" s="302">
        <f t="shared" ref="K210:K214" si="330">SUMPRODUCT((RO_2020=B210)*(Phase2020&lt;&gt;"fin")*(RemRest2020))</f>
        <v>256720.10536823916</v>
      </c>
      <c r="L210" s="303">
        <f>IF(K210=0,"-",K210/$K$209)</f>
        <v>0.29863385000299675</v>
      </c>
      <c r="M210" s="897">
        <v>0</v>
      </c>
      <c r="N210" s="898" t="str">
        <f>IF(M210=0,"-",M210/$M$209)</f>
        <v>-</v>
      </c>
      <c r="O210" s="897">
        <v>0</v>
      </c>
      <c r="P210" s="898" t="str">
        <f>IF(O210=0,"-",O210/$O$209)</f>
        <v>-</v>
      </c>
      <c r="Q210" s="897">
        <v>0</v>
      </c>
      <c r="R210" s="898" t="str">
        <f>IF(Q210=0,"-",Q210/$Q$209)</f>
        <v>-</v>
      </c>
      <c r="S210" s="897">
        <v>0</v>
      </c>
      <c r="T210" s="898" t="str">
        <f>IF(S210=0,"-",S210/$S$209)</f>
        <v>-</v>
      </c>
      <c r="U210" s="897">
        <f t="shared" ref="U210:U214" si="331">SUMPRODUCT((RO_2019=B210)*(Rem2019en2016))</f>
        <v>0</v>
      </c>
      <c r="V210" s="898" t="str">
        <f>IF(U210=0,"-",U210/$U$209)</f>
        <v>-</v>
      </c>
      <c r="W210" s="897">
        <f t="shared" ref="W210:W214" si="332">SUMPRODUCT((RO_2020=B210)*(Rem2020en2017))</f>
        <v>0</v>
      </c>
      <c r="X210" s="898" t="str">
        <f>IF(W210=0,"-",W210/$W$209)</f>
        <v>-</v>
      </c>
      <c r="Y210" s="897">
        <f t="shared" ref="Y210:Y214" si="333">SUMPRODUCT((RO_2020=B210)*(Rem2020en2018))</f>
        <v>0</v>
      </c>
      <c r="Z210" s="898" t="str">
        <f>IF(Y210=0,"-",Y210/$Y$209)</f>
        <v>-</v>
      </c>
      <c r="AA210" s="972">
        <f>SUMPRODUCT((RO_2020=B210)*(Rem2020en2019))</f>
        <v>114393</v>
      </c>
      <c r="AB210" s="973">
        <f>IF(AA210=0,"-",AA210/$Y$209)</f>
        <v>0.51368949521530027</v>
      </c>
      <c r="AC210" s="302">
        <f>SUMPRODUCT((RO_2020=B210)*(Rem2020Preven2020))</f>
        <v>22252.691999999999</v>
      </c>
      <c r="AD210" s="303">
        <f>IF(AC210=0,"-",AC210/$AC$209)</f>
        <v>0.12952190372419187</v>
      </c>
      <c r="AE210" s="972">
        <f>SUMPRODUCT((RO_2020=B210)*(Rem2020en2020))</f>
        <v>17975</v>
      </c>
      <c r="AF210" s="973">
        <f>IF(AE210=0,"-",AE210/$Y$209)</f>
        <v>8.0717951941945948E-2</v>
      </c>
      <c r="AG210" s="980"/>
      <c r="AH210" s="170"/>
      <c r="AI210" s="170"/>
      <c r="AJ210" s="170"/>
      <c r="AK210" s="50"/>
      <c r="AL210" s="474"/>
      <c r="AM210" s="474"/>
      <c r="AN210" s="139"/>
      <c r="AO210" s="5"/>
      <c r="AP210"/>
      <c r="AQ210"/>
      <c r="AX210"/>
      <c r="AY210"/>
    </row>
    <row r="211" spans="1:51" customFormat="1" ht="15" outlineLevel="1">
      <c r="A211" s="1369"/>
      <c r="B211" s="180" t="s">
        <v>291</v>
      </c>
      <c r="C211" s="73">
        <f t="shared" si="326"/>
        <v>456</v>
      </c>
      <c r="D211" s="304">
        <f t="shared" si="323"/>
        <v>1.5724137931034483</v>
      </c>
      <c r="E211" s="73">
        <f t="shared" si="327"/>
        <v>5</v>
      </c>
      <c r="F211" s="304">
        <f>IF(E211=0,"-",E211/$E$209)</f>
        <v>0.83333333333333337</v>
      </c>
      <c r="G211" s="305">
        <f t="shared" si="328"/>
        <v>52307301.677384607</v>
      </c>
      <c r="H211" s="306">
        <f>IF(G211=0,"-",G211/$G$209)</f>
        <v>1.0459111428232368</v>
      </c>
      <c r="I211" s="305">
        <f t="shared" si="329"/>
        <v>875273.39032153832</v>
      </c>
      <c r="J211" s="306">
        <f>IF(I211=0,"-",I211/$I$209)</f>
        <v>0.56687722545358221</v>
      </c>
      <c r="K211" s="305">
        <f t="shared" si="330"/>
        <v>491059.39032153832</v>
      </c>
      <c r="L211" s="306">
        <f>IF(K211=0,"-",K211/$K$209)</f>
        <v>0.5712328455984973</v>
      </c>
      <c r="M211" s="903">
        <v>0</v>
      </c>
      <c r="N211" s="904" t="str">
        <f>IF(M211=0,"-",M211/$M$209)</f>
        <v>-</v>
      </c>
      <c r="O211" s="901">
        <v>0</v>
      </c>
      <c r="P211" s="902" t="str">
        <f>IF(O211=0,"-",O211/$O$209)</f>
        <v>-</v>
      </c>
      <c r="Q211" s="901">
        <v>0</v>
      </c>
      <c r="R211" s="902" t="str">
        <f>IF(Q211=0,"-",Q211/$Q$209)</f>
        <v>-</v>
      </c>
      <c r="S211" s="901">
        <v>0</v>
      </c>
      <c r="T211" s="902" t="str">
        <f>IF(S211=0,"-",S211/$S$209)</f>
        <v>-</v>
      </c>
      <c r="U211" s="901">
        <f t="shared" si="331"/>
        <v>0</v>
      </c>
      <c r="V211" s="902" t="str">
        <f>IF(U211=0,"-",U211/$U$209)</f>
        <v>-</v>
      </c>
      <c r="W211" s="901">
        <f t="shared" si="332"/>
        <v>0</v>
      </c>
      <c r="X211" s="902" t="str">
        <f>IF(W211=0,"-",W211/$W$209)</f>
        <v>-</v>
      </c>
      <c r="Y211" s="901">
        <f t="shared" si="333"/>
        <v>0</v>
      </c>
      <c r="Z211" s="902" t="str">
        <f>IF(Y211=0,"-",Y211/$Y$209)</f>
        <v>-</v>
      </c>
      <c r="AA211" s="974">
        <f>SUMPRODUCT((RO_2020=B211)*(Rem2020en2019))</f>
        <v>284371</v>
      </c>
      <c r="AB211" s="975">
        <f>IF(AA211=0,"-",AA211/$Y$209)</f>
        <v>1.2769871884107433</v>
      </c>
      <c r="AC211" s="305">
        <f>SUMPRODUCT((RO_2020=B211)*(Rem2020Preven2020))</f>
        <v>42613.987499999996</v>
      </c>
      <c r="AD211" s="306">
        <f>IF(AC211=0,"-",AC211/$AC$209)</f>
        <v>0.24803492477579414</v>
      </c>
      <c r="AE211" s="974">
        <f>SUMPRODUCT((RO_2020=B211)*(Rem2020en2020))</f>
        <v>99843</v>
      </c>
      <c r="AF211" s="975">
        <f>IF(AE211=0,"-",AE211/$Y$209)</f>
        <v>0.44835173717606169</v>
      </c>
      <c r="AG211" s="980"/>
      <c r="AH211" s="778"/>
      <c r="AI211" s="778"/>
      <c r="AJ211" s="778"/>
      <c r="AL211" s="753"/>
      <c r="AM211" s="753"/>
      <c r="AN211" s="140"/>
      <c r="AP211" s="28"/>
      <c r="AQ211" s="28"/>
      <c r="AR211" s="28"/>
      <c r="AS211" s="28"/>
      <c r="AT211" s="28"/>
      <c r="AU211" s="28"/>
      <c r="AV211" s="28"/>
      <c r="AW211" s="28"/>
    </row>
    <row r="212" spans="1:51" customFormat="1" ht="15" outlineLevel="1">
      <c r="A212" s="1369"/>
      <c r="B212" s="519" t="s">
        <v>7</v>
      </c>
      <c r="C212" s="73">
        <f t="shared" si="326"/>
        <v>0</v>
      </c>
      <c r="D212" s="304" t="str">
        <f t="shared" si="323"/>
        <v>-</v>
      </c>
      <c r="E212" s="73">
        <f t="shared" si="327"/>
        <v>0</v>
      </c>
      <c r="F212" s="304" t="str">
        <f>IF(E212=0,"-",E212/$E$209)</f>
        <v>-</v>
      </c>
      <c r="G212" s="305">
        <f t="shared" si="328"/>
        <v>0</v>
      </c>
      <c r="H212" s="306" t="str">
        <f>IF(G212=0,"-",G212/$G$209)</f>
        <v>-</v>
      </c>
      <c r="I212" s="305">
        <f t="shared" si="329"/>
        <v>0</v>
      </c>
      <c r="J212" s="306" t="str">
        <f>IF(I212=0,"-",I212/$I$209)</f>
        <v>-</v>
      </c>
      <c r="K212" s="305">
        <f t="shared" si="330"/>
        <v>0</v>
      </c>
      <c r="L212" s="306" t="str">
        <f>IF(K212=0,"-",K212/$K$209)</f>
        <v>-</v>
      </c>
      <c r="M212" s="903">
        <v>0</v>
      </c>
      <c r="N212" s="904" t="str">
        <f>IF(M212=0,"-",M212/$M$209)</f>
        <v>-</v>
      </c>
      <c r="O212" s="901">
        <v>0</v>
      </c>
      <c r="P212" s="902" t="str">
        <f>IF(O212=0,"-",O212/$O$209)</f>
        <v>-</v>
      </c>
      <c r="Q212" s="901">
        <v>0</v>
      </c>
      <c r="R212" s="902" t="str">
        <f>IF(Q212=0,"-",Q212/$Q$209)</f>
        <v>-</v>
      </c>
      <c r="S212" s="901">
        <v>0</v>
      </c>
      <c r="T212" s="902" t="str">
        <f>IF(S212=0,"-",S212/$S$209)</f>
        <v>-</v>
      </c>
      <c r="U212" s="901">
        <f t="shared" si="331"/>
        <v>0</v>
      </c>
      <c r="V212" s="902" t="str">
        <f>IF(U212=0,"-",U212/$U$209)</f>
        <v>-</v>
      </c>
      <c r="W212" s="901">
        <f t="shared" si="332"/>
        <v>0</v>
      </c>
      <c r="X212" s="902" t="str">
        <f>IF(W212=0,"-",W212/$W$209)</f>
        <v>-</v>
      </c>
      <c r="Y212" s="901">
        <f t="shared" si="333"/>
        <v>0</v>
      </c>
      <c r="Z212" s="902" t="str">
        <f>IF(Y212=0,"-",Y212/$Y$209)</f>
        <v>-</v>
      </c>
      <c r="AA212" s="974">
        <f>SUMPRODUCT((RO_2020=B212)*(Rem2020en2019))</f>
        <v>0</v>
      </c>
      <c r="AB212" s="975" t="str">
        <f>IF(AA212=0,"-",AA212/$Y$209)</f>
        <v>-</v>
      </c>
      <c r="AC212" s="305">
        <f>SUMPRODUCT((RO_2020=B212)*(Rem2020Preven2020))</f>
        <v>0</v>
      </c>
      <c r="AD212" s="306" t="str">
        <f>IF(AC212=0,"-",AC212/$AC$209)</f>
        <v>-</v>
      </c>
      <c r="AE212" s="974">
        <f>SUMPRODUCT((RO_2020=B212)*(Rem2020en2020))</f>
        <v>0</v>
      </c>
      <c r="AF212" s="975" t="str">
        <f>IF(AE212=0,"-",AE212/$Y$209)</f>
        <v>-</v>
      </c>
      <c r="AG212" s="980"/>
      <c r="AH212" s="778"/>
      <c r="AI212" s="778"/>
      <c r="AJ212" s="778"/>
      <c r="AN212" s="753"/>
      <c r="AO212" s="753"/>
      <c r="AP212" s="140"/>
      <c r="AR212" s="28"/>
      <c r="AS212" s="28"/>
      <c r="AT212" s="28"/>
      <c r="AU212" s="28"/>
      <c r="AV212" s="28"/>
      <c r="AW212" s="28"/>
      <c r="AX212" s="28"/>
      <c r="AY212" s="28"/>
    </row>
    <row r="213" spans="1:51" s="28" customFormat="1">
      <c r="A213" s="1369"/>
      <c r="B213" s="520" t="s">
        <v>103</v>
      </c>
      <c r="C213" s="73">
        <f t="shared" si="326"/>
        <v>178</v>
      </c>
      <c r="D213" s="304">
        <f t="shared" si="323"/>
        <v>0.61379310344827587</v>
      </c>
      <c r="E213" s="73">
        <f t="shared" si="327"/>
        <v>1</v>
      </c>
      <c r="F213" s="304">
        <f>IF(E213=0,"-",E213/$E$209)</f>
        <v>0.16666666666666666</v>
      </c>
      <c r="G213" s="305">
        <f t="shared" si="328"/>
        <v>32746546</v>
      </c>
      <c r="H213" s="306">
        <f>IF(G213=0,"-",G213/$G$209)</f>
        <v>0.65478386863878113</v>
      </c>
      <c r="I213" s="305">
        <f t="shared" si="329"/>
        <v>491198.19</v>
      </c>
      <c r="J213" s="306">
        <f>IF(I213=0,"-",I213/$I$209)</f>
        <v>0.31812810737080804</v>
      </c>
      <c r="K213" s="305">
        <f t="shared" si="330"/>
        <v>350087.19</v>
      </c>
      <c r="L213" s="306">
        <f>IF(K213=0,"-",K213/$K$209)</f>
        <v>0.40724463413750633</v>
      </c>
      <c r="M213" s="903">
        <v>0</v>
      </c>
      <c r="N213" s="904" t="str">
        <f>IF(M213=0,"-",M213/$M$209)</f>
        <v>-</v>
      </c>
      <c r="O213" s="901">
        <v>0</v>
      </c>
      <c r="P213" s="902" t="str">
        <f>IF(O213=0,"-",O213/$O$209)</f>
        <v>-</v>
      </c>
      <c r="Q213" s="901">
        <v>0</v>
      </c>
      <c r="R213" s="902" t="str">
        <f>IF(Q213=0,"-",Q213/$Q$209)</f>
        <v>-</v>
      </c>
      <c r="S213" s="901">
        <v>0</v>
      </c>
      <c r="T213" s="902" t="str">
        <f>IF(S213=0,"-",S213/$S$209)</f>
        <v>-</v>
      </c>
      <c r="U213" s="901">
        <f t="shared" si="331"/>
        <v>0</v>
      </c>
      <c r="V213" s="902" t="str">
        <f>IF(U213=0,"-",U213/$U$209)</f>
        <v>-</v>
      </c>
      <c r="W213" s="901">
        <f t="shared" si="332"/>
        <v>0</v>
      </c>
      <c r="X213" s="902" t="str">
        <f>IF(W213=0,"-",W213/$W$209)</f>
        <v>-</v>
      </c>
      <c r="Y213" s="901">
        <f t="shared" si="333"/>
        <v>0</v>
      </c>
      <c r="Z213" s="902" t="str">
        <f>IF(Y213=0,"-",Y213/$Y$209)</f>
        <v>-</v>
      </c>
      <c r="AA213" s="974">
        <f>SUMPRODUCT((RO_2020=B213)*(Rem2020en2019))</f>
        <v>141111</v>
      </c>
      <c r="AB213" s="975">
        <f>IF(AA213=0,"-",AA213/$Y$209)</f>
        <v>0.6336684793591062</v>
      </c>
      <c r="AC213" s="305">
        <f>SUMPRODUCT((RO_2020=B213)*(Rem2020Preven2020))</f>
        <v>0</v>
      </c>
      <c r="AD213" s="306" t="str">
        <f>IF(AC213=0,"-",AC213/$AC$209)</f>
        <v>-</v>
      </c>
      <c r="AE213" s="974">
        <f>SUMPRODUCT((RO_2020=B213)*(Rem2020en2020))</f>
        <v>0</v>
      </c>
      <c r="AF213" s="975" t="str">
        <f>IF(AE213=0,"-",AE213/$Y$209)</f>
        <v>-</v>
      </c>
      <c r="AG213" s="980"/>
      <c r="AH213" s="169"/>
      <c r="AI213" s="169"/>
      <c r="AJ213" s="169"/>
      <c r="AK213" s="50"/>
      <c r="AL213" s="5"/>
      <c r="AM213" s="5"/>
      <c r="AN213" s="43"/>
      <c r="AO213" s="43"/>
      <c r="AP213" s="284"/>
      <c r="AR213" s="284"/>
    </row>
    <row r="214" spans="1:51" s="28" customFormat="1" ht="16.2" thickBot="1">
      <c r="A214" s="1369"/>
      <c r="B214" s="521" t="s">
        <v>104</v>
      </c>
      <c r="C214" s="73">
        <f t="shared" si="326"/>
        <v>44</v>
      </c>
      <c r="D214" s="304">
        <f t="shared" si="323"/>
        <v>0.15172413793103448</v>
      </c>
      <c r="E214" s="73">
        <f t="shared" si="327"/>
        <v>1</v>
      </c>
      <c r="F214" s="304">
        <f>IF(E214=0,"-",E214/$E$209)</f>
        <v>0.16666666666666666</v>
      </c>
      <c r="G214" s="305">
        <f t="shared" si="328"/>
        <v>8370000</v>
      </c>
      <c r="H214" s="306">
        <f>IF(G214=0,"-",G214/$G$209)</f>
        <v>0.16736241374912023</v>
      </c>
      <c r="I214" s="305">
        <f t="shared" si="329"/>
        <v>125550</v>
      </c>
      <c r="J214" s="306">
        <f>IF(I214=0,"-",I214/$I$209)</f>
        <v>8.1313377560297911E-2</v>
      </c>
      <c r="K214" s="305">
        <f t="shared" si="330"/>
        <v>50220</v>
      </c>
      <c r="L214" s="306">
        <f>IF(K214=0,"-",K214/$K$209)</f>
        <v>5.841923415245661E-2</v>
      </c>
      <c r="M214" s="903">
        <v>0</v>
      </c>
      <c r="N214" s="904" t="str">
        <f>IF(M214=0,"-",M214/$M$209)</f>
        <v>-</v>
      </c>
      <c r="O214" s="901">
        <v>0</v>
      </c>
      <c r="P214" s="902" t="str">
        <f>IF(O214=0,"-",O214/$O$209)</f>
        <v>-</v>
      </c>
      <c r="Q214" s="901">
        <v>0</v>
      </c>
      <c r="R214" s="902" t="str">
        <f>IF(Q214=0,"-",Q214/$Q$209)</f>
        <v>-</v>
      </c>
      <c r="S214" s="901">
        <v>0</v>
      </c>
      <c r="T214" s="902" t="str">
        <f>IF(S214=0,"-",S214/$S$209)</f>
        <v>-</v>
      </c>
      <c r="U214" s="901">
        <f t="shared" si="331"/>
        <v>0</v>
      </c>
      <c r="V214" s="902" t="str">
        <f>IF(U214=0,"-",U214/$U$209)</f>
        <v>-</v>
      </c>
      <c r="W214" s="901">
        <f t="shared" si="332"/>
        <v>0</v>
      </c>
      <c r="X214" s="902" t="str">
        <f>IF(W214=0,"-",W214/$W$209)</f>
        <v>-</v>
      </c>
      <c r="Y214" s="901">
        <f t="shared" si="333"/>
        <v>0</v>
      </c>
      <c r="Z214" s="902" t="str">
        <f>IF(Y214=0,"-",Y214/$Y$209)</f>
        <v>-</v>
      </c>
      <c r="AA214" s="974">
        <f>SUMPRODUCT((RO_2020=B214)*(Rem2020en2019))</f>
        <v>75330</v>
      </c>
      <c r="AB214" s="975">
        <f>IF(AA214=0,"-",AA214/$Y$209)</f>
        <v>0.33827445450830529</v>
      </c>
      <c r="AC214" s="305">
        <f>SUMPRODUCT((RO_2020=B214)*(Rem2020Preven2020))</f>
        <v>0</v>
      </c>
      <c r="AD214" s="306" t="str">
        <f>IF(AC214=0,"-",AC214/$AC$209)</f>
        <v>-</v>
      </c>
      <c r="AE214" s="974">
        <f>SUMPRODUCT((RO_2020=B214)*(Rem2020en2020))</f>
        <v>0</v>
      </c>
      <c r="AF214" s="975" t="str">
        <f>IF(AE214=0,"-",AE214/$Y$209)</f>
        <v>-</v>
      </c>
      <c r="AG214" s="980"/>
      <c r="AH214" s="169"/>
      <c r="AI214" s="169"/>
      <c r="AJ214" s="169"/>
      <c r="AK214" s="169"/>
      <c r="AL214" s="50"/>
      <c r="AM214" s="5"/>
      <c r="AN214" s="5"/>
      <c r="AO214" s="43"/>
      <c r="AP214" s="43"/>
      <c r="AR214" s="284"/>
      <c r="AT214" s="284"/>
    </row>
    <row r="215" spans="1:51" s="28" customFormat="1" ht="16.2" thickBot="1">
      <c r="A215" s="1370"/>
      <c r="B215" s="517"/>
      <c r="C215" s="309">
        <f>SUM(C210:C214)</f>
        <v>774</v>
      </c>
      <c r="D215" s="310">
        <f t="shared" si="323"/>
        <v>2.6689655172413791</v>
      </c>
      <c r="E215" s="309">
        <f t="shared" ref="E215:P215" si="334">SUM(E210:E214)</f>
        <v>9</v>
      </c>
      <c r="F215" s="310">
        <f t="shared" si="334"/>
        <v>1.5000000000000002</v>
      </c>
      <c r="G215" s="311">
        <f t="shared" si="334"/>
        <v>106393451.18965924</v>
      </c>
      <c r="H215" s="113">
        <f t="shared" si="334"/>
        <v>2.127391254265302</v>
      </c>
      <c r="I215" s="311">
        <f t="shared" si="334"/>
        <v>1881109.6856897774</v>
      </c>
      <c r="J215" s="113">
        <f t="shared" si="334"/>
        <v>1.2183144731567199</v>
      </c>
      <c r="K215" s="311">
        <f t="shared" si="334"/>
        <v>1148086.6856897774</v>
      </c>
      <c r="L215" s="113">
        <f t="shared" si="334"/>
        <v>1.3355305638914567</v>
      </c>
      <c r="M215" s="905">
        <f t="shared" si="334"/>
        <v>0</v>
      </c>
      <c r="N215" s="906">
        <f t="shared" si="334"/>
        <v>0</v>
      </c>
      <c r="O215" s="905">
        <f t="shared" si="334"/>
        <v>0</v>
      </c>
      <c r="P215" s="906">
        <f t="shared" si="334"/>
        <v>0</v>
      </c>
      <c r="Q215" s="905">
        <v>0</v>
      </c>
      <c r="R215" s="906">
        <f t="shared" ref="R215:AF215" si="335">SUM(R210:R214)</f>
        <v>0</v>
      </c>
      <c r="S215" s="905">
        <f t="shared" si="335"/>
        <v>0</v>
      </c>
      <c r="T215" s="906">
        <f t="shared" si="335"/>
        <v>0</v>
      </c>
      <c r="U215" s="905">
        <f t="shared" si="335"/>
        <v>0</v>
      </c>
      <c r="V215" s="906">
        <f t="shared" si="335"/>
        <v>0</v>
      </c>
      <c r="W215" s="905">
        <f t="shared" si="335"/>
        <v>0</v>
      </c>
      <c r="X215" s="906">
        <f t="shared" si="335"/>
        <v>0</v>
      </c>
      <c r="Y215" s="905">
        <f t="shared" si="335"/>
        <v>0</v>
      </c>
      <c r="Z215" s="906">
        <f t="shared" si="335"/>
        <v>0</v>
      </c>
      <c r="AA215" s="976">
        <f t="shared" si="335"/>
        <v>615205</v>
      </c>
      <c r="AB215" s="977">
        <f t="shared" si="335"/>
        <v>2.7626196174934554</v>
      </c>
      <c r="AC215" s="311">
        <f t="shared" si="335"/>
        <v>64866.679499999998</v>
      </c>
      <c r="AD215" s="113">
        <f t="shared" si="335"/>
        <v>0.37755682849998601</v>
      </c>
      <c r="AE215" s="976">
        <f t="shared" si="335"/>
        <v>117818</v>
      </c>
      <c r="AF215" s="977">
        <f t="shared" si="335"/>
        <v>0.52906968911800767</v>
      </c>
      <c r="AG215" s="981"/>
      <c r="AH215" s="169"/>
      <c r="AI215" s="169"/>
      <c r="AJ215" s="169"/>
      <c r="AK215" s="169"/>
      <c r="AL215" s="50"/>
      <c r="AM215" s="5"/>
      <c r="AN215" s="5"/>
      <c r="AO215" s="43"/>
      <c r="AP215" s="43"/>
      <c r="AS215"/>
    </row>
    <row r="216" spans="1:51" s="28" customFormat="1" hidden="1" outlineLevel="1">
      <c r="A216" s="1317" t="s">
        <v>328</v>
      </c>
      <c r="B216" s="518" t="s">
        <v>12</v>
      </c>
      <c r="C216" s="300">
        <f>SUMPRODUCT((RO_2021=B216)*(Phase2021&lt;&gt;"fin")*(Prog2021))</f>
        <v>0</v>
      </c>
      <c r="D216" s="301" t="str">
        <f t="shared" si="323"/>
        <v>-</v>
      </c>
      <c r="E216" s="300">
        <f>SUMPRODUCT((RO_2021=B216)*(Phase2021&lt;&gt;"fin"))</f>
        <v>0</v>
      </c>
      <c r="F216" s="301" t="str">
        <f>IF(E216=0,"-",E216/$E$209)</f>
        <v>-</v>
      </c>
      <c r="G216" s="302">
        <f>SUMPRODUCT((RO_2021=B216)*(Phase2021&lt;&gt;"fin")*(Bdgt2021))</f>
        <v>0</v>
      </c>
      <c r="H216" s="306" t="str">
        <f>IF(G216=0,"-",G216/$G$209)</f>
        <v>-</v>
      </c>
      <c r="I216" s="302">
        <f>SUMPRODUCT((RO_2021=B216)*(Phase2021&lt;&gt;"fin")*(Rem_2021))</f>
        <v>0</v>
      </c>
      <c r="J216" s="303" t="str">
        <f>IF(I216=0,"-",I216/$I$209)</f>
        <v>-</v>
      </c>
      <c r="K216" s="302">
        <f>SUMPRODUCT((RO_2021=B216)*(Phase2021&lt;&gt;"fin")*(RemRest2021))</f>
        <v>0</v>
      </c>
      <c r="L216" s="303" t="str">
        <f>IF(K216=0,"-",K216/$K$209)</f>
        <v>-</v>
      </c>
      <c r="M216" s="897">
        <v>0</v>
      </c>
      <c r="N216" s="898" t="str">
        <f>IF(M216=0,"-",M216/$M$209)</f>
        <v>-</v>
      </c>
      <c r="O216" s="897">
        <v>0</v>
      </c>
      <c r="P216" s="898" t="str">
        <f>IF(O216=0,"-",O216/$O$209)</f>
        <v>-</v>
      </c>
      <c r="Q216" s="897">
        <v>0</v>
      </c>
      <c r="R216" s="898" t="str">
        <f>IF(Q216=0,"-",Q216/$Q$209)</f>
        <v>-</v>
      </c>
      <c r="S216" s="897">
        <v>0</v>
      </c>
      <c r="T216" s="898" t="str">
        <f>IF(S216=0,"-",S216/$S$209)</f>
        <v>-</v>
      </c>
      <c r="U216" s="897">
        <f t="shared" ref="U216:U220" si="336">SUMPRODUCT((RO_2019=B216)*(Rem2019en2016))</f>
        <v>0</v>
      </c>
      <c r="V216" s="898" t="str">
        <f>IF(U216=0,"-",U216/$U$209)</f>
        <v>-</v>
      </c>
      <c r="W216" s="897">
        <f t="shared" ref="W216:W220" si="337">SUMPRODUCT((RO_2020=B216)*(Rem2020en2017))</f>
        <v>0</v>
      </c>
      <c r="X216" s="898" t="str">
        <f>IF(W216=0,"-",W216/$W$209)</f>
        <v>-</v>
      </c>
      <c r="Y216" s="897">
        <f t="shared" ref="Y216:Y220" si="338">SUMPRODUCT((RO_2020=B216)*(Rem2020en2018))</f>
        <v>0</v>
      </c>
      <c r="Z216" s="898" t="str">
        <f>IF(Y216=0,"-",Y216/$Y$209)</f>
        <v>-</v>
      </c>
      <c r="AA216" s="972">
        <f>SUMPRODUCT((RO_2021=B216)*(Rem2021en2019))</f>
        <v>0</v>
      </c>
      <c r="AB216" s="973" t="str">
        <f>IF(AA216=0,"-",AA216/$Y$209)</f>
        <v>-</v>
      </c>
      <c r="AC216" s="302">
        <f>SUMPRODUCT((RO_2021=B216)*(Rem2021Preven2020))</f>
        <v>0</v>
      </c>
      <c r="AD216" s="303" t="str">
        <f>IF(AC216=0,"-",AC216/$AC$209)</f>
        <v>-</v>
      </c>
      <c r="AE216" s="972">
        <f>SUMPRODUCT((RO_2021=B216)*(Rem2021en2020))</f>
        <v>0</v>
      </c>
      <c r="AF216" s="973" t="str">
        <f>IF(AE216=0,"-",AE216/$Y$209)</f>
        <v>-</v>
      </c>
      <c r="AG216" s="980"/>
      <c r="AH216" s="170"/>
      <c r="AI216" s="170"/>
      <c r="AJ216" s="170"/>
      <c r="AK216" s="50"/>
      <c r="AL216" s="474"/>
      <c r="AM216" s="474"/>
      <c r="AN216" s="139"/>
      <c r="AO216" s="5"/>
      <c r="AP216"/>
      <c r="AQ216"/>
      <c r="AX216"/>
      <c r="AY216"/>
    </row>
    <row r="217" spans="1:51" customFormat="1" ht="15" hidden="1" outlineLevel="1">
      <c r="A217" s="1318"/>
      <c r="B217" s="180" t="s">
        <v>291</v>
      </c>
      <c r="C217" s="73">
        <f>SUMPRODUCT((RO_2021=B217)*(Phase2021&lt;&gt;"fin")*(Prog2021))</f>
        <v>104</v>
      </c>
      <c r="D217" s="304">
        <f t="shared" si="323"/>
        <v>0.35862068965517241</v>
      </c>
      <c r="E217" s="73">
        <f>SUMPRODUCT((RO_2021=B217)*(Phase2021&lt;&gt;"fin"))</f>
        <v>2</v>
      </c>
      <c r="F217" s="304">
        <f>IF(E217=0,"-",E217/$E$209)</f>
        <v>0.33333333333333331</v>
      </c>
      <c r="G217" s="305">
        <f>SUMPRODUCT((RO_2021=B217)*(Phase2021&lt;&gt;"fin")*(Bdgt2021))</f>
        <v>14452403</v>
      </c>
      <c r="H217" s="306">
        <f>IF(G217=0,"-",G217/$G$209)</f>
        <v>0.28898316016189085</v>
      </c>
      <c r="I217" s="305">
        <f>SUMPRODUCT((RO_2021=B217)*(Phase2021&lt;&gt;"fin")*(Rem_2021))</f>
        <v>322394.02500000002</v>
      </c>
      <c r="J217" s="306">
        <f>IF(I217=0,"-",I217/$I$209)</f>
        <v>0.20880085287143865</v>
      </c>
      <c r="K217" s="305">
        <f>SUMPRODUCT((RO_2021=B217)*(Phase2021&lt;&gt;"fin")*(RemRest2021))</f>
        <v>289041.02500000002</v>
      </c>
      <c r="L217" s="306">
        <f>IF(K217=0,"-",K217/$K$209)</f>
        <v>0.33623168696019645</v>
      </c>
      <c r="M217" s="903">
        <v>0</v>
      </c>
      <c r="N217" s="904" t="str">
        <f>IF(M217=0,"-",M217/$M$209)</f>
        <v>-</v>
      </c>
      <c r="O217" s="901">
        <v>0</v>
      </c>
      <c r="P217" s="902" t="str">
        <f>IF(O217=0,"-",O217/$O$209)</f>
        <v>-</v>
      </c>
      <c r="Q217" s="901">
        <v>0</v>
      </c>
      <c r="R217" s="902" t="str">
        <f>IF(Q217=0,"-",Q217/$Q$209)</f>
        <v>-</v>
      </c>
      <c r="S217" s="901">
        <v>0</v>
      </c>
      <c r="T217" s="902" t="str">
        <f>IF(S217=0,"-",S217/$S$209)</f>
        <v>-</v>
      </c>
      <c r="U217" s="901">
        <f t="shared" si="336"/>
        <v>0</v>
      </c>
      <c r="V217" s="902" t="str">
        <f>IF(U217=0,"-",U217/$U$209)</f>
        <v>-</v>
      </c>
      <c r="W217" s="901">
        <f t="shared" si="337"/>
        <v>0</v>
      </c>
      <c r="X217" s="902" t="str">
        <f>IF(W217=0,"-",W217/$W$209)</f>
        <v>-</v>
      </c>
      <c r="Y217" s="901">
        <f t="shared" si="338"/>
        <v>0</v>
      </c>
      <c r="Z217" s="902" t="str">
        <f>IF(Y217=0,"-",Y217/$Y$209)</f>
        <v>-</v>
      </c>
      <c r="AA217" s="974">
        <f>SUMPRODUCT((RO_2021=B217)*(Rem2021en2019))</f>
        <v>33353</v>
      </c>
      <c r="AB217" s="975">
        <f>IF(AA217=0,"-",AA217/$Y$209)</f>
        <v>0.1497738999232113</v>
      </c>
      <c r="AC217" s="305">
        <f>SUMPRODUCT((RO_2021=B217)*(Rem2021Preven2020))</f>
        <v>21121.596000000001</v>
      </c>
      <c r="AD217" s="306">
        <f>IF(AC217=0,"-",AC217/$AC$209)</f>
        <v>0.12293835386807478</v>
      </c>
      <c r="AE217" s="974">
        <f>SUMPRODUCT((RO_2021=B217)*(Rem2021en2020))</f>
        <v>0</v>
      </c>
      <c r="AF217" s="975" t="str">
        <f>IF(AE217=0,"-",AE217/$Y$209)</f>
        <v>-</v>
      </c>
      <c r="AG217" s="980"/>
      <c r="AH217" s="778"/>
      <c r="AI217" s="778"/>
      <c r="AJ217" s="778"/>
      <c r="AL217" s="753"/>
      <c r="AM217" s="753"/>
      <c r="AN217" s="140"/>
      <c r="AP217" s="28"/>
      <c r="AQ217" s="28"/>
      <c r="AR217" s="28"/>
      <c r="AS217" s="28"/>
      <c r="AT217" s="28"/>
      <c r="AU217" s="28"/>
      <c r="AV217" s="28"/>
      <c r="AW217" s="28"/>
    </row>
    <row r="218" spans="1:51" customFormat="1" ht="15" hidden="1" outlineLevel="1">
      <c r="A218" s="1318"/>
      <c r="B218" s="519" t="s">
        <v>7</v>
      </c>
      <c r="C218" s="73">
        <f>SUMPRODUCT((RO_2021=B218)*(Phase2021&lt;&gt;"fin")*(Prog2021))</f>
        <v>0</v>
      </c>
      <c r="D218" s="304" t="str">
        <f t="shared" si="323"/>
        <v>-</v>
      </c>
      <c r="E218" s="73">
        <f>SUMPRODUCT((RO_2021=B218)*(Phase2021&lt;&gt;"fin"))</f>
        <v>0</v>
      </c>
      <c r="F218" s="304" t="str">
        <f>IF(E218=0,"-",E218/$E$209)</f>
        <v>-</v>
      </c>
      <c r="G218" s="305">
        <f>SUMPRODUCT((RO_2021=B218)*(Phase2021&lt;&gt;"fin")*(Bdgt2021))</f>
        <v>0</v>
      </c>
      <c r="H218" s="306" t="str">
        <f>IF(G218=0,"-",G218/$G$209)</f>
        <v>-</v>
      </c>
      <c r="I218" s="305">
        <f>SUMPRODUCT((RO_2021=B218)*(Phase2021&lt;&gt;"fin")*(Rem_2021))</f>
        <v>0</v>
      </c>
      <c r="J218" s="306" t="str">
        <f>IF(I218=0,"-",I218/$I$209)</f>
        <v>-</v>
      </c>
      <c r="K218" s="305">
        <f>SUMPRODUCT((RO_2021=B218)*(Phase2021&lt;&gt;"fin")*(RemRest2021))</f>
        <v>0</v>
      </c>
      <c r="L218" s="306" t="str">
        <f>IF(K218=0,"-",K218/$K$209)</f>
        <v>-</v>
      </c>
      <c r="M218" s="903">
        <v>0</v>
      </c>
      <c r="N218" s="904" t="str">
        <f>IF(M218=0,"-",M218/$M$209)</f>
        <v>-</v>
      </c>
      <c r="O218" s="901">
        <v>0</v>
      </c>
      <c r="P218" s="902" t="str">
        <f>IF(O218=0,"-",O218/$O$209)</f>
        <v>-</v>
      </c>
      <c r="Q218" s="901">
        <v>0</v>
      </c>
      <c r="R218" s="902" t="str">
        <f>IF(Q218=0,"-",Q218/$Q$209)</f>
        <v>-</v>
      </c>
      <c r="S218" s="901">
        <v>0</v>
      </c>
      <c r="T218" s="902" t="str">
        <f>IF(S218=0,"-",S218/$S$209)</f>
        <v>-</v>
      </c>
      <c r="U218" s="901">
        <f t="shared" si="336"/>
        <v>0</v>
      </c>
      <c r="V218" s="902" t="str">
        <f>IF(U218=0,"-",U218/$U$209)</f>
        <v>-</v>
      </c>
      <c r="W218" s="901">
        <f t="shared" si="337"/>
        <v>0</v>
      </c>
      <c r="X218" s="902" t="str">
        <f>IF(W218=0,"-",W218/$W$209)</f>
        <v>-</v>
      </c>
      <c r="Y218" s="901">
        <f t="shared" si="338"/>
        <v>0</v>
      </c>
      <c r="Z218" s="902" t="str">
        <f>IF(Y218=0,"-",Y218/$Y$209)</f>
        <v>-</v>
      </c>
      <c r="AA218" s="974">
        <f>SUMPRODUCT((RO_2021=B218)*(Rem2021en2019))</f>
        <v>0</v>
      </c>
      <c r="AB218" s="975" t="str">
        <f>IF(AA218=0,"-",AA218/$Y$209)</f>
        <v>-</v>
      </c>
      <c r="AC218" s="305">
        <f>SUMPRODUCT((RO_2021=B218)*(Rem2021Preven2020))</f>
        <v>0</v>
      </c>
      <c r="AD218" s="306" t="str">
        <f>IF(AC218=0,"-",AC218/$AC$209)</f>
        <v>-</v>
      </c>
      <c r="AE218" s="974">
        <f>SUMPRODUCT((RO_2021=B218)*(Rem2021en2020))</f>
        <v>0</v>
      </c>
      <c r="AF218" s="975" t="str">
        <f>IF(AE218=0,"-",AE218/$Y$209)</f>
        <v>-</v>
      </c>
      <c r="AG218" s="980"/>
      <c r="AH218" s="778"/>
      <c r="AI218" s="778"/>
      <c r="AJ218" s="778"/>
      <c r="AN218" s="753"/>
      <c r="AO218" s="753"/>
      <c r="AP218" s="140"/>
      <c r="AR218" s="28"/>
      <c r="AS218" s="28"/>
      <c r="AT218" s="28"/>
      <c r="AU218" s="28"/>
      <c r="AV218" s="28"/>
      <c r="AW218" s="28"/>
      <c r="AX218" s="28"/>
      <c r="AY218" s="28"/>
    </row>
    <row r="219" spans="1:51" s="28" customFormat="1" collapsed="1">
      <c r="A219" s="1318"/>
      <c r="B219" s="520" t="s">
        <v>103</v>
      </c>
      <c r="C219" s="73">
        <f>SUMPRODUCT((RO_2021=B219)*(Phase2021&lt;&gt;"fin")*(Prog2021))</f>
        <v>205</v>
      </c>
      <c r="D219" s="304">
        <f t="shared" si="323"/>
        <v>0.7068965517241379</v>
      </c>
      <c r="E219" s="73">
        <f>SUMPRODUCT((RO_2021=B219)*(Phase2021&lt;&gt;"fin"))</f>
        <v>1</v>
      </c>
      <c r="F219" s="304">
        <f>IF(E219=0,"-",E219/$E$209)</f>
        <v>0.16666666666666666</v>
      </c>
      <c r="G219" s="305">
        <f>SUMPRODUCT((RO_2021=B219)*(Phase2021&lt;&gt;"fin")*(Bdgt2021))</f>
        <v>25520524</v>
      </c>
      <c r="H219" s="306">
        <f>IF(G219=0,"-",G219/$G$209)</f>
        <v>0.51029587775177454</v>
      </c>
      <c r="I219" s="305">
        <f>SUMPRODUCT((RO_2021=B219)*(Phase2021&lt;&gt;"fin")*(Rem_2021))</f>
        <v>382807.86</v>
      </c>
      <c r="J219" s="306">
        <f>IF(I219=0,"-",I219/$I$209)</f>
        <v>0.24792831583615821</v>
      </c>
      <c r="K219" s="305">
        <f>SUMPRODUCT((RO_2021=B219)*(Phase2021&lt;&gt;"fin")*(RemRest2021))</f>
        <v>272807.86</v>
      </c>
      <c r="L219" s="306">
        <f>IF(K219=0,"-",K219/$K$209)</f>
        <v>0.31734819299025491</v>
      </c>
      <c r="M219" s="903">
        <v>0</v>
      </c>
      <c r="N219" s="904" t="str">
        <f>IF(M219=0,"-",M219/$M$209)</f>
        <v>-</v>
      </c>
      <c r="O219" s="901">
        <v>0</v>
      </c>
      <c r="P219" s="902" t="str">
        <f>IF(O219=0,"-",O219/$O$209)</f>
        <v>-</v>
      </c>
      <c r="Q219" s="901">
        <v>0</v>
      </c>
      <c r="R219" s="902" t="str">
        <f>IF(Q219=0,"-",Q219/$Q$209)</f>
        <v>-</v>
      </c>
      <c r="S219" s="901">
        <v>0</v>
      </c>
      <c r="T219" s="902" t="str">
        <f>IF(S219=0,"-",S219/$S$209)</f>
        <v>-</v>
      </c>
      <c r="U219" s="901">
        <f t="shared" si="336"/>
        <v>0</v>
      </c>
      <c r="V219" s="902" t="str">
        <f>IF(U219=0,"-",U219/$U$209)</f>
        <v>-</v>
      </c>
      <c r="W219" s="901">
        <f t="shared" si="337"/>
        <v>0</v>
      </c>
      <c r="X219" s="902" t="str">
        <f>IF(W219=0,"-",W219/$W$209)</f>
        <v>-</v>
      </c>
      <c r="Y219" s="901">
        <f t="shared" si="338"/>
        <v>0</v>
      </c>
      <c r="Z219" s="902" t="str">
        <f>IF(Y219=0,"-",Y219/$Y$209)</f>
        <v>-</v>
      </c>
      <c r="AA219" s="974">
        <f>SUMPRODUCT((RO_2021=B219)*(Rem2021en2019))</f>
        <v>110000</v>
      </c>
      <c r="AB219" s="975">
        <f>IF(AA219=0,"-",AA219/$Y$209)</f>
        <v>0.49396243191176931</v>
      </c>
      <c r="AC219" s="305">
        <f>SUMPRODUCT((RO_2021=B219)*(Rem2021Preven2020))</f>
        <v>0</v>
      </c>
      <c r="AD219" s="306" t="str">
        <f>IF(AC219=0,"-",AC219/$AC$209)</f>
        <v>-</v>
      </c>
      <c r="AE219" s="974">
        <f>SUMPRODUCT((RO_2021=B219)*(Rem2021en2020))</f>
        <v>0</v>
      </c>
      <c r="AF219" s="975" t="str">
        <f>IF(AE219=0,"-",AE219/$Y$209)</f>
        <v>-</v>
      </c>
      <c r="AG219" s="980"/>
      <c r="AH219" s="169"/>
      <c r="AI219" s="169"/>
      <c r="AJ219" s="169"/>
      <c r="AK219" s="50"/>
      <c r="AL219" s="5"/>
      <c r="AM219" s="5"/>
      <c r="AN219" s="43"/>
      <c r="AO219" s="43"/>
      <c r="AP219" s="284"/>
      <c r="AR219" s="284"/>
    </row>
    <row r="220" spans="1:51" s="28" customFormat="1" ht="16.2" thickBot="1">
      <c r="A220" s="1318"/>
      <c r="B220" s="521" t="s">
        <v>104</v>
      </c>
      <c r="C220" s="73">
        <f>SUMPRODUCT((RO_2021=B220)*(Phase2021&lt;&gt;"fin")*(Prog2021))</f>
        <v>0</v>
      </c>
      <c r="D220" s="304" t="str">
        <f t="shared" si="323"/>
        <v>-</v>
      </c>
      <c r="E220" s="73">
        <f>SUMPRODUCT((RO_2021=B220)*(Phase2021&lt;&gt;"fin"))</f>
        <v>0</v>
      </c>
      <c r="F220" s="304" t="str">
        <f>IF(E220=0,"-",E220/$E$209)</f>
        <v>-</v>
      </c>
      <c r="G220" s="305">
        <f>SUMPRODUCT((RO_2021=B220)*(Phase2021&lt;&gt;"fin")*(Bdgt2021))</f>
        <v>0</v>
      </c>
      <c r="H220" s="306" t="str">
        <f>IF(G220=0,"-",G220/$G$209)</f>
        <v>-</v>
      </c>
      <c r="I220" s="305">
        <f>SUMPRODUCT((RO_2021=B220)*(Phase2021&lt;&gt;"fin")*(Rem_2021))</f>
        <v>0</v>
      </c>
      <c r="J220" s="306" t="str">
        <f>IF(I220=0,"-",I220/$I$209)</f>
        <v>-</v>
      </c>
      <c r="K220" s="305">
        <f>SUMPRODUCT((RO_2021=B220)*(Phase2021&lt;&gt;"fin")*(RemRest2021))</f>
        <v>0</v>
      </c>
      <c r="L220" s="306" t="str">
        <f>IF(K220=0,"-",K220/$K$209)</f>
        <v>-</v>
      </c>
      <c r="M220" s="903">
        <v>0</v>
      </c>
      <c r="N220" s="904" t="str">
        <f>IF(M220=0,"-",M220/$M$209)</f>
        <v>-</v>
      </c>
      <c r="O220" s="901">
        <v>0</v>
      </c>
      <c r="P220" s="902" t="str">
        <f>IF(O220=0,"-",O220/$O$209)</f>
        <v>-</v>
      </c>
      <c r="Q220" s="901">
        <v>0</v>
      </c>
      <c r="R220" s="902" t="str">
        <f>IF(Q220=0,"-",Q220/$Q$209)</f>
        <v>-</v>
      </c>
      <c r="S220" s="901">
        <v>0</v>
      </c>
      <c r="T220" s="902" t="str">
        <f>IF(S220=0,"-",S220/$S$209)</f>
        <v>-</v>
      </c>
      <c r="U220" s="901">
        <f t="shared" si="336"/>
        <v>0</v>
      </c>
      <c r="V220" s="902" t="str">
        <f>IF(U220=0,"-",U220/$U$209)</f>
        <v>-</v>
      </c>
      <c r="W220" s="901">
        <f t="shared" si="337"/>
        <v>0</v>
      </c>
      <c r="X220" s="902" t="str">
        <f>IF(W220=0,"-",W220/$W$209)</f>
        <v>-</v>
      </c>
      <c r="Y220" s="901">
        <f t="shared" si="338"/>
        <v>0</v>
      </c>
      <c r="Z220" s="902" t="str">
        <f>IF(Y220=0,"-",Y220/$Y$209)</f>
        <v>-</v>
      </c>
      <c r="AA220" s="974">
        <f>SUMPRODUCT((RO_2021=B220)*(Rem2021en2019))</f>
        <v>0</v>
      </c>
      <c r="AB220" s="975" t="str">
        <f>IF(AA220=0,"-",AA220/$Y$209)</f>
        <v>-</v>
      </c>
      <c r="AC220" s="305">
        <f>SUMPRODUCT((RO_2021=B220)*(Rem2021Preven2020))</f>
        <v>0</v>
      </c>
      <c r="AD220" s="306" t="str">
        <f>IF(AC220=0,"-",AC220/$AC$209)</f>
        <v>-</v>
      </c>
      <c r="AE220" s="974">
        <f>SUMPRODUCT((RO_2021=B220)*(Rem2021en2020))</f>
        <v>0</v>
      </c>
      <c r="AF220" s="975" t="str">
        <f>IF(AE220=0,"-",AE220/$Y$209)</f>
        <v>-</v>
      </c>
      <c r="AG220" s="980"/>
      <c r="AH220" s="169"/>
      <c r="AI220" s="169"/>
      <c r="AJ220" s="169"/>
      <c r="AK220" s="169"/>
      <c r="AL220" s="50"/>
      <c r="AM220" s="5"/>
      <c r="AN220" s="5"/>
      <c r="AO220" s="43"/>
      <c r="AP220" s="43"/>
      <c r="AR220" s="284"/>
      <c r="AT220" s="284"/>
    </row>
    <row r="221" spans="1:51" s="28" customFormat="1" ht="16.2" thickBot="1">
      <c r="A221" s="1319"/>
      <c r="B221" s="517"/>
      <c r="C221" s="309">
        <f>SUM(C216:C220)</f>
        <v>309</v>
      </c>
      <c r="D221" s="310">
        <f t="shared" si="323"/>
        <v>1.0655172413793104</v>
      </c>
      <c r="E221" s="309">
        <f t="shared" ref="E221:P221" si="339">SUM(E216:E220)</f>
        <v>3</v>
      </c>
      <c r="F221" s="310">
        <f t="shared" si="339"/>
        <v>0.5</v>
      </c>
      <c r="G221" s="311">
        <f t="shared" si="339"/>
        <v>39972927</v>
      </c>
      <c r="H221" s="113">
        <f t="shared" si="339"/>
        <v>0.79927903791366539</v>
      </c>
      <c r="I221" s="311">
        <f t="shared" si="339"/>
        <v>705201.88500000001</v>
      </c>
      <c r="J221" s="113">
        <f t="shared" si="339"/>
        <v>0.45672916870759683</v>
      </c>
      <c r="K221" s="311">
        <f t="shared" si="339"/>
        <v>561848.88500000001</v>
      </c>
      <c r="L221" s="113">
        <f t="shared" si="339"/>
        <v>0.6535798799504513</v>
      </c>
      <c r="M221" s="905">
        <f t="shared" si="339"/>
        <v>0</v>
      </c>
      <c r="N221" s="906">
        <f t="shared" si="339"/>
        <v>0</v>
      </c>
      <c r="O221" s="905">
        <f t="shared" si="339"/>
        <v>0</v>
      </c>
      <c r="P221" s="906">
        <f t="shared" si="339"/>
        <v>0</v>
      </c>
      <c r="Q221" s="905">
        <v>0</v>
      </c>
      <c r="R221" s="906">
        <f t="shared" ref="R221:AF221" si="340">SUM(R216:R220)</f>
        <v>0</v>
      </c>
      <c r="S221" s="905">
        <f t="shared" si="340"/>
        <v>0</v>
      </c>
      <c r="T221" s="906">
        <f t="shared" si="340"/>
        <v>0</v>
      </c>
      <c r="U221" s="905">
        <f t="shared" si="340"/>
        <v>0</v>
      </c>
      <c r="V221" s="906">
        <f t="shared" si="340"/>
        <v>0</v>
      </c>
      <c r="W221" s="905">
        <f t="shared" si="340"/>
        <v>0</v>
      </c>
      <c r="X221" s="906">
        <f t="shared" si="340"/>
        <v>0</v>
      </c>
      <c r="Y221" s="905">
        <f t="shared" si="340"/>
        <v>0</v>
      </c>
      <c r="Z221" s="906">
        <f t="shared" si="340"/>
        <v>0</v>
      </c>
      <c r="AA221" s="976">
        <f t="shared" si="340"/>
        <v>143353</v>
      </c>
      <c r="AB221" s="977">
        <f t="shared" si="340"/>
        <v>0.64373633183498058</v>
      </c>
      <c r="AC221" s="311">
        <f t="shared" si="340"/>
        <v>21121.596000000001</v>
      </c>
      <c r="AD221" s="113">
        <f t="shared" si="340"/>
        <v>0.12293835386807478</v>
      </c>
      <c r="AE221" s="976">
        <f t="shared" si="340"/>
        <v>0</v>
      </c>
      <c r="AF221" s="977">
        <f t="shared" si="340"/>
        <v>0</v>
      </c>
      <c r="AG221" s="981"/>
      <c r="AH221" s="169"/>
      <c r="AI221" s="169"/>
      <c r="AJ221" s="169"/>
      <c r="AK221" s="169"/>
      <c r="AL221" s="50"/>
      <c r="AM221" s="5"/>
      <c r="AN221" s="5"/>
      <c r="AO221" s="43"/>
      <c r="AP221" s="43"/>
      <c r="AR221" s="284"/>
      <c r="AT221" s="284"/>
    </row>
    <row r="222" spans="1:51" s="28" customFormat="1" ht="16.2" thickBot="1">
      <c r="A222"/>
      <c r="B222" s="349"/>
      <c r="C222" s="350">
        <f>C136+C144+C155+C164+C173+C181+C188+C195+C202+C209+C215</f>
        <v>2182</v>
      </c>
      <c r="D222" s="351"/>
      <c r="E222" s="350">
        <f>E136+E144+E155+E164+E173+E181+E188+E195+E202+E209+E215</f>
        <v>38</v>
      </c>
      <c r="F222" s="351"/>
      <c r="G222" s="352">
        <f>G136+G144+G155+G164+G173+G181+G188+G195+G202+G209+G215</f>
        <v>303880618.07828581</v>
      </c>
      <c r="H222" s="213"/>
      <c r="I222" s="352">
        <f>I136+I144+I155+I164+I173+I181+I188+I195+I202+I209+I215</f>
        <v>9768682.0675285701</v>
      </c>
      <c r="J222" s="213"/>
      <c r="K222" s="352">
        <f>K136+K144+K155+K164+K173+K181+K188+K195+K202+K209+K215</f>
        <v>2617505.4784577759</v>
      </c>
      <c r="L222" s="213"/>
      <c r="M222" s="311">
        <f>M136+M144+M155+M164+M173+M181+M188+M195+M202+M209</f>
        <v>259162</v>
      </c>
      <c r="N222" s="261"/>
      <c r="O222" s="311">
        <f>O136+O144+O155+O164+O173+O181+O188+O195+O202+O209</f>
        <v>289508</v>
      </c>
      <c r="P222" s="113"/>
      <c r="Q222" s="311">
        <f>Q136+Q144+Q155+Q164+Q173+Q181+Q188+Q195+Q202+Q209</f>
        <v>1490462.94</v>
      </c>
      <c r="R222" s="261"/>
      <c r="S222" s="311">
        <f>S136+S144+S155+S164+S173+S181+S188+S195+S202+S209</f>
        <v>1541043.1566820275</v>
      </c>
      <c r="T222" s="261"/>
      <c r="U222" s="311">
        <f>U136+U144+U155+U164+U173+U181+U188+U195+U202+U209</f>
        <v>1598451.1336405529</v>
      </c>
      <c r="V222" s="113"/>
      <c r="W222" s="311">
        <f>W136+W144+W155+W164+W173+W181+W188+W195+W202+W209</f>
        <v>1626928.6543778803</v>
      </c>
      <c r="X222" s="113"/>
      <c r="Y222" s="311">
        <f>Y136+Y144+Y155+Y164+Y173+Y181+Y188+Y195+Y202+Y209</f>
        <v>1453789.7521198157</v>
      </c>
      <c r="Z222" s="50"/>
      <c r="AA222" s="311">
        <f>AA136+AA144+AA155+AA164+AA173+AA181+AA188+AA195+AA202+AA209+AA215+AA221</f>
        <v>1961165.3306451612</v>
      </c>
      <c r="AB222" s="50"/>
      <c r="AC222" s="311">
        <f>AC136+AC144+AC155+AC164+AC173+AC181+AC188+AC195+AC202+AC209</f>
        <v>395295.60847203434</v>
      </c>
      <c r="AD222" s="113"/>
      <c r="AE222" s="311">
        <f>AE136+AE144+AE155+AE164+AE173+AE181+AE188+AE195+AE202+AE209</f>
        <v>237827</v>
      </c>
      <c r="AF222" s="50"/>
      <c r="AG222" s="50"/>
      <c r="AH222" s="169"/>
      <c r="AI222" s="169"/>
      <c r="AJ222" s="169"/>
      <c r="AK222" s="169"/>
      <c r="AL222" s="50"/>
      <c r="AM222" s="5"/>
      <c r="AN222" s="5"/>
      <c r="AO222" s="43"/>
      <c r="AP222" s="43"/>
      <c r="AR222" s="284"/>
    </row>
    <row r="223" spans="1:51" s="28" customFormat="1" ht="16.2" thickBot="1">
      <c r="A223"/>
      <c r="B223"/>
      <c r="C223"/>
      <c r="D223"/>
      <c r="E223"/>
      <c r="F223"/>
      <c r="G223"/>
      <c r="H223"/>
      <c r="I223"/>
      <c r="J223"/>
      <c r="K223"/>
      <c r="L223"/>
      <c r="M223" s="1315" t="s">
        <v>133</v>
      </c>
      <c r="N223" s="1320"/>
      <c r="O223" s="1315" t="s">
        <v>134</v>
      </c>
      <c r="P223" s="1316"/>
      <c r="Q223" s="1315" t="s">
        <v>135</v>
      </c>
      <c r="R223" s="1320"/>
      <c r="S223" s="1315" t="s">
        <v>176</v>
      </c>
      <c r="T223" s="1320"/>
      <c r="U223" s="1315" t="s">
        <v>208</v>
      </c>
      <c r="V223" s="1316"/>
      <c r="W223" s="1315" t="s">
        <v>251</v>
      </c>
      <c r="X223" s="1316"/>
      <c r="Y223" s="1315" t="s">
        <v>273</v>
      </c>
      <c r="Z223" s="1316"/>
      <c r="AA223" s="1315" t="s">
        <v>325</v>
      </c>
      <c r="AB223" s="1316"/>
      <c r="AC223" s="1315" t="s">
        <v>326</v>
      </c>
      <c r="AD223" s="1316"/>
      <c r="AE223" s="1315" t="s">
        <v>327</v>
      </c>
      <c r="AF223" s="1316"/>
      <c r="AG223" s="978"/>
      <c r="AH223" s="169"/>
      <c r="AI223" s="169"/>
      <c r="AJ223" s="169"/>
      <c r="AK223" s="169"/>
      <c r="AL223" s="50"/>
      <c r="AM223" s="5"/>
      <c r="AN223" s="5"/>
      <c r="AO223" s="43"/>
      <c r="AP223" s="43"/>
    </row>
    <row r="224" spans="1:51" s="28" customFormat="1" ht="16.2" thickBot="1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 s="299"/>
      <c r="T224"/>
      <c r="U224" s="493">
        <f>U222-Y115</f>
        <v>-380964</v>
      </c>
      <c r="V224"/>
      <c r="Y224"/>
      <c r="Z224"/>
      <c r="AA224" s="133">
        <f>AA222-AH115</f>
        <v>0</v>
      </c>
      <c r="AB224" s="50"/>
      <c r="AC224" s="50"/>
      <c r="AD224" s="169"/>
      <c r="AE224" s="169"/>
      <c r="AF224" s="169"/>
      <c r="AG224" s="169"/>
      <c r="AH224" s="50"/>
      <c r="AI224" s="50"/>
      <c r="AJ224" s="50"/>
      <c r="AK224" s="5"/>
      <c r="AL224" s="5"/>
      <c r="AM224" s="43"/>
      <c r="AN224" s="43"/>
      <c r="AP224" s="284"/>
    </row>
    <row r="225" spans="1:43" s="28" customFormat="1" ht="24" thickBot="1">
      <c r="A225" s="111"/>
      <c r="B225" s="117"/>
      <c r="C225" s="1325" t="s">
        <v>125</v>
      </c>
      <c r="D225" s="1326"/>
      <c r="E225" s="1325" t="s">
        <v>126</v>
      </c>
      <c r="F225" s="1326"/>
      <c r="G225" s="1323" t="s">
        <v>127</v>
      </c>
      <c r="H225" s="1324"/>
      <c r="I225" s="1315" t="s">
        <v>128</v>
      </c>
      <c r="J225" s="1316"/>
      <c r="K225" s="1315" t="s">
        <v>129</v>
      </c>
      <c r="L225" s="1316"/>
      <c r="M225"/>
      <c r="N225" s="1349" t="s">
        <v>264</v>
      </c>
      <c r="O225" s="1349"/>
      <c r="P225" s="1349"/>
      <c r="Q225" s="1349"/>
      <c r="R225" s="1349"/>
      <c r="S225" s="1349"/>
      <c r="T225" s="1349"/>
      <c r="U225" s="538"/>
      <c r="V225" s="538"/>
      <c r="W225" s="538"/>
      <c r="X225" s="497"/>
      <c r="Y225" s="50"/>
      <c r="Z225" s="50"/>
      <c r="AA225" s="50"/>
      <c r="AB225" s="50"/>
      <c r="AC225" s="50"/>
      <c r="AD225" s="50"/>
      <c r="AE225" s="50"/>
      <c r="AF225" s="169"/>
      <c r="AG225" s="169"/>
      <c r="AH225" s="169"/>
      <c r="AI225" s="169"/>
      <c r="AJ225" s="169"/>
      <c r="AK225" s="169"/>
      <c r="AL225" s="50"/>
      <c r="AM225" s="5"/>
      <c r="AN225" s="5"/>
      <c r="AO225" s="43"/>
      <c r="AP225" s="43"/>
    </row>
    <row r="226" spans="1:43" s="28" customFormat="1">
      <c r="B226" s="118"/>
      <c r="C226" s="1361" t="s">
        <v>125</v>
      </c>
      <c r="D226" s="1362"/>
      <c r="E226" s="1361" t="s">
        <v>193</v>
      </c>
      <c r="F226" s="1362"/>
      <c r="G226" s="1363" t="s">
        <v>127</v>
      </c>
      <c r="H226" s="1364"/>
      <c r="I226" s="1344" t="s">
        <v>142</v>
      </c>
      <c r="J226" s="1345"/>
      <c r="K226" s="1344" t="s">
        <v>129</v>
      </c>
      <c r="L226" s="1345"/>
      <c r="M226" s="50"/>
      <c r="N226" s="182" t="s">
        <v>3</v>
      </c>
      <c r="O226" s="184" t="s">
        <v>166</v>
      </c>
      <c r="P226" s="186" t="s">
        <v>167</v>
      </c>
      <c r="Q226" s="188" t="s">
        <v>141</v>
      </c>
      <c r="R226" s="174" t="s">
        <v>175</v>
      </c>
      <c r="S226" s="535" t="s">
        <v>192</v>
      </c>
      <c r="T226" s="494" t="s">
        <v>250</v>
      </c>
      <c r="U226" s="556" t="s">
        <v>262</v>
      </c>
      <c r="V226" s="893" t="s">
        <v>296</v>
      </c>
      <c r="W226" s="1068" t="s">
        <v>328</v>
      </c>
      <c r="X226" s="50"/>
      <c r="Y226" s="50"/>
      <c r="Z226" s="83"/>
      <c r="AA226" s="83"/>
      <c r="AB226" s="83"/>
      <c r="AC226" s="83"/>
      <c r="AD226" s="50"/>
      <c r="AE226" s="50"/>
      <c r="AF226" s="50"/>
      <c r="AG226" s="169"/>
      <c r="AH226" s="169"/>
      <c r="AI226" s="169"/>
      <c r="AJ226" s="169"/>
      <c r="AK226" s="169"/>
      <c r="AL226" s="169"/>
      <c r="AM226" s="50"/>
      <c r="AN226" s="5"/>
      <c r="AO226" s="5"/>
      <c r="AP226" s="43"/>
      <c r="AQ226" s="43"/>
    </row>
    <row r="227" spans="1:43" s="28" customFormat="1" ht="28.5" customHeight="1">
      <c r="A227" s="132"/>
      <c r="B227" s="119" t="s">
        <v>12</v>
      </c>
      <c r="C227" s="120">
        <f>SUMPRODUCT((RO=B227)*(Prog))</f>
        <v>370</v>
      </c>
      <c r="D227" s="121">
        <f t="shared" ref="D227:D235" si="341">IF(C227=0,"-",C227/$C$236)</f>
        <v>0.14853472501003612</v>
      </c>
      <c r="E227" s="120">
        <f t="shared" ref="E227:E235" si="342">SUMPRODUCT((RO=B227)*($E$129:$E$221))</f>
        <v>11</v>
      </c>
      <c r="F227" s="121">
        <f t="shared" ref="F227:F235" si="343">IF(E227=0,"-",E227/$E$236)</f>
        <v>0.26829268292682928</v>
      </c>
      <c r="G227" s="122">
        <f>SUMPRODUCT((RO=B227)*(Bdgt))</f>
        <v>52618014.879638873</v>
      </c>
      <c r="H227" s="123">
        <f t="shared" ref="H227:H235" si="344">IF(G227=0,"-",G227/$G$236)</f>
        <v>0.15302449438949139</v>
      </c>
      <c r="I227" s="122">
        <f>SUMPRODUCT((RO=B227)*(Rem))</f>
        <v>2020238.6200632437</v>
      </c>
      <c r="J227" s="123" t="e">
        <f t="shared" ref="J227:J235" si="345">IF(I227=0,"-",I227/$I$236)</f>
        <v>#REF!</v>
      </c>
      <c r="K227" s="122" t="e">
        <f>SUMPRODUCT((RO=B227)*(RemRest))+#REF!</f>
        <v>#REF!</v>
      </c>
      <c r="L227" s="123" t="e">
        <f t="shared" ref="L227:L235" si="346">IF(K227=0,"-",K227/$K$236)</f>
        <v>#REF!</v>
      </c>
      <c r="M227" s="119" t="s">
        <v>12</v>
      </c>
      <c r="N227" s="183">
        <f t="shared" ref="N227:N235" si="347">SUMPRODUCT((RO_2012=B227)*(Phase2012&lt;&gt;"fin"))</f>
        <v>0</v>
      </c>
      <c r="O227" s="185">
        <f t="shared" ref="O227:O235" si="348">SUMPRODUCT((RO_2013=B227)*(Phase2013&lt;&gt;"fin"))</f>
        <v>0</v>
      </c>
      <c r="P227" s="187">
        <f t="shared" ref="P227:P235" si="349">SUMPRODUCT((RO_2014=B227)*(Phase2014&lt;&gt;"fin"))</f>
        <v>1</v>
      </c>
      <c r="Q227" s="189">
        <f t="shared" ref="Q227:Q235" si="350">SUMPRODUCT((RO_2015=B227)*(Phase2015&lt;&gt;"fin"))</f>
        <v>3</v>
      </c>
      <c r="R227" s="190">
        <f t="shared" ref="R227:R235" si="351">SUMPRODUCT((RO_2016=B227)*(Phase2016&lt;&gt;"fin"))</f>
        <v>3</v>
      </c>
      <c r="S227" s="536">
        <f t="shared" ref="S227:S235" si="352">SUMPRODUCT((RO_2017=B227)*(Phase2017&lt;&gt;"fin"))</f>
        <v>0</v>
      </c>
      <c r="T227" s="495">
        <f t="shared" ref="T227:T235" si="353">SUMPRODUCT((RO_2018=B227)*(Phase2018&lt;&gt;"fin"))</f>
        <v>0</v>
      </c>
      <c r="U227" s="557">
        <f t="shared" ref="U227:U235" si="354">SUMPRODUCT((RO_2019=B227)*(Phase2019&lt;&gt;"fin"))</f>
        <v>2</v>
      </c>
      <c r="V227" s="894">
        <f>SUMPRODUCT((RO_2020=B227)*(Phase2020&lt;&gt;"fin"))</f>
        <v>2</v>
      </c>
      <c r="W227" s="1069">
        <f t="shared" ref="W227:W235" si="355">SUMPRODUCT((RO_2021=B227)*(Phase2021&lt;&gt;"fin"))</f>
        <v>0</v>
      </c>
      <c r="X227" s="505">
        <f t="shared" ref="X227:X235" si="356">SUM(N227:V227)</f>
        <v>11</v>
      </c>
      <c r="Y227" s="192">
        <f>X227-E227</f>
        <v>0</v>
      </c>
      <c r="Z227" s="50"/>
      <c r="AA227" s="50"/>
      <c r="AB227" s="50"/>
      <c r="AC227" s="50"/>
      <c r="AD227" s="50"/>
      <c r="AE227" s="50"/>
      <c r="AF227" s="169"/>
      <c r="AG227" s="169"/>
      <c r="AH227" s="169"/>
      <c r="AI227" s="169"/>
      <c r="AJ227" s="169"/>
      <c r="AK227" s="169"/>
      <c r="AL227" s="83"/>
      <c r="AM227" s="50"/>
      <c r="AN227" s="50"/>
      <c r="AO227" s="474"/>
      <c r="AP227" s="43"/>
      <c r="AQ227" s="139"/>
    </row>
    <row r="228" spans="1:43" s="28" customFormat="1" ht="28.5" hidden="1" customHeight="1">
      <c r="A228" s="132"/>
      <c r="B228" s="119" t="s">
        <v>15</v>
      </c>
      <c r="C228" s="120">
        <f>SUMPRODUCT((RO=B228)*(Prog))</f>
        <v>0</v>
      </c>
      <c r="D228" s="121" t="str">
        <f t="shared" si="341"/>
        <v>-</v>
      </c>
      <c r="E228" s="120">
        <f t="shared" si="342"/>
        <v>0</v>
      </c>
      <c r="F228" s="121" t="str">
        <f t="shared" si="343"/>
        <v>-</v>
      </c>
      <c r="G228" s="122">
        <f>SUMPRODUCT((RO=B228)*(Bdgt))</f>
        <v>0</v>
      </c>
      <c r="H228" s="123" t="str">
        <f t="shared" si="344"/>
        <v>-</v>
      </c>
      <c r="I228" s="122">
        <f>SUMPRODUCT((RO=B228)*(Rem))</f>
        <v>0</v>
      </c>
      <c r="J228" s="123" t="str">
        <f t="shared" si="345"/>
        <v>-</v>
      </c>
      <c r="K228" s="122" t="e">
        <f>SUMPRODUCT((RO=B228)*(RemRest))+#REF!</f>
        <v>#REF!</v>
      </c>
      <c r="L228" s="123" t="e">
        <f t="shared" si="346"/>
        <v>#REF!</v>
      </c>
      <c r="M228" s="119" t="s">
        <v>15</v>
      </c>
      <c r="N228" s="183">
        <f t="shared" si="347"/>
        <v>0</v>
      </c>
      <c r="O228" s="185">
        <f t="shared" si="348"/>
        <v>0</v>
      </c>
      <c r="P228" s="187">
        <f t="shared" si="349"/>
        <v>0</v>
      </c>
      <c r="Q228" s="189">
        <f t="shared" si="350"/>
        <v>0</v>
      </c>
      <c r="R228" s="190">
        <f t="shared" si="351"/>
        <v>0</v>
      </c>
      <c r="S228" s="536">
        <f t="shared" si="352"/>
        <v>0</v>
      </c>
      <c r="T228" s="495">
        <f t="shared" si="353"/>
        <v>0</v>
      </c>
      <c r="U228" s="557">
        <f t="shared" si="354"/>
        <v>0</v>
      </c>
      <c r="V228" s="894">
        <f>SUMPRODUCT((RO_2020=B211)*(Phase2020&lt;&gt;"fin"))</f>
        <v>5</v>
      </c>
      <c r="W228" s="1069">
        <f t="shared" si="355"/>
        <v>0</v>
      </c>
      <c r="X228" s="505">
        <f t="shared" si="356"/>
        <v>5</v>
      </c>
      <c r="Y228" s="192"/>
      <c r="Z228" s="50"/>
      <c r="AA228" s="50"/>
      <c r="AB228" s="50"/>
      <c r="AC228" s="50"/>
      <c r="AD228" s="50"/>
      <c r="AE228" s="50"/>
      <c r="AF228" s="169"/>
      <c r="AG228" s="169"/>
      <c r="AH228" s="169"/>
      <c r="AI228" s="169"/>
      <c r="AJ228" s="169"/>
      <c r="AK228" s="169"/>
      <c r="AL228" s="83"/>
      <c r="AM228" s="50"/>
      <c r="AN228" s="50"/>
      <c r="AO228" s="474"/>
      <c r="AP228" s="43"/>
      <c r="AQ228" s="139"/>
    </row>
    <row r="229" spans="1:43" s="28" customFormat="1">
      <c r="B229" s="175" t="s">
        <v>291</v>
      </c>
      <c r="C229" s="120">
        <f>SUMPRODUCT((RO=B229)*(Prog))</f>
        <v>625</v>
      </c>
      <c r="D229" s="121">
        <f t="shared" si="341"/>
        <v>0.25090325170614214</v>
      </c>
      <c r="E229" s="120">
        <f t="shared" si="342"/>
        <v>10</v>
      </c>
      <c r="F229" s="121">
        <f t="shared" si="343"/>
        <v>0.24390243902439024</v>
      </c>
      <c r="G229" s="122">
        <f t="shared" ref="G229:G235" si="357">SUMPRODUCT((RO=B229)*(Bdgt))</f>
        <v>78298842.921081811</v>
      </c>
      <c r="H229" s="123">
        <f t="shared" si="344"/>
        <v>0.22770986090387801</v>
      </c>
      <c r="I229" s="122">
        <f t="shared" ref="I229:I235" si="358">SUMPRODUCT((RO=B229)*(Rem))</f>
        <v>1621195.1026324541</v>
      </c>
      <c r="J229" s="123" t="e">
        <f t="shared" si="345"/>
        <v>#REF!</v>
      </c>
      <c r="K229" s="122" t="e">
        <f>SUMPRODUCT((RO=B229)*(RemRest))+#REF!</f>
        <v>#REF!</v>
      </c>
      <c r="L229" s="123" t="e">
        <f t="shared" si="346"/>
        <v>#REF!</v>
      </c>
      <c r="M229" s="175" t="s">
        <v>291</v>
      </c>
      <c r="N229" s="183">
        <f t="shared" si="347"/>
        <v>0</v>
      </c>
      <c r="O229" s="185">
        <f t="shared" si="348"/>
        <v>0</v>
      </c>
      <c r="P229" s="187">
        <f t="shared" si="349"/>
        <v>0</v>
      </c>
      <c r="Q229" s="189">
        <f t="shared" si="350"/>
        <v>0</v>
      </c>
      <c r="R229" s="190">
        <f t="shared" si="351"/>
        <v>1</v>
      </c>
      <c r="S229" s="536">
        <f t="shared" si="352"/>
        <v>2</v>
      </c>
      <c r="T229" s="495">
        <f t="shared" si="353"/>
        <v>0</v>
      </c>
      <c r="U229" s="557">
        <f t="shared" si="354"/>
        <v>0</v>
      </c>
      <c r="V229" s="894">
        <f t="shared" ref="V229:V235" si="359">SUMPRODUCT((RO_2020=B229)*(Phase2020&lt;&gt;"fin"))</f>
        <v>5</v>
      </c>
      <c r="W229" s="1069">
        <f t="shared" si="355"/>
        <v>2</v>
      </c>
      <c r="X229" s="505">
        <f t="shared" si="356"/>
        <v>8</v>
      </c>
      <c r="Y229" s="192">
        <f t="shared" ref="Y229:Y236" si="360">X229-E229</f>
        <v>-2</v>
      </c>
      <c r="Z229" s="50"/>
      <c r="AA229" s="50"/>
      <c r="AB229" s="50"/>
      <c r="AC229" s="50"/>
      <c r="AD229" s="50"/>
      <c r="AE229" s="50"/>
      <c r="AF229" s="169"/>
      <c r="AG229" s="169"/>
      <c r="AH229" s="169"/>
      <c r="AI229" s="169"/>
      <c r="AJ229" s="169"/>
      <c r="AK229" s="169"/>
      <c r="AL229" s="83"/>
      <c r="AM229" s="50"/>
      <c r="AN229" s="50"/>
      <c r="AO229" s="474"/>
      <c r="AP229" s="43"/>
      <c r="AQ229" s="139"/>
    </row>
    <row r="230" spans="1:43" s="28" customFormat="1">
      <c r="A230"/>
      <c r="B230" s="124" t="s">
        <v>103</v>
      </c>
      <c r="C230" s="120">
        <f t="shared" ref="C230:C235" si="361">SUMPRODUCT((RO=B230)*(Prog))</f>
        <v>582</v>
      </c>
      <c r="D230" s="121">
        <f t="shared" si="341"/>
        <v>0.23364110798875953</v>
      </c>
      <c r="E230" s="120">
        <f t="shared" si="342"/>
        <v>4</v>
      </c>
      <c r="F230" s="121">
        <f t="shared" si="343"/>
        <v>9.7560975609756101E-2</v>
      </c>
      <c r="G230" s="122">
        <f t="shared" si="357"/>
        <v>92186438.862042278</v>
      </c>
      <c r="H230" s="123">
        <f t="shared" si="344"/>
        <v>0.26809797421473147</v>
      </c>
      <c r="I230" s="122" t="e">
        <f>SUMPRODUCT((RO=B230)*(Rem))+E256</f>
        <v>#REF!</v>
      </c>
      <c r="J230" s="123" t="e">
        <f t="shared" si="345"/>
        <v>#REF!</v>
      </c>
      <c r="K230" s="122" t="e">
        <f>SUMPRODUCT((RO=B230)*(RemRest))+#REF!</f>
        <v>#REF!</v>
      </c>
      <c r="L230" s="123" t="e">
        <f t="shared" si="346"/>
        <v>#REF!</v>
      </c>
      <c r="M230" s="124" t="s">
        <v>103</v>
      </c>
      <c r="N230" s="183">
        <f t="shared" si="347"/>
        <v>0</v>
      </c>
      <c r="O230" s="185">
        <f t="shared" si="348"/>
        <v>1</v>
      </c>
      <c r="P230" s="187">
        <f t="shared" si="349"/>
        <v>0</v>
      </c>
      <c r="Q230" s="189">
        <f t="shared" si="350"/>
        <v>1</v>
      </c>
      <c r="R230" s="190">
        <f t="shared" si="351"/>
        <v>0</v>
      </c>
      <c r="S230" s="536">
        <f t="shared" si="352"/>
        <v>0</v>
      </c>
      <c r="T230" s="495">
        <f t="shared" si="353"/>
        <v>0</v>
      </c>
      <c r="U230" s="557">
        <f t="shared" si="354"/>
        <v>0</v>
      </c>
      <c r="V230" s="894">
        <f t="shared" si="359"/>
        <v>1</v>
      </c>
      <c r="W230" s="1069">
        <f t="shared" si="355"/>
        <v>1</v>
      </c>
      <c r="X230" s="505">
        <f t="shared" si="356"/>
        <v>3</v>
      </c>
      <c r="Y230" s="192">
        <f t="shared" si="360"/>
        <v>-1</v>
      </c>
      <c r="Z230" s="50"/>
      <c r="AA230" s="50"/>
      <c r="AB230" s="50"/>
      <c r="AC230" s="50"/>
      <c r="AD230" s="50"/>
      <c r="AE230" s="50"/>
      <c r="AF230" s="169"/>
      <c r="AG230" s="169"/>
      <c r="AH230" s="169"/>
      <c r="AI230" s="169"/>
      <c r="AJ230" s="169"/>
      <c r="AK230" s="169"/>
      <c r="AL230" s="50"/>
      <c r="AM230" s="5"/>
      <c r="AN230" s="5"/>
      <c r="AO230" s="43"/>
      <c r="AP230" s="43"/>
      <c r="AQ230" s="284"/>
    </row>
    <row r="231" spans="1:43" s="28" customFormat="1">
      <c r="A231"/>
      <c r="B231" s="341" t="s">
        <v>213</v>
      </c>
      <c r="C231" s="120">
        <f>SUMPRODUCT((RO=B231)*(Prog))</f>
        <v>0</v>
      </c>
      <c r="D231" s="121" t="str">
        <f t="shared" si="341"/>
        <v>-</v>
      </c>
      <c r="E231" s="120">
        <f t="shared" si="342"/>
        <v>0</v>
      </c>
      <c r="F231" s="121" t="str">
        <f t="shared" si="343"/>
        <v>-</v>
      </c>
      <c r="G231" s="122">
        <f t="shared" si="357"/>
        <v>0</v>
      </c>
      <c r="H231" s="123" t="str">
        <f t="shared" si="344"/>
        <v>-</v>
      </c>
      <c r="I231" s="122">
        <f t="shared" si="358"/>
        <v>0</v>
      </c>
      <c r="J231" s="123" t="str">
        <f t="shared" si="345"/>
        <v>-</v>
      </c>
      <c r="K231" s="122" t="e">
        <f>SUMPRODUCT((RO=B231)*(RemRest))+#REF!</f>
        <v>#REF!</v>
      </c>
      <c r="L231" s="123" t="e">
        <f t="shared" si="346"/>
        <v>#REF!</v>
      </c>
      <c r="M231" s="341" t="s">
        <v>213</v>
      </c>
      <c r="N231" s="183">
        <f t="shared" si="347"/>
        <v>0</v>
      </c>
      <c r="O231" s="185">
        <f t="shared" si="348"/>
        <v>0</v>
      </c>
      <c r="P231" s="187">
        <f t="shared" si="349"/>
        <v>0</v>
      </c>
      <c r="Q231" s="189">
        <f t="shared" si="350"/>
        <v>0</v>
      </c>
      <c r="R231" s="190">
        <f t="shared" si="351"/>
        <v>0</v>
      </c>
      <c r="S231" s="536">
        <f t="shared" si="352"/>
        <v>0</v>
      </c>
      <c r="T231" s="495">
        <f t="shared" si="353"/>
        <v>0</v>
      </c>
      <c r="U231" s="557">
        <f t="shared" si="354"/>
        <v>0</v>
      </c>
      <c r="V231" s="894">
        <f t="shared" si="359"/>
        <v>0</v>
      </c>
      <c r="W231" s="1069">
        <f t="shared" si="355"/>
        <v>0</v>
      </c>
      <c r="X231" s="505">
        <f t="shared" si="356"/>
        <v>0</v>
      </c>
      <c r="Y231" s="192">
        <f t="shared" si="360"/>
        <v>0</v>
      </c>
      <c r="Z231" s="50"/>
      <c r="AA231" s="50"/>
      <c r="AB231" s="50"/>
      <c r="AC231" s="50"/>
      <c r="AD231" s="50"/>
      <c r="AE231" s="50"/>
      <c r="AF231" s="169"/>
      <c r="AG231" s="169"/>
      <c r="AH231" s="169"/>
      <c r="AI231" s="169"/>
      <c r="AJ231" s="169"/>
      <c r="AK231" s="169"/>
      <c r="AL231" s="50"/>
      <c r="AM231" s="5"/>
      <c r="AN231" s="5"/>
      <c r="AO231" s="43"/>
      <c r="AP231" s="43"/>
      <c r="AQ231" s="284"/>
    </row>
    <row r="232" spans="1:43" s="28" customFormat="1">
      <c r="A232"/>
      <c r="B232" s="176" t="s">
        <v>322</v>
      </c>
      <c r="C232" s="120">
        <f t="shared" si="361"/>
        <v>140</v>
      </c>
      <c r="D232" s="121">
        <f t="shared" si="341"/>
        <v>5.6202328382175835E-2</v>
      </c>
      <c r="E232" s="120">
        <f t="shared" si="342"/>
        <v>2</v>
      </c>
      <c r="F232" s="121">
        <f t="shared" si="343"/>
        <v>4.878048780487805E-2</v>
      </c>
      <c r="G232" s="122">
        <f t="shared" si="357"/>
        <v>21853860.977726378</v>
      </c>
      <c r="H232" s="123">
        <f t="shared" si="344"/>
        <v>6.3555723913653023E-2</v>
      </c>
      <c r="I232" s="122">
        <f t="shared" si="358"/>
        <v>655615.82933179126</v>
      </c>
      <c r="J232" s="123" t="e">
        <f t="shared" si="345"/>
        <v>#REF!</v>
      </c>
      <c r="K232" s="122" t="e">
        <f>SUMPRODUCT((RO=B232)*(RemRest))+#REF!</f>
        <v>#REF!</v>
      </c>
      <c r="L232" s="123" t="e">
        <f t="shared" si="346"/>
        <v>#REF!</v>
      </c>
      <c r="M232" s="176" t="s">
        <v>322</v>
      </c>
      <c r="N232" s="183">
        <f t="shared" si="347"/>
        <v>0</v>
      </c>
      <c r="O232" s="185">
        <f t="shared" si="348"/>
        <v>0</v>
      </c>
      <c r="P232" s="187">
        <f t="shared" si="349"/>
        <v>0</v>
      </c>
      <c r="Q232" s="189">
        <f t="shared" si="350"/>
        <v>0</v>
      </c>
      <c r="R232" s="190">
        <f t="shared" si="351"/>
        <v>0</v>
      </c>
      <c r="S232" s="536">
        <f t="shared" si="352"/>
        <v>1</v>
      </c>
      <c r="T232" s="495">
        <f t="shared" si="353"/>
        <v>1</v>
      </c>
      <c r="U232" s="557">
        <f t="shared" si="354"/>
        <v>0</v>
      </c>
      <c r="V232" s="894">
        <f t="shared" si="359"/>
        <v>0</v>
      </c>
      <c r="W232" s="1069">
        <f t="shared" si="355"/>
        <v>0</v>
      </c>
      <c r="X232" s="505">
        <f t="shared" si="356"/>
        <v>2</v>
      </c>
      <c r="Y232" s="192">
        <f t="shared" si="360"/>
        <v>0</v>
      </c>
      <c r="Z232" s="50"/>
      <c r="AA232" s="50"/>
      <c r="AB232" s="50"/>
      <c r="AC232" s="50"/>
      <c r="AD232" s="50"/>
      <c r="AE232" s="50"/>
      <c r="AF232" s="169"/>
      <c r="AG232" s="169"/>
      <c r="AH232" s="169"/>
      <c r="AI232" s="169"/>
      <c r="AJ232" s="169"/>
      <c r="AK232" s="169"/>
      <c r="AL232" s="50"/>
      <c r="AM232" s="5"/>
      <c r="AN232" s="5"/>
      <c r="AO232" s="43"/>
      <c r="AP232" s="43"/>
      <c r="AQ232" s="284"/>
    </row>
    <row r="233" spans="1:43" s="28" customFormat="1">
      <c r="A233"/>
      <c r="B233" s="176" t="s">
        <v>321</v>
      </c>
      <c r="C233" s="120">
        <f>SUMPRODUCT((RO=B233)*(Prog))</f>
        <v>58</v>
      </c>
      <c r="D233" s="121">
        <f t="shared" si="341"/>
        <v>2.3283821758329989E-2</v>
      </c>
      <c r="E233" s="120">
        <f t="shared" si="342"/>
        <v>1</v>
      </c>
      <c r="F233" s="121">
        <f t="shared" si="343"/>
        <v>2.4390243902439025E-2</v>
      </c>
      <c r="G233" s="122">
        <f t="shared" ref="G233" si="362">SUMPRODUCT((RO=B233)*(Bdgt))</f>
        <v>9516142</v>
      </c>
      <c r="H233" s="123">
        <f t="shared" si="344"/>
        <v>2.7674985865954765E-2</v>
      </c>
      <c r="I233" s="122">
        <f t="shared" ref="I233" si="363">SUMPRODUCT((RO=B233)*(Rem))</f>
        <v>475807.10000000003</v>
      </c>
      <c r="J233" s="123" t="e">
        <f t="shared" si="345"/>
        <v>#REF!</v>
      </c>
      <c r="K233" s="122" t="e">
        <f>SUMPRODUCT((RO=B233)*(RemRest))+#REF!</f>
        <v>#REF!</v>
      </c>
      <c r="L233" s="123" t="e">
        <f t="shared" si="346"/>
        <v>#REF!</v>
      </c>
      <c r="M233" s="176" t="s">
        <v>321</v>
      </c>
      <c r="N233" s="183">
        <f t="shared" si="347"/>
        <v>0</v>
      </c>
      <c r="O233" s="185">
        <f t="shared" si="348"/>
        <v>0</v>
      </c>
      <c r="P233" s="187">
        <f t="shared" si="349"/>
        <v>0</v>
      </c>
      <c r="Q233" s="189">
        <f t="shared" si="350"/>
        <v>1</v>
      </c>
      <c r="R233" s="190">
        <f t="shared" si="351"/>
        <v>0</v>
      </c>
      <c r="S233" s="536">
        <f t="shared" si="352"/>
        <v>0</v>
      </c>
      <c r="T233" s="495">
        <f t="shared" si="353"/>
        <v>0</v>
      </c>
      <c r="U233" s="557">
        <f t="shared" si="354"/>
        <v>0</v>
      </c>
      <c r="V233" s="894">
        <f t="shared" si="359"/>
        <v>0</v>
      </c>
      <c r="W233" s="1069">
        <f t="shared" si="355"/>
        <v>0</v>
      </c>
      <c r="X233" s="505">
        <f t="shared" si="356"/>
        <v>1</v>
      </c>
      <c r="Y233" s="192">
        <f t="shared" si="360"/>
        <v>0</v>
      </c>
      <c r="Z233" s="50"/>
      <c r="AA233" s="50"/>
      <c r="AB233" s="50"/>
      <c r="AC233" s="50"/>
      <c r="AD233" s="50"/>
      <c r="AE233" s="50"/>
      <c r="AF233" s="169"/>
      <c r="AG233" s="169"/>
      <c r="AH233" s="169"/>
      <c r="AI233" s="169"/>
      <c r="AJ233" s="169"/>
      <c r="AK233" s="169"/>
      <c r="AL233" s="50"/>
      <c r="AM233" s="5"/>
      <c r="AN233" s="5"/>
      <c r="AO233" s="43"/>
      <c r="AP233" s="43"/>
      <c r="AQ233" s="284"/>
    </row>
    <row r="234" spans="1:43" s="28" customFormat="1">
      <c r="A234"/>
      <c r="B234" s="176" t="s">
        <v>7</v>
      </c>
      <c r="C234" s="120">
        <f t="shared" ref="C234" si="364">SUMPRODUCT((RO=B234)*(Prog))</f>
        <v>453</v>
      </c>
      <c r="D234" s="121">
        <f t="shared" si="341"/>
        <v>0.1818546768366118</v>
      </c>
      <c r="E234" s="120">
        <f t="shared" si="342"/>
        <v>6</v>
      </c>
      <c r="F234" s="121">
        <f t="shared" si="343"/>
        <v>0.14634146341463414</v>
      </c>
      <c r="G234" s="122">
        <f t="shared" ref="G234" si="365">SUMPRODUCT((RO=B234)*(Bdgt))</f>
        <v>45799662.21325358</v>
      </c>
      <c r="H234" s="123">
        <f t="shared" si="344"/>
        <v>0.13319525963539589</v>
      </c>
      <c r="I234" s="122">
        <f t="shared" ref="I234" si="366">SUMPRODUCT((RO=B234)*(Rem))</f>
        <v>1797847.0106626791</v>
      </c>
      <c r="J234" s="123" t="e">
        <f t="shared" si="345"/>
        <v>#REF!</v>
      </c>
      <c r="K234" s="122" t="e">
        <f>SUMPRODUCT((RO=B234)*(RemRest))+#REF!</f>
        <v>#REF!</v>
      </c>
      <c r="L234" s="123" t="e">
        <f t="shared" si="346"/>
        <v>#REF!</v>
      </c>
      <c r="M234" s="176" t="s">
        <v>7</v>
      </c>
      <c r="N234" s="183">
        <f t="shared" si="347"/>
        <v>0</v>
      </c>
      <c r="O234" s="185">
        <f t="shared" si="348"/>
        <v>0</v>
      </c>
      <c r="P234" s="187">
        <f t="shared" si="349"/>
        <v>0</v>
      </c>
      <c r="Q234" s="189">
        <f t="shared" si="350"/>
        <v>1</v>
      </c>
      <c r="R234" s="190">
        <f t="shared" si="351"/>
        <v>0</v>
      </c>
      <c r="S234" s="536">
        <f t="shared" si="352"/>
        <v>2</v>
      </c>
      <c r="T234" s="495">
        <f t="shared" si="353"/>
        <v>1</v>
      </c>
      <c r="U234" s="557">
        <f t="shared" si="354"/>
        <v>2</v>
      </c>
      <c r="V234" s="894">
        <f t="shared" si="359"/>
        <v>0</v>
      </c>
      <c r="W234" s="1069">
        <f t="shared" si="355"/>
        <v>0</v>
      </c>
      <c r="X234" s="505">
        <f t="shared" si="356"/>
        <v>6</v>
      </c>
      <c r="Y234" s="192">
        <f t="shared" si="360"/>
        <v>0</v>
      </c>
      <c r="Z234" s="50"/>
      <c r="AA234" s="50"/>
      <c r="AB234" s="50"/>
      <c r="AC234" s="50"/>
      <c r="AD234" s="50"/>
      <c r="AE234" s="50"/>
      <c r="AF234" s="169"/>
      <c r="AG234" s="169"/>
      <c r="AH234" s="169"/>
      <c r="AI234" s="169"/>
      <c r="AJ234" s="169"/>
      <c r="AK234" s="169"/>
      <c r="AL234" s="50"/>
      <c r="AM234" s="5"/>
      <c r="AN234" s="5"/>
      <c r="AO234" s="43"/>
      <c r="AP234" s="43"/>
      <c r="AQ234" s="284"/>
    </row>
    <row r="235" spans="1:43" s="28" customFormat="1" ht="16.2" thickBot="1">
      <c r="A235"/>
      <c r="B235" s="125" t="s">
        <v>104</v>
      </c>
      <c r="C235" s="120">
        <f t="shared" si="361"/>
        <v>263</v>
      </c>
      <c r="D235" s="121">
        <f t="shared" si="341"/>
        <v>0.1055800883179446</v>
      </c>
      <c r="E235" s="120">
        <f t="shared" si="342"/>
        <v>7</v>
      </c>
      <c r="F235" s="121">
        <f t="shared" si="343"/>
        <v>0.17073170731707318</v>
      </c>
      <c r="G235" s="122">
        <f t="shared" si="357"/>
        <v>43580583.224542916</v>
      </c>
      <c r="H235" s="123">
        <f t="shared" si="344"/>
        <v>0.1267417010768955</v>
      </c>
      <c r="I235" s="122">
        <f t="shared" si="358"/>
        <v>1333205.7967362874</v>
      </c>
      <c r="J235" s="123" t="e">
        <f t="shared" si="345"/>
        <v>#REF!</v>
      </c>
      <c r="K235" s="122" t="e">
        <f>SUMPRODUCT((RO=B235)*(RemRest))+#REF!</f>
        <v>#REF!</v>
      </c>
      <c r="L235" s="123" t="e">
        <f t="shared" si="346"/>
        <v>#REF!</v>
      </c>
      <c r="M235" s="125" t="s">
        <v>104</v>
      </c>
      <c r="N235" s="183">
        <f t="shared" si="347"/>
        <v>0</v>
      </c>
      <c r="O235" s="185">
        <f t="shared" si="348"/>
        <v>0</v>
      </c>
      <c r="P235" s="187">
        <f t="shared" si="349"/>
        <v>0</v>
      </c>
      <c r="Q235" s="189">
        <f t="shared" si="350"/>
        <v>0</v>
      </c>
      <c r="R235" s="190">
        <f t="shared" si="351"/>
        <v>1</v>
      </c>
      <c r="S235" s="536">
        <f t="shared" si="352"/>
        <v>2</v>
      </c>
      <c r="T235" s="495">
        <f t="shared" si="353"/>
        <v>1</v>
      </c>
      <c r="U235" s="557">
        <f t="shared" si="354"/>
        <v>2</v>
      </c>
      <c r="V235" s="894">
        <f t="shared" si="359"/>
        <v>1</v>
      </c>
      <c r="W235" s="1069">
        <f t="shared" si="355"/>
        <v>0</v>
      </c>
      <c r="X235" s="505">
        <f t="shared" si="356"/>
        <v>7</v>
      </c>
      <c r="Y235" s="192">
        <f t="shared" si="360"/>
        <v>0</v>
      </c>
      <c r="Z235" s="50"/>
      <c r="AA235" s="50"/>
      <c r="AB235" s="50"/>
      <c r="AC235" s="50"/>
      <c r="AD235" s="50"/>
      <c r="AE235" s="50"/>
      <c r="AF235" s="169"/>
      <c r="AG235" s="169"/>
      <c r="AH235" s="169"/>
      <c r="AI235" s="169"/>
      <c r="AJ235" s="169"/>
      <c r="AK235" s="169"/>
      <c r="AL235" s="50"/>
      <c r="AM235" s="5"/>
      <c r="AN235" s="5"/>
      <c r="AO235" s="43"/>
      <c r="AP235" s="43"/>
      <c r="AQ235" s="284"/>
    </row>
    <row r="236" spans="1:43" s="28" customFormat="1" ht="16.2" thickBot="1">
      <c r="A236"/>
      <c r="B236" s="126"/>
      <c r="C236" s="127">
        <f t="shared" ref="C236:L236" si="367">SUM(C227:C235)</f>
        <v>2491</v>
      </c>
      <c r="D236" s="128">
        <f t="shared" si="367"/>
        <v>1</v>
      </c>
      <c r="E236" s="127">
        <f t="shared" si="367"/>
        <v>41</v>
      </c>
      <c r="F236" s="128">
        <f t="shared" si="367"/>
        <v>1</v>
      </c>
      <c r="G236" s="129">
        <f t="shared" si="367"/>
        <v>343853545.07828581</v>
      </c>
      <c r="H236" s="130">
        <f t="shared" si="367"/>
        <v>1</v>
      </c>
      <c r="I236" s="131" t="e">
        <f t="shared" si="367"/>
        <v>#REF!</v>
      </c>
      <c r="J236" s="130" t="e">
        <f t="shared" si="367"/>
        <v>#REF!</v>
      </c>
      <c r="K236" s="131" t="e">
        <f t="shared" si="367"/>
        <v>#REF!</v>
      </c>
      <c r="L236" s="130" t="e">
        <f t="shared" si="367"/>
        <v>#REF!</v>
      </c>
      <c r="M236" s="50"/>
      <c r="N236" s="182">
        <f t="shared" ref="N236:W236" si="368">SUM(N227:N235)</f>
        <v>0</v>
      </c>
      <c r="O236" s="184">
        <f t="shared" si="368"/>
        <v>1</v>
      </c>
      <c r="P236" s="186">
        <f t="shared" si="368"/>
        <v>1</v>
      </c>
      <c r="Q236" s="188">
        <f t="shared" si="368"/>
        <v>6</v>
      </c>
      <c r="R236" s="191">
        <f t="shared" si="368"/>
        <v>5</v>
      </c>
      <c r="S236" s="537">
        <f t="shared" si="368"/>
        <v>7</v>
      </c>
      <c r="T236" s="496">
        <f t="shared" si="368"/>
        <v>3</v>
      </c>
      <c r="U236" s="557">
        <f t="shared" si="368"/>
        <v>6</v>
      </c>
      <c r="V236" s="894">
        <f>SUM(V227:V235)</f>
        <v>14</v>
      </c>
      <c r="W236" s="1069">
        <f t="shared" si="368"/>
        <v>3</v>
      </c>
      <c r="X236" s="177">
        <f>SUM(X227:X235)</f>
        <v>43</v>
      </c>
      <c r="Y236" s="192">
        <f t="shared" si="360"/>
        <v>2</v>
      </c>
      <c r="Z236" s="50"/>
      <c r="AA236" s="50"/>
      <c r="AB236" s="50"/>
      <c r="AC236" s="50"/>
      <c r="AD236" s="50"/>
      <c r="AE236" s="50"/>
      <c r="AF236" s="169"/>
      <c r="AG236" s="169"/>
      <c r="AH236" s="169"/>
      <c r="AI236" s="169"/>
      <c r="AJ236" s="169"/>
      <c r="AK236" s="169"/>
      <c r="AL236" s="50"/>
      <c r="AM236" s="5"/>
      <c r="AN236" s="5"/>
      <c r="AO236" s="43"/>
      <c r="AP236" s="43"/>
      <c r="AQ236" s="284"/>
    </row>
    <row r="237" spans="1:43" s="28" customFormat="1">
      <c r="A237" s="50"/>
      <c r="B237" s="501" t="s">
        <v>210</v>
      </c>
      <c r="C237" s="501">
        <f>C236/(COUNTA(B227:B235)-2)</f>
        <v>355.85714285714283</v>
      </c>
      <c r="D237" s="499"/>
      <c r="E237" s="501">
        <f>E236/(COUNTA(B227:B235))</f>
        <v>4.5555555555555554</v>
      </c>
      <c r="F237" s="502"/>
      <c r="G237" s="503"/>
      <c r="H237" s="499"/>
      <c r="I237" s="501" t="e">
        <f>I236/(COUNTA(B227:B235))</f>
        <v>#REF!</v>
      </c>
      <c r="J237" s="499"/>
      <c r="K237" s="501" t="e">
        <f>K236/(COUNTA(B227:B235)-1)</f>
        <v>#REF!</v>
      </c>
      <c r="L237" s="500"/>
      <c r="M237" s="50"/>
      <c r="N237" s="497"/>
      <c r="O237" s="497"/>
      <c r="P237" s="497"/>
      <c r="Q237" s="497"/>
      <c r="R237" s="497"/>
      <c r="S237" s="497"/>
      <c r="T237" s="497"/>
      <c r="U237" s="497"/>
      <c r="V237" s="497"/>
      <c r="W237" s="498"/>
      <c r="X237" s="497"/>
      <c r="Y237" s="50"/>
      <c r="Z237" s="50"/>
      <c r="AA237" s="50"/>
      <c r="AB237" s="50"/>
      <c r="AC237" s="50"/>
      <c r="AD237" s="50"/>
      <c r="AE237" s="169"/>
      <c r="AF237" s="169"/>
      <c r="AG237" s="169"/>
      <c r="AH237" s="169"/>
      <c r="AI237" s="169"/>
      <c r="AJ237" s="169"/>
      <c r="AK237" s="50"/>
      <c r="AL237" s="5"/>
      <c r="AM237" s="5"/>
      <c r="AN237" s="43"/>
      <c r="AO237" s="43"/>
      <c r="AP237" s="284"/>
    </row>
    <row r="238" spans="1:43" s="28" customFormat="1">
      <c r="A238" s="50"/>
      <c r="B238" s="132"/>
      <c r="C238" s="132">
        <f>C236-C222</f>
        <v>309</v>
      </c>
      <c r="E238" s="132">
        <f>E236-E222</f>
        <v>3</v>
      </c>
      <c r="F238" s="324"/>
      <c r="G238" s="323">
        <f>G236-G222</f>
        <v>39972927</v>
      </c>
      <c r="I238" s="133" t="e">
        <f>I236-I222</f>
        <v>#REF!</v>
      </c>
      <c r="J238" s="50"/>
      <c r="K238" s="133" t="e">
        <f>K236-K222-#REF!</f>
        <v>#REF!</v>
      </c>
      <c r="L238" s="138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169"/>
      <c r="X238" s="50"/>
      <c r="Y238" s="50"/>
      <c r="Z238" s="50"/>
      <c r="AA238" s="50"/>
      <c r="AB238" s="50"/>
      <c r="AC238" s="50"/>
      <c r="AD238" s="50"/>
      <c r="AE238" s="169"/>
      <c r="AF238" s="169"/>
      <c r="AG238" s="169"/>
      <c r="AH238" s="169"/>
      <c r="AI238" s="169"/>
      <c r="AJ238" s="169"/>
      <c r="AK238" s="50"/>
      <c r="AL238" s="5"/>
      <c r="AM238" s="5"/>
      <c r="AN238" s="43"/>
      <c r="AO238" s="43"/>
      <c r="AP238" s="284"/>
    </row>
    <row r="239" spans="1:43" s="28" customFormat="1" hidden="1" outlineLevel="1">
      <c r="A239" s="1358" t="s">
        <v>146</v>
      </c>
      <c r="B239" s="141" t="s">
        <v>73</v>
      </c>
      <c r="C239" s="141" t="s">
        <v>147</v>
      </c>
      <c r="D239" s="141" t="s">
        <v>72</v>
      </c>
      <c r="E239" s="142" t="s">
        <v>136</v>
      </c>
      <c r="F239" s="143" t="s">
        <v>103</v>
      </c>
      <c r="G239" s="144">
        <v>32842497.988755759</v>
      </c>
      <c r="H239" s="145"/>
      <c r="I239" s="144">
        <v>1377016.957476445</v>
      </c>
      <c r="J239" s="142"/>
      <c r="K239" s="142"/>
      <c r="L239" s="146">
        <f>268080+29507</f>
        <v>297587</v>
      </c>
      <c r="M239" s="146">
        <v>29507</v>
      </c>
      <c r="N239" s="147">
        <f>I239-L239</f>
        <v>1079429.957476445</v>
      </c>
      <c r="O239" s="148">
        <f t="shared" ref="O239:O247" si="369">L239/I239</f>
        <v>0.2161099021942077</v>
      </c>
      <c r="P239" s="50"/>
      <c r="Q239" s="50"/>
      <c r="R239" s="50"/>
      <c r="S239" s="50"/>
      <c r="T239" s="50"/>
      <c r="U239" s="50"/>
      <c r="V239" s="83"/>
      <c r="W239" s="170"/>
      <c r="X239" s="50"/>
      <c r="Y239" s="50"/>
      <c r="Z239" s="50"/>
      <c r="AA239" s="50"/>
      <c r="AB239" s="50"/>
      <c r="AC239" s="50"/>
      <c r="AD239" s="50"/>
      <c r="AE239" s="169"/>
      <c r="AF239" s="169"/>
      <c r="AG239" s="169"/>
      <c r="AH239" s="169"/>
      <c r="AI239" s="169"/>
      <c r="AJ239" s="169"/>
      <c r="AK239" s="50"/>
      <c r="AL239" s="5"/>
      <c r="AM239" s="5"/>
      <c r="AN239" s="43"/>
      <c r="AO239" s="43"/>
      <c r="AP239" s="284"/>
    </row>
    <row r="240" spans="1:43" s="28" customFormat="1" hidden="1" outlineLevel="1">
      <c r="A240" s="1358"/>
      <c r="B240" s="141" t="s">
        <v>76</v>
      </c>
      <c r="C240" s="141" t="s">
        <v>75</v>
      </c>
      <c r="D240" s="141" t="s">
        <v>74</v>
      </c>
      <c r="E240" s="142" t="s">
        <v>136</v>
      </c>
      <c r="F240" s="143" t="s">
        <v>103</v>
      </c>
      <c r="G240" s="144">
        <v>13500000</v>
      </c>
      <c r="H240" s="145"/>
      <c r="I240" s="144" t="e">
        <f>#REF!</f>
        <v>#REF!</v>
      </c>
      <c r="J240" s="142"/>
      <c r="K240" s="142"/>
      <c r="L240" s="146">
        <f>27702+35855</f>
        <v>63557</v>
      </c>
      <c r="M240" s="146">
        <v>35855</v>
      </c>
      <c r="N240" s="147" t="e">
        <f t="shared" ref="N240:N247" si="370">I240-L240</f>
        <v>#REF!</v>
      </c>
      <c r="O240" s="148" t="e">
        <f t="shared" si="369"/>
        <v>#REF!</v>
      </c>
      <c r="P240" s="50"/>
      <c r="Q240" s="50"/>
      <c r="R240" s="50"/>
      <c r="S240" s="50"/>
      <c r="T240" s="50"/>
      <c r="U240" s="50"/>
      <c r="V240" s="83"/>
      <c r="W240" s="170"/>
      <c r="X240" s="50"/>
      <c r="Y240" s="50"/>
      <c r="Z240" s="50"/>
      <c r="AA240" s="50"/>
      <c r="AB240" s="50"/>
      <c r="AC240" s="50"/>
      <c r="AD240" s="50"/>
      <c r="AE240" s="169"/>
      <c r="AF240" s="169"/>
      <c r="AG240" s="169"/>
      <c r="AH240" s="169"/>
      <c r="AI240" s="169"/>
      <c r="AJ240" s="169"/>
      <c r="AK240" s="50"/>
      <c r="AL240" s="5"/>
      <c r="AM240" s="5"/>
      <c r="AN240" s="43"/>
      <c r="AO240" s="43"/>
      <c r="AP240" s="284"/>
    </row>
    <row r="241" spans="1:49" s="28" customFormat="1" hidden="1" outlineLevel="1">
      <c r="A241" s="1358"/>
      <c r="B241" s="334" t="s">
        <v>78</v>
      </c>
      <c r="C241" s="334" t="s">
        <v>77</v>
      </c>
      <c r="D241" s="334" t="s">
        <v>99</v>
      </c>
      <c r="E241" s="335" t="s">
        <v>131</v>
      </c>
      <c r="F241" s="522" t="s">
        <v>103</v>
      </c>
      <c r="G241" s="337">
        <v>3619053.9385488611</v>
      </c>
      <c r="H241" s="338"/>
      <c r="I241" s="337" t="e">
        <f>#REF!</f>
        <v>#REF!</v>
      </c>
      <c r="J241" s="335"/>
      <c r="K241" s="335"/>
      <c r="L241" s="339">
        <v>16000</v>
      </c>
      <c r="M241" s="339">
        <v>0</v>
      </c>
      <c r="N241" s="340" t="e">
        <f t="shared" si="370"/>
        <v>#REF!</v>
      </c>
      <c r="O241" s="148" t="e">
        <f t="shared" si="369"/>
        <v>#REF!</v>
      </c>
      <c r="P241" s="50"/>
      <c r="Q241" s="50"/>
      <c r="R241" s="50"/>
      <c r="S241" s="50"/>
      <c r="T241" s="50"/>
      <c r="U241" s="50"/>
      <c r="V241" s="83"/>
      <c r="W241" s="170"/>
      <c r="X241" s="50"/>
      <c r="Y241" s="50"/>
      <c r="Z241" s="50"/>
      <c r="AA241" s="50"/>
      <c r="AB241" s="50"/>
      <c r="AC241" s="50"/>
      <c r="AD241" s="50"/>
      <c r="AE241" s="169"/>
      <c r="AF241" s="169"/>
      <c r="AG241" s="169"/>
      <c r="AH241" s="169"/>
      <c r="AI241" s="169"/>
      <c r="AJ241" s="169"/>
      <c r="AK241" s="50"/>
      <c r="AL241" s="5"/>
      <c r="AM241" s="5"/>
      <c r="AN241" s="43"/>
      <c r="AO241" s="43"/>
      <c r="AP241" s="284"/>
    </row>
    <row r="242" spans="1:49" s="28" customFormat="1" hidden="1" outlineLevel="1">
      <c r="A242" s="1358"/>
      <c r="B242" s="149" t="s">
        <v>263</v>
      </c>
      <c r="C242" s="149" t="s">
        <v>153</v>
      </c>
      <c r="D242" s="141" t="s">
        <v>240</v>
      </c>
      <c r="E242" s="142" t="s">
        <v>91</v>
      </c>
      <c r="F242" s="143" t="s">
        <v>103</v>
      </c>
      <c r="G242" s="144">
        <v>912322</v>
      </c>
      <c r="H242" s="145"/>
      <c r="I242" s="144">
        <v>79512</v>
      </c>
      <c r="J242" s="142"/>
      <c r="K242" s="142"/>
      <c r="L242" s="146"/>
      <c r="M242" s="146"/>
      <c r="N242" s="147"/>
      <c r="O242" s="148"/>
      <c r="P242" s="50"/>
      <c r="Q242" s="50"/>
      <c r="R242" s="50"/>
      <c r="S242" s="50"/>
      <c r="T242" s="50"/>
      <c r="U242" s="50"/>
      <c r="V242" s="83"/>
      <c r="W242" s="170"/>
      <c r="X242" s="50"/>
      <c r="Y242" s="50"/>
      <c r="Z242" s="50"/>
      <c r="AA242" s="50"/>
      <c r="AB242" s="50"/>
      <c r="AC242" s="50"/>
      <c r="AD242" s="50"/>
      <c r="AE242" s="169"/>
      <c r="AF242" s="169"/>
      <c r="AG242" s="169"/>
      <c r="AH242" s="169"/>
      <c r="AI242" s="169"/>
      <c r="AJ242" s="169"/>
      <c r="AK242" s="50"/>
      <c r="AL242" s="5"/>
      <c r="AM242" s="5"/>
      <c r="AN242" s="43"/>
      <c r="AO242" s="43"/>
      <c r="AP242" s="284"/>
    </row>
    <row r="243" spans="1:49" s="28" customFormat="1" hidden="1" outlineLevel="1">
      <c r="A243" s="1358"/>
      <c r="B243" s="149" t="s">
        <v>254</v>
      </c>
      <c r="C243" s="149" t="s">
        <v>180</v>
      </c>
      <c r="D243" s="141" t="s">
        <v>258</v>
      </c>
      <c r="E243" s="142" t="s">
        <v>152</v>
      </c>
      <c r="F243" s="143" t="s">
        <v>103</v>
      </c>
      <c r="G243" s="144"/>
      <c r="H243" s="145"/>
      <c r="I243" s="144">
        <v>95475</v>
      </c>
      <c r="J243" s="142"/>
      <c r="K243" s="142"/>
      <c r="L243" s="146"/>
      <c r="M243" s="146"/>
      <c r="N243" s="147"/>
      <c r="O243" s="148"/>
      <c r="P243" s="50"/>
      <c r="Q243" s="50"/>
      <c r="R243" s="50"/>
      <c r="S243" s="50"/>
      <c r="T243" s="50"/>
      <c r="U243" s="50"/>
      <c r="V243" s="83"/>
      <c r="W243" s="170"/>
      <c r="X243" s="50"/>
      <c r="Y243" s="50"/>
      <c r="Z243" s="50"/>
      <c r="AA243" s="50"/>
      <c r="AB243" s="50"/>
      <c r="AC243" s="50"/>
      <c r="AD243" s="50"/>
      <c r="AE243" s="169"/>
      <c r="AF243" s="169"/>
      <c r="AG243" s="169"/>
      <c r="AH243" s="169"/>
      <c r="AI243" s="169"/>
      <c r="AJ243" s="169"/>
      <c r="AK243" s="50"/>
      <c r="AL243" s="5"/>
      <c r="AM243" s="5"/>
      <c r="AN243" s="43"/>
      <c r="AO243" s="43"/>
      <c r="AP243" s="284"/>
    </row>
    <row r="244" spans="1:49" s="28" customFormat="1" hidden="1" outlineLevel="1">
      <c r="A244" s="1358"/>
      <c r="B244" s="334" t="s">
        <v>148</v>
      </c>
      <c r="C244" s="334" t="s">
        <v>147</v>
      </c>
      <c r="D244" s="334" t="s">
        <v>159</v>
      </c>
      <c r="E244" s="335" t="s">
        <v>131</v>
      </c>
      <c r="F244" s="336" t="s">
        <v>103</v>
      </c>
      <c r="G244" s="337">
        <v>5000588.8139374992</v>
      </c>
      <c r="H244" s="338"/>
      <c r="I244" s="337" t="e">
        <f>#REF!</f>
        <v>#REF!</v>
      </c>
      <c r="J244" s="335"/>
      <c r="K244" s="335"/>
      <c r="L244" s="339">
        <v>149415.38</v>
      </c>
      <c r="M244" s="339">
        <v>0</v>
      </c>
      <c r="N244" s="340" t="e">
        <f t="shared" si="370"/>
        <v>#REF!</v>
      </c>
      <c r="O244" s="148" t="e">
        <f t="shared" si="369"/>
        <v>#REF!</v>
      </c>
      <c r="P244" s="50"/>
      <c r="Q244" s="50"/>
      <c r="R244" s="50"/>
      <c r="S244" s="50"/>
      <c r="T244" s="50"/>
      <c r="U244" s="50"/>
      <c r="V244" s="83"/>
      <c r="W244" s="170"/>
      <c r="X244" s="50"/>
      <c r="Y244" s="50"/>
      <c r="Z244" s="50"/>
      <c r="AA244" s="50"/>
      <c r="AB244" s="50"/>
      <c r="AC244" s="50"/>
      <c r="AD244" s="50"/>
      <c r="AE244" s="169"/>
      <c r="AF244" s="169"/>
      <c r="AG244" s="169"/>
      <c r="AH244" s="169"/>
      <c r="AI244" s="169"/>
      <c r="AJ244" s="169"/>
      <c r="AK244" s="50"/>
      <c r="AL244" s="5"/>
      <c r="AM244" s="5"/>
      <c r="AN244" s="43"/>
      <c r="AO244" s="43"/>
      <c r="AP244" s="284"/>
      <c r="AS244" s="1"/>
      <c r="AT244" s="1"/>
      <c r="AU244" s="1"/>
    </row>
    <row r="245" spans="1:49" s="28" customFormat="1" hidden="1" outlineLevel="1">
      <c r="A245" s="1358"/>
      <c r="B245" s="332" t="s">
        <v>157</v>
      </c>
      <c r="C245" s="333" t="s">
        <v>158</v>
      </c>
      <c r="D245" s="334" t="s">
        <v>119</v>
      </c>
      <c r="E245" s="335" t="s">
        <v>160</v>
      </c>
      <c r="F245" s="336"/>
      <c r="G245" s="337">
        <v>45000000</v>
      </c>
      <c r="H245" s="338"/>
      <c r="I245" s="337" t="e">
        <f>#REF!</f>
        <v>#REF!</v>
      </c>
      <c r="J245" s="335"/>
      <c r="K245" s="335"/>
      <c r="L245" s="339"/>
      <c r="M245" s="339"/>
      <c r="N245" s="340"/>
      <c r="O245" s="148"/>
      <c r="P245" s="50"/>
      <c r="Q245" s="50"/>
      <c r="R245" s="50"/>
      <c r="S245" s="50"/>
      <c r="T245" s="50"/>
      <c r="U245" s="50"/>
      <c r="V245" s="83"/>
      <c r="W245" s="170"/>
      <c r="X245" s="50"/>
      <c r="Y245" s="50"/>
      <c r="Z245" s="50"/>
      <c r="AA245" s="50"/>
      <c r="AB245" s="50"/>
      <c r="AC245" s="50"/>
      <c r="AD245" s="50"/>
      <c r="AE245" s="169"/>
      <c r="AF245" s="169"/>
      <c r="AG245" s="169"/>
      <c r="AH245" s="169"/>
      <c r="AI245" s="169"/>
      <c r="AJ245" s="169"/>
      <c r="AK245" s="50"/>
      <c r="AL245" s="5"/>
      <c r="AM245" s="5"/>
      <c r="AN245" s="43"/>
      <c r="AO245" s="43"/>
      <c r="AP245" s="284"/>
    </row>
    <row r="246" spans="1:49" s="28" customFormat="1" hidden="1" outlineLevel="1">
      <c r="A246" s="1358"/>
      <c r="B246" s="515" t="s">
        <v>89</v>
      </c>
      <c r="C246" s="516" t="s">
        <v>149</v>
      </c>
      <c r="D246" s="335" t="s">
        <v>88</v>
      </c>
      <c r="E246" s="335" t="s">
        <v>132</v>
      </c>
      <c r="F246" s="336" t="s">
        <v>31</v>
      </c>
      <c r="G246" s="337">
        <v>2832435</v>
      </c>
      <c r="H246" s="338"/>
      <c r="I246" s="337" t="e">
        <f>#REF!</f>
        <v>#REF!</v>
      </c>
      <c r="J246" s="335"/>
      <c r="K246" s="335"/>
      <c r="L246" s="339">
        <v>0</v>
      </c>
      <c r="M246" s="339">
        <v>0</v>
      </c>
      <c r="N246" s="340" t="e">
        <f t="shared" si="370"/>
        <v>#REF!</v>
      </c>
      <c r="O246" s="148" t="e">
        <f t="shared" si="369"/>
        <v>#REF!</v>
      </c>
      <c r="P246" s="50"/>
      <c r="Q246" s="50"/>
      <c r="R246" s="50"/>
      <c r="S246" s="50"/>
      <c r="T246" s="50"/>
      <c r="U246" s="50"/>
      <c r="V246" s="83"/>
      <c r="W246" s="170"/>
      <c r="X246" s="50"/>
      <c r="Y246" s="50"/>
      <c r="Z246" s="50"/>
      <c r="AA246" s="50"/>
      <c r="AB246" s="50"/>
      <c r="AC246" s="50"/>
      <c r="AD246" s="50"/>
      <c r="AE246" s="169"/>
      <c r="AF246" s="169"/>
      <c r="AG246" s="169"/>
      <c r="AH246" s="169"/>
      <c r="AI246" s="169"/>
      <c r="AJ246" s="169"/>
      <c r="AK246" s="50"/>
      <c r="AL246" s="5"/>
      <c r="AM246" s="5"/>
      <c r="AN246" s="43"/>
      <c r="AO246" s="43"/>
      <c r="AP246" s="284"/>
    </row>
    <row r="247" spans="1:49" s="28" customFormat="1" hidden="1" outlineLevel="1">
      <c r="A247" s="1358"/>
      <c r="B247" s="515" t="s">
        <v>150</v>
      </c>
      <c r="C247" s="516" t="s">
        <v>151</v>
      </c>
      <c r="D247" s="335" t="s">
        <v>107</v>
      </c>
      <c r="E247" s="335" t="s">
        <v>156</v>
      </c>
      <c r="F247" s="336"/>
      <c r="G247" s="337">
        <v>4161640</v>
      </c>
      <c r="H247" s="338"/>
      <c r="I247" s="337" t="e">
        <f>#REF!</f>
        <v>#REF!</v>
      </c>
      <c r="J247" s="335"/>
      <c r="K247" s="335"/>
      <c r="L247" s="339">
        <v>0</v>
      </c>
      <c r="M247" s="339">
        <v>0</v>
      </c>
      <c r="N247" s="340" t="e">
        <f t="shared" si="370"/>
        <v>#REF!</v>
      </c>
      <c r="O247" s="148" t="e">
        <f t="shared" si="369"/>
        <v>#REF!</v>
      </c>
      <c r="P247" s="50"/>
      <c r="Q247" s="50"/>
      <c r="R247" s="50"/>
      <c r="S247" s="50"/>
      <c r="T247" s="50"/>
      <c r="U247" s="50"/>
      <c r="V247" s="83"/>
      <c r="W247" s="170"/>
      <c r="X247" s="50"/>
      <c r="Y247" s="50"/>
      <c r="Z247" s="50"/>
      <c r="AA247" s="50"/>
      <c r="AB247" s="50"/>
      <c r="AC247" s="50"/>
      <c r="AD247" s="50"/>
      <c r="AE247" s="169"/>
      <c r="AF247" s="169"/>
      <c r="AG247" s="169"/>
      <c r="AH247" s="169"/>
      <c r="AI247" s="169"/>
      <c r="AJ247" s="169"/>
      <c r="AK247" s="50"/>
      <c r="AL247" s="5"/>
      <c r="AM247" s="5"/>
      <c r="AN247" s="43"/>
      <c r="AO247" s="43"/>
      <c r="AP247" s="284"/>
      <c r="AV247" s="1"/>
    </row>
    <row r="248" spans="1:49" s="28" customFormat="1" hidden="1" outlineLevel="1">
      <c r="A248" s="1358"/>
      <c r="B248" s="515" t="s">
        <v>154</v>
      </c>
      <c r="C248" s="516" t="s">
        <v>79</v>
      </c>
      <c r="D248" s="335"/>
      <c r="E248" s="335" t="s">
        <v>131</v>
      </c>
      <c r="F248" s="336"/>
      <c r="G248" s="337">
        <v>10000000</v>
      </c>
      <c r="H248" s="338"/>
      <c r="I248" s="337"/>
      <c r="J248" s="335"/>
      <c r="K248" s="335"/>
      <c r="L248" s="339"/>
      <c r="M248" s="339"/>
      <c r="N248" s="340"/>
      <c r="O248" s="148"/>
      <c r="P248" s="50"/>
      <c r="Q248" s="50"/>
      <c r="R248" s="50"/>
      <c r="S248" s="50"/>
      <c r="T248" s="50"/>
      <c r="U248" s="50"/>
      <c r="V248" s="83"/>
      <c r="W248" s="170"/>
      <c r="X248" s="50"/>
      <c r="Y248" s="50"/>
      <c r="Z248" s="50"/>
      <c r="AA248" s="50"/>
      <c r="AB248" s="50"/>
      <c r="AC248" s="50"/>
      <c r="AD248" s="50"/>
      <c r="AE248" s="169"/>
      <c r="AF248" s="169"/>
      <c r="AG248" s="169"/>
      <c r="AH248" s="169"/>
      <c r="AI248" s="169"/>
      <c r="AJ248" s="169"/>
      <c r="AK248" s="50"/>
      <c r="AL248" s="5"/>
      <c r="AM248" s="5"/>
      <c r="AN248" s="43"/>
      <c r="AO248" s="43"/>
      <c r="AP248" s="284"/>
      <c r="AW248" s="1"/>
    </row>
    <row r="249" spans="1:49" s="28" customFormat="1" hidden="1" outlineLevel="1">
      <c r="A249" s="1358"/>
      <c r="B249" s="515" t="s">
        <v>155</v>
      </c>
      <c r="C249" s="516" t="s">
        <v>79</v>
      </c>
      <c r="D249" s="335"/>
      <c r="E249" s="335" t="s">
        <v>95</v>
      </c>
      <c r="F249" s="336"/>
      <c r="G249" s="337">
        <v>8500000</v>
      </c>
      <c r="H249" s="338"/>
      <c r="I249" s="337"/>
      <c r="J249" s="335"/>
      <c r="K249" s="335"/>
      <c r="L249" s="339"/>
      <c r="M249" s="339"/>
      <c r="N249" s="340"/>
      <c r="O249" s="148"/>
      <c r="P249" s="50"/>
      <c r="Q249" s="50"/>
      <c r="R249" s="50"/>
      <c r="S249" s="50"/>
      <c r="T249" s="50"/>
      <c r="U249" s="50"/>
      <c r="V249" s="83"/>
      <c r="W249" s="170"/>
      <c r="X249" s="50"/>
      <c r="Y249" s="50"/>
      <c r="Z249" s="50"/>
      <c r="AA249" s="50"/>
      <c r="AB249" s="50"/>
      <c r="AC249" s="50"/>
      <c r="AD249" s="50"/>
      <c r="AE249" s="169"/>
      <c r="AF249" s="169"/>
      <c r="AG249" s="169"/>
      <c r="AH249" s="169"/>
      <c r="AI249" s="169"/>
      <c r="AJ249" s="169"/>
      <c r="AK249" s="50"/>
      <c r="AL249" s="5"/>
      <c r="AM249" s="5"/>
      <c r="AN249" s="43"/>
      <c r="AO249" s="43"/>
      <c r="AP249" s="284"/>
    </row>
    <row r="250" spans="1:49" s="1" customFormat="1" hidden="1" outlineLevel="1">
      <c r="A250" s="1358"/>
      <c r="B250" s="515" t="s">
        <v>161</v>
      </c>
      <c r="C250" s="516" t="s">
        <v>153</v>
      </c>
      <c r="D250" s="335"/>
      <c r="E250" s="335" t="s">
        <v>131</v>
      </c>
      <c r="F250" s="336" t="s">
        <v>103</v>
      </c>
      <c r="G250" s="337"/>
      <c r="H250" s="338"/>
      <c r="I250" s="337">
        <v>26300</v>
      </c>
      <c r="J250" s="335"/>
      <c r="K250" s="335"/>
      <c r="L250" s="339"/>
      <c r="M250" s="339"/>
      <c r="N250" s="340"/>
      <c r="O250" s="148"/>
      <c r="P250" s="50"/>
      <c r="Q250" s="50"/>
      <c r="R250" s="50"/>
      <c r="S250" s="50"/>
      <c r="T250" s="50"/>
      <c r="U250" s="50"/>
      <c r="V250" s="83"/>
      <c r="W250" s="170"/>
      <c r="X250" s="50"/>
      <c r="Y250" s="50"/>
      <c r="Z250" s="50"/>
      <c r="AA250" s="50"/>
      <c r="AB250" s="50"/>
      <c r="AC250" s="50"/>
      <c r="AD250" s="50"/>
      <c r="AE250" s="169"/>
      <c r="AF250" s="169"/>
      <c r="AG250" s="169"/>
      <c r="AH250" s="169"/>
      <c r="AI250" s="169"/>
      <c r="AJ250" s="169"/>
      <c r="AK250" s="50"/>
      <c r="AL250" s="50"/>
      <c r="AM250" s="50"/>
      <c r="AN250" s="474"/>
      <c r="AO250" s="757"/>
      <c r="AP250" s="244"/>
      <c r="AR250" s="28"/>
      <c r="AS250" s="28"/>
      <c r="AT250" s="28"/>
      <c r="AU250" s="28"/>
      <c r="AV250" s="28"/>
      <c r="AW250" s="28"/>
    </row>
    <row r="251" spans="1:49" s="28" customFormat="1" hidden="1" outlineLevel="1">
      <c r="A251" s="1358"/>
      <c r="B251" s="151"/>
      <c r="C251" s="152"/>
      <c r="D251" s="142"/>
      <c r="E251" s="142"/>
      <c r="F251" s="150"/>
      <c r="G251" s="144"/>
      <c r="H251" s="145"/>
      <c r="I251" s="144"/>
      <c r="J251" s="142"/>
      <c r="K251" s="142"/>
      <c r="L251" s="146"/>
      <c r="M251" s="146"/>
      <c r="N251" s="147"/>
      <c r="O251" s="148"/>
      <c r="P251" s="50"/>
      <c r="Q251" s="50"/>
      <c r="R251" s="50"/>
      <c r="S251" s="50"/>
      <c r="T251" s="50"/>
      <c r="U251" s="50"/>
      <c r="V251" s="83"/>
      <c r="W251" s="170"/>
      <c r="X251" s="50"/>
      <c r="Y251" s="50"/>
      <c r="Z251" s="50"/>
      <c r="AA251" s="50"/>
      <c r="AB251" s="50"/>
      <c r="AE251" s="168"/>
      <c r="AF251" s="168"/>
      <c r="AG251" s="168"/>
      <c r="AH251" s="168"/>
      <c r="AI251" s="168"/>
      <c r="AJ251" s="168"/>
      <c r="AN251" s="43"/>
      <c r="AO251" s="43"/>
      <c r="AP251" s="284"/>
    </row>
    <row r="252" spans="1:49" s="28" customFormat="1" hidden="1" outlineLevel="1">
      <c r="A252" s="178"/>
      <c r="B252" s="153">
        <f>COUNTA(C239:C251)</f>
        <v>12</v>
      </c>
      <c r="C252" s="83"/>
      <c r="D252" s="83"/>
      <c r="E252" s="83"/>
      <c r="F252" s="83"/>
      <c r="G252" s="154">
        <f>SUM(G239:G251)</f>
        <v>126368537.74124213</v>
      </c>
      <c r="H252" s="85"/>
      <c r="I252" s="154" t="e">
        <f>SUM(I239:I251)</f>
        <v>#REF!</v>
      </c>
      <c r="J252" s="83"/>
      <c r="K252" s="83"/>
      <c r="L252" s="155"/>
      <c r="M252" s="155"/>
      <c r="N252" s="83"/>
      <c r="O252" s="83"/>
      <c r="P252" s="50"/>
      <c r="Q252" s="50"/>
      <c r="R252" s="50"/>
      <c r="S252" s="50"/>
      <c r="T252" s="50"/>
      <c r="U252" s="50"/>
      <c r="V252" s="83"/>
      <c r="W252" s="170"/>
      <c r="X252" s="50"/>
      <c r="Y252" s="50"/>
      <c r="Z252" s="50"/>
      <c r="AA252" s="50"/>
      <c r="AB252" s="50"/>
      <c r="AE252" s="168"/>
      <c r="AF252" s="168"/>
      <c r="AG252" s="168"/>
      <c r="AH252" s="168"/>
      <c r="AI252" s="168"/>
      <c r="AJ252" s="168"/>
      <c r="AN252" s="43"/>
      <c r="AO252" s="43"/>
      <c r="AP252" s="284"/>
    </row>
    <row r="253" spans="1:49" s="28" customFormat="1" hidden="1" outlineLevel="1">
      <c r="A253" s="50"/>
      <c r="I253" s="132"/>
      <c r="J253" s="50"/>
      <c r="K253" s="133"/>
      <c r="L253" s="138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169"/>
      <c r="X253" s="50"/>
      <c r="Y253" s="50"/>
      <c r="Z253" s="50"/>
      <c r="AA253" s="50"/>
      <c r="AB253" s="50"/>
      <c r="AE253" s="168"/>
      <c r="AF253" s="168"/>
      <c r="AG253" s="168"/>
      <c r="AH253" s="168"/>
      <c r="AI253" s="168"/>
      <c r="AJ253" s="168"/>
      <c r="AN253" s="43"/>
      <c r="AO253" s="43"/>
      <c r="AP253" s="284"/>
    </row>
    <row r="254" spans="1:49" s="28" customFormat="1" ht="16.2" hidden="1" outlineLevel="1" thickBot="1">
      <c r="A254" s="50"/>
      <c r="B254" s="1"/>
      <c r="C254" s="1359" t="s">
        <v>163</v>
      </c>
      <c r="D254" s="1360"/>
      <c r="E254" s="1359" t="s">
        <v>142</v>
      </c>
      <c r="F254" s="1360"/>
      <c r="G254" s="1"/>
      <c r="H254" s="1"/>
      <c r="I254" s="157"/>
      <c r="J254" s="50"/>
      <c r="K254" s="133"/>
      <c r="L254" s="138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169"/>
      <c r="X254" s="50"/>
      <c r="Y254" s="50"/>
      <c r="Z254" s="50"/>
      <c r="AA254" s="50"/>
      <c r="AB254" s="50"/>
      <c r="AE254" s="168"/>
      <c r="AF254" s="168"/>
      <c r="AG254" s="168"/>
      <c r="AH254" s="168"/>
      <c r="AI254" s="168"/>
      <c r="AJ254" s="168"/>
      <c r="AN254" s="43"/>
      <c r="AO254" s="43"/>
      <c r="AP254" s="284"/>
    </row>
    <row r="255" spans="1:49" s="28" customFormat="1" hidden="1" outlineLevel="1">
      <c r="A255" s="50"/>
      <c r="B255" s="525"/>
      <c r="C255" s="526">
        <f>SUMPRODUCT((RO_Am=B255)*(Am&lt;&gt;"fin"))</f>
        <v>4</v>
      </c>
      <c r="D255" s="527">
        <f>C255/$C$257</f>
        <v>0.5</v>
      </c>
      <c r="E255" s="528" t="e">
        <f>SUMPRODUCT((RO_Am=B255)*(Rem_Amgt))</f>
        <v>#REF!</v>
      </c>
      <c r="F255" s="529"/>
      <c r="I255" s="132"/>
      <c r="J255" s="50"/>
      <c r="K255" s="133"/>
      <c r="L255" s="138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169"/>
      <c r="X255" s="50"/>
      <c r="Y255" s="50"/>
      <c r="Z255" s="50"/>
      <c r="AA255" s="50"/>
      <c r="AB255" s="50"/>
      <c r="AE255" s="168"/>
      <c r="AF255" s="168"/>
      <c r="AG255" s="168"/>
      <c r="AH255" s="168"/>
      <c r="AI255" s="168"/>
      <c r="AJ255" s="168"/>
      <c r="AN255" s="43"/>
      <c r="AO255" s="43"/>
      <c r="AP255" s="284"/>
    </row>
    <row r="256" spans="1:49" s="28" customFormat="1" ht="16.2" hidden="1" outlineLevel="1" thickBot="1">
      <c r="A256" s="50"/>
      <c r="B256" s="530" t="s">
        <v>103</v>
      </c>
      <c r="C256" s="531">
        <f>SUMPRODUCT((RO_Am=B256)*(Am&lt;&gt;"fin"))</f>
        <v>4</v>
      </c>
      <c r="D256" s="532">
        <f>C256/$C$257</f>
        <v>0.5</v>
      </c>
      <c r="E256" s="533" t="e">
        <f>SUMPRODUCT((RO_Am=B256)*(Rem_Amgt))</f>
        <v>#REF!</v>
      </c>
      <c r="F256" s="534"/>
      <c r="I256" s="132"/>
      <c r="J256" s="50"/>
      <c r="K256" s="133"/>
      <c r="L256" s="138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169"/>
      <c r="X256" s="50"/>
      <c r="Y256" s="50"/>
      <c r="Z256" s="50"/>
      <c r="AA256" s="50"/>
      <c r="AB256" s="50"/>
      <c r="AE256" s="168"/>
      <c r="AF256" s="168"/>
      <c r="AG256" s="168"/>
      <c r="AH256" s="168"/>
      <c r="AI256" s="168"/>
      <c r="AJ256" s="168"/>
      <c r="AN256" s="43"/>
      <c r="AO256" s="43"/>
      <c r="AP256" s="284"/>
    </row>
    <row r="257" spans="1:52" s="28" customFormat="1" ht="16.2" hidden="1" outlineLevel="1" thickBot="1">
      <c r="A257" s="50"/>
      <c r="B257" s="50"/>
      <c r="C257" s="523">
        <f>SUM(C255:C256)</f>
        <v>8</v>
      </c>
      <c r="D257" s="524">
        <f>SUM(D255:D256)</f>
        <v>1</v>
      </c>
      <c r="E257" s="523" t="e">
        <f>SUM(E255:E256)</f>
        <v>#REF!</v>
      </c>
      <c r="F257" s="524"/>
      <c r="G257" s="83"/>
      <c r="H257" s="50"/>
      <c r="I257" s="50"/>
      <c r="J257" s="50"/>
      <c r="K257" s="5"/>
      <c r="L257" s="139"/>
      <c r="W257" s="168"/>
      <c r="AE257" s="168"/>
      <c r="AF257" s="168"/>
      <c r="AG257" s="168"/>
      <c r="AH257" s="168"/>
      <c r="AI257" s="168"/>
      <c r="AJ257" s="168"/>
      <c r="AN257" s="43"/>
      <c r="AO257" s="43"/>
      <c r="AP257" s="284"/>
    </row>
    <row r="258" spans="1:52" s="28" customFormat="1" ht="16.2" collapsed="1" thickBot="1">
      <c r="A258" s="50"/>
      <c r="B258" s="50"/>
      <c r="C258" s="50"/>
      <c r="D258" s="158"/>
      <c r="E258" s="50"/>
      <c r="F258" s="50"/>
      <c r="G258" s="83"/>
      <c r="H258" s="50"/>
      <c r="I258" s="50"/>
      <c r="J258" s="50"/>
      <c r="K258" s="5"/>
      <c r="L258" s="139"/>
      <c r="W258" s="168"/>
      <c r="AE258" s="168"/>
      <c r="AF258" s="168"/>
      <c r="AG258" s="168"/>
      <c r="AH258" s="168"/>
      <c r="AI258" s="168"/>
      <c r="AJ258" s="168"/>
      <c r="AN258" s="43"/>
      <c r="AO258" s="43"/>
      <c r="AP258" s="284"/>
      <c r="AR258" s="5"/>
    </row>
    <row r="259" spans="1:52" s="28" customFormat="1" ht="16.2" thickBot="1">
      <c r="A259" s="50"/>
      <c r="B259" s="50"/>
      <c r="C259" s="1350" t="s">
        <v>302</v>
      </c>
      <c r="D259" s="1351"/>
      <c r="E259" s="1353" t="s">
        <v>194</v>
      </c>
      <c r="F259" s="1354"/>
      <c r="G259" s="1352" t="s">
        <v>95</v>
      </c>
      <c r="H259" s="1352"/>
      <c r="I259" s="1346" t="s">
        <v>136</v>
      </c>
      <c r="J259" s="1347" t="s">
        <v>132</v>
      </c>
      <c r="K259" s="1348" t="s">
        <v>132</v>
      </c>
      <c r="L259" s="1347"/>
      <c r="W259" s="168"/>
      <c r="AE259" s="168"/>
      <c r="AF259" s="168"/>
      <c r="AG259" s="168"/>
      <c r="AH259" s="168"/>
      <c r="AI259" s="168"/>
      <c r="AJ259" s="168"/>
      <c r="AN259" s="43"/>
      <c r="AO259" s="43"/>
      <c r="AP259" s="284"/>
      <c r="AR259" s="315"/>
      <c r="AS259" s="5"/>
      <c r="AT259" s="5"/>
      <c r="AU259" s="5"/>
    </row>
    <row r="260" spans="1:52" s="28" customFormat="1" ht="16.2" thickBot="1">
      <c r="A260" s="50"/>
      <c r="B260" s="252" t="s">
        <v>12</v>
      </c>
      <c r="C260" s="245">
        <f t="shared" ref="C260:C267" si="371">SUMPRODUCT((RO_gen=B260)*((Phase="MOE")+(Phase="ESQ")+(Phase="APS")+(Phase="PC")+(Phase="APD")))</f>
        <v>2</v>
      </c>
      <c r="D260" s="213">
        <f t="shared" ref="D260:D267" si="372">C260/$C$268</f>
        <v>0.15384615384615385</v>
      </c>
      <c r="E260" s="245">
        <f t="shared" ref="E260:E266" si="373">SUMPRODUCT((RO_gen=B260)*((Phase="PRO")+(Phase="DCE")+(Phase="AO")))</f>
        <v>2</v>
      </c>
      <c r="F260" s="247">
        <f t="shared" ref="F260:F267" si="374">E260/$E$268</f>
        <v>0.22222222222222221</v>
      </c>
      <c r="G260" s="245">
        <f t="shared" ref="G260:G267" si="375">SUMPRODUCT((RO_gen=B260)*((Phase="OS")))</f>
        <v>0</v>
      </c>
      <c r="H260" s="247">
        <f t="shared" ref="H260:H267" si="376">G260/$G$268</f>
        <v>0</v>
      </c>
      <c r="I260" s="245">
        <f t="shared" ref="I260:I267" si="377">SUMPRODUCT((RO_gen=B260)*((Phase="Travaux")+(Phase="Réception")))</f>
        <v>1</v>
      </c>
      <c r="J260" s="247">
        <f t="shared" ref="J260:J267" si="378">I260/$I$268</f>
        <v>0.14285714285714285</v>
      </c>
      <c r="K260" s="246">
        <f t="shared" ref="K260:K267" si="379">SUMPRODUCT((RO_gen=B260)*((Phase="GPA")))</f>
        <v>6</v>
      </c>
      <c r="L260" s="247">
        <f t="shared" ref="L260:L267" si="380">K260/$K$268</f>
        <v>0.54545454545454541</v>
      </c>
      <c r="M260" s="244">
        <f>C260+E260+G260+I260+K260</f>
        <v>11</v>
      </c>
      <c r="N260" s="325" t="s">
        <v>211</v>
      </c>
      <c r="O260" s="329">
        <f>P260/$P$263</f>
        <v>0.31707317073170732</v>
      </c>
      <c r="P260" s="328">
        <f>C268</f>
        <v>13</v>
      </c>
      <c r="W260" s="168"/>
      <c r="AE260" s="168"/>
      <c r="AF260" s="168"/>
      <c r="AG260" s="168"/>
      <c r="AH260" s="168"/>
      <c r="AI260" s="168"/>
      <c r="AJ260" s="168"/>
      <c r="AN260" s="43"/>
      <c r="AO260" s="43"/>
      <c r="AP260" s="284"/>
      <c r="AR260" s="12"/>
      <c r="AS260" s="5"/>
      <c r="AT260" s="5"/>
      <c r="AU260" s="5"/>
    </row>
    <row r="261" spans="1:52" s="28" customFormat="1" ht="16.2" thickBot="1">
      <c r="A261" s="50"/>
      <c r="B261" s="258" t="s">
        <v>15</v>
      </c>
      <c r="C261" s="254">
        <f t="shared" si="371"/>
        <v>0</v>
      </c>
      <c r="D261" s="255">
        <f t="shared" si="372"/>
        <v>0</v>
      </c>
      <c r="E261" s="254">
        <f t="shared" si="373"/>
        <v>0</v>
      </c>
      <c r="F261" s="256">
        <f t="shared" si="374"/>
        <v>0</v>
      </c>
      <c r="G261" s="254">
        <f t="shared" si="375"/>
        <v>0</v>
      </c>
      <c r="H261" s="256">
        <f t="shared" si="376"/>
        <v>0</v>
      </c>
      <c r="I261" s="254">
        <f t="shared" si="377"/>
        <v>0</v>
      </c>
      <c r="J261" s="256">
        <f t="shared" si="378"/>
        <v>0</v>
      </c>
      <c r="K261" s="257">
        <f t="shared" si="379"/>
        <v>0</v>
      </c>
      <c r="L261" s="256">
        <f t="shared" si="380"/>
        <v>0</v>
      </c>
      <c r="M261" s="244">
        <f t="shared" ref="M261:M267" si="381">C261+E261+G261+I261+K261</f>
        <v>0</v>
      </c>
      <c r="N261" s="326" t="s">
        <v>198</v>
      </c>
      <c r="O261" s="329">
        <f>P261/$P$263</f>
        <v>0.24390243902439024</v>
      </c>
      <c r="P261" s="328">
        <f>E268+G268</f>
        <v>10</v>
      </c>
      <c r="W261" s="168"/>
      <c r="AE261" s="168"/>
      <c r="AF261" s="168"/>
      <c r="AG261" s="168"/>
      <c r="AH261" s="168"/>
      <c r="AI261" s="168"/>
      <c r="AJ261" s="168"/>
      <c r="AN261" s="43"/>
      <c r="AO261" s="43"/>
      <c r="AP261" s="284"/>
      <c r="AR261" s="315"/>
      <c r="AS261" s="315"/>
      <c r="AT261" s="315"/>
      <c r="AU261" s="315"/>
    </row>
    <row r="262" spans="1:52" s="28" customFormat="1" ht="16.2" thickBot="1">
      <c r="A262" s="50"/>
      <c r="B262" s="124" t="s">
        <v>291</v>
      </c>
      <c r="C262" s="254">
        <f t="shared" si="371"/>
        <v>7</v>
      </c>
      <c r="D262" s="255">
        <f t="shared" si="372"/>
        <v>0.53846153846153844</v>
      </c>
      <c r="E262" s="254">
        <f>SUMPRODUCT((RO_gen=B262)*((Phase="PRO")+(Phase="DCE")+(Phase="AO")))</f>
        <v>2</v>
      </c>
      <c r="F262" s="256">
        <f t="shared" si="374"/>
        <v>0.22222222222222221</v>
      </c>
      <c r="G262" s="254">
        <f t="shared" si="375"/>
        <v>0</v>
      </c>
      <c r="H262" s="256">
        <f t="shared" si="376"/>
        <v>0</v>
      </c>
      <c r="I262" s="254">
        <f>SUMPRODUCT((RO_gen=B262)*((Phase="Travaux")+(Phase="Réception")))</f>
        <v>1</v>
      </c>
      <c r="J262" s="256">
        <f t="shared" si="378"/>
        <v>0.14285714285714285</v>
      </c>
      <c r="K262" s="257">
        <f t="shared" si="379"/>
        <v>0</v>
      </c>
      <c r="L262" s="256">
        <f t="shared" si="380"/>
        <v>0</v>
      </c>
      <c r="M262" s="244">
        <f t="shared" si="381"/>
        <v>10</v>
      </c>
      <c r="N262" s="327" t="s">
        <v>136</v>
      </c>
      <c r="O262" s="329">
        <f>P262/$P$263</f>
        <v>0.43902439024390244</v>
      </c>
      <c r="P262" s="328">
        <f>I268+K268</f>
        <v>18</v>
      </c>
      <c r="W262" s="168"/>
      <c r="AE262" s="168"/>
      <c r="AF262" s="168"/>
      <c r="AG262" s="168"/>
      <c r="AH262" s="168"/>
      <c r="AI262" s="168"/>
      <c r="AJ262" s="168"/>
      <c r="AN262" s="43"/>
      <c r="AO262" s="43"/>
      <c r="AP262" s="284"/>
      <c r="AR262" s="12"/>
      <c r="AS262" s="12"/>
      <c r="AT262" s="12"/>
      <c r="AU262" s="12"/>
      <c r="AV262" s="5"/>
    </row>
    <row r="263" spans="1:52" s="28" customFormat="1">
      <c r="A263" s="50"/>
      <c r="B263" s="259" t="s">
        <v>103</v>
      </c>
      <c r="C263" s="254">
        <f t="shared" si="371"/>
        <v>2</v>
      </c>
      <c r="D263" s="255">
        <f t="shared" si="372"/>
        <v>0.15384615384615385</v>
      </c>
      <c r="E263" s="254">
        <f t="shared" si="373"/>
        <v>0</v>
      </c>
      <c r="F263" s="256">
        <f t="shared" si="374"/>
        <v>0</v>
      </c>
      <c r="G263" s="254">
        <f t="shared" si="375"/>
        <v>0</v>
      </c>
      <c r="H263" s="256">
        <f t="shared" si="376"/>
        <v>0</v>
      </c>
      <c r="I263" s="254">
        <f t="shared" si="377"/>
        <v>1</v>
      </c>
      <c r="J263" s="256">
        <f t="shared" si="378"/>
        <v>0.14285714285714285</v>
      </c>
      <c r="K263" s="257">
        <f t="shared" si="379"/>
        <v>1</v>
      </c>
      <c r="L263" s="256">
        <f t="shared" si="380"/>
        <v>9.0909090909090912E-2</v>
      </c>
      <c r="M263" s="244">
        <f>C263+E263+G263+I263+K263</f>
        <v>4</v>
      </c>
      <c r="P263" s="284">
        <f>SUM(P260:P262)</f>
        <v>41</v>
      </c>
      <c r="W263" s="168"/>
      <c r="AE263" s="168"/>
      <c r="AF263" s="168"/>
      <c r="AG263" s="168"/>
      <c r="AH263" s="168"/>
      <c r="AI263" s="168"/>
      <c r="AJ263" s="168"/>
      <c r="AN263" s="43"/>
      <c r="AO263" s="43"/>
      <c r="AP263" s="284"/>
      <c r="AR263" s="12"/>
      <c r="AS263" s="12"/>
      <c r="AT263" s="12"/>
      <c r="AU263" s="12"/>
      <c r="AV263" s="5"/>
    </row>
    <row r="264" spans="1:52" s="28" customFormat="1">
      <c r="A264" s="50"/>
      <c r="B264" s="259" t="s">
        <v>321</v>
      </c>
      <c r="C264" s="254">
        <f t="shared" ref="C264" si="382">SUMPRODUCT((RO_gen=B264)*((Phase="MOE")+(Phase="ESQ")+(Phase="APS")+(Phase="PC")+(Phase="APD")))</f>
        <v>0</v>
      </c>
      <c r="D264" s="255">
        <f t="shared" si="372"/>
        <v>0</v>
      </c>
      <c r="E264" s="254">
        <f t="shared" ref="E264" si="383">SUMPRODUCT((RO_gen=B264)*((Phase="PRO")+(Phase="DCE")+(Phase="AO")))</f>
        <v>0</v>
      </c>
      <c r="F264" s="256">
        <f t="shared" si="374"/>
        <v>0</v>
      </c>
      <c r="G264" s="254">
        <f t="shared" ref="G264" si="384">SUMPRODUCT((RO_gen=B264)*((Phase="OS")))</f>
        <v>0</v>
      </c>
      <c r="H264" s="256">
        <f t="shared" si="376"/>
        <v>0</v>
      </c>
      <c r="I264" s="254">
        <f t="shared" ref="I264" si="385">SUMPRODUCT((RO_gen=B264)*((Phase="Travaux")+(Phase="Réception")))</f>
        <v>0</v>
      </c>
      <c r="J264" s="256">
        <f t="shared" si="378"/>
        <v>0</v>
      </c>
      <c r="K264" s="257">
        <f t="shared" ref="K264" si="386">SUMPRODUCT((RO_gen=B264)*((Phase="GPA")))</f>
        <v>1</v>
      </c>
      <c r="L264" s="256">
        <f t="shared" si="380"/>
        <v>9.0909090909090912E-2</v>
      </c>
      <c r="M264" s="244">
        <f>C264+E264+G264+I264+K264</f>
        <v>1</v>
      </c>
      <c r="P264" s="284"/>
      <c r="W264" s="168"/>
      <c r="AE264" s="168"/>
      <c r="AF264" s="168"/>
      <c r="AG264" s="168"/>
      <c r="AH264" s="168"/>
      <c r="AI264" s="168"/>
      <c r="AJ264" s="168"/>
      <c r="AN264" s="43"/>
      <c r="AO264" s="43"/>
      <c r="AP264" s="284"/>
      <c r="AR264" s="12"/>
      <c r="AS264" s="315"/>
      <c r="AT264" s="545"/>
      <c r="AU264" s="315"/>
      <c r="AV264" s="5"/>
    </row>
    <row r="265" spans="1:52" s="28" customFormat="1" ht="16.2" thickBot="1">
      <c r="A265" s="50"/>
      <c r="B265" s="506" t="s">
        <v>7</v>
      </c>
      <c r="C265" s="254">
        <f t="shared" si="371"/>
        <v>0</v>
      </c>
      <c r="D265" s="255">
        <f t="shared" si="372"/>
        <v>0</v>
      </c>
      <c r="E265" s="254">
        <f t="shared" si="373"/>
        <v>0</v>
      </c>
      <c r="F265" s="256">
        <f t="shared" si="374"/>
        <v>0</v>
      </c>
      <c r="G265" s="254">
        <f t="shared" si="375"/>
        <v>1</v>
      </c>
      <c r="H265" s="256">
        <f t="shared" si="376"/>
        <v>1</v>
      </c>
      <c r="I265" s="254">
        <f t="shared" si="377"/>
        <v>2</v>
      </c>
      <c r="J265" s="256">
        <f t="shared" si="378"/>
        <v>0.2857142857142857</v>
      </c>
      <c r="K265" s="257">
        <f t="shared" si="379"/>
        <v>3</v>
      </c>
      <c r="L265" s="256">
        <f t="shared" si="380"/>
        <v>0.27272727272727271</v>
      </c>
      <c r="M265" s="244">
        <f t="shared" si="381"/>
        <v>6</v>
      </c>
      <c r="W265" s="168"/>
      <c r="AE265" s="168"/>
      <c r="AF265" s="168"/>
      <c r="AG265" s="168"/>
      <c r="AH265" s="168"/>
      <c r="AI265" s="168"/>
      <c r="AJ265" s="168"/>
      <c r="AN265" s="43"/>
      <c r="AO265" s="43"/>
      <c r="AP265" s="284"/>
      <c r="AR265" s="13"/>
      <c r="AS265" s="12"/>
      <c r="AT265" s="546"/>
      <c r="AU265" s="12"/>
      <c r="AV265" s="315"/>
      <c r="AW265" s="5"/>
    </row>
    <row r="266" spans="1:52" s="28" customFormat="1" ht="16.2" thickBot="1">
      <c r="A266" s="50"/>
      <c r="B266" s="507" t="s">
        <v>322</v>
      </c>
      <c r="C266" s="254">
        <f t="shared" si="371"/>
        <v>0</v>
      </c>
      <c r="D266" s="255">
        <f t="shared" si="372"/>
        <v>0</v>
      </c>
      <c r="E266" s="254">
        <f t="shared" si="373"/>
        <v>2</v>
      </c>
      <c r="F266" s="256">
        <f t="shared" si="374"/>
        <v>0.22222222222222221</v>
      </c>
      <c r="G266" s="254">
        <f t="shared" si="375"/>
        <v>0</v>
      </c>
      <c r="H266" s="256">
        <f t="shared" si="376"/>
        <v>0</v>
      </c>
      <c r="I266" s="254">
        <f t="shared" si="377"/>
        <v>0</v>
      </c>
      <c r="J266" s="256">
        <f t="shared" si="378"/>
        <v>0</v>
      </c>
      <c r="K266" s="257">
        <f t="shared" si="379"/>
        <v>0</v>
      </c>
      <c r="L266" s="256">
        <f t="shared" si="380"/>
        <v>0</v>
      </c>
      <c r="M266" s="244">
        <f>C266+E266+G266+I266+K266</f>
        <v>2</v>
      </c>
      <c r="N266" s="325" t="s">
        <v>211</v>
      </c>
      <c r="O266" s="328">
        <f>P260</f>
        <v>13</v>
      </c>
      <c r="W266" s="168"/>
      <c r="AE266" s="168"/>
      <c r="AF266" s="168"/>
      <c r="AG266" s="168"/>
      <c r="AH266" s="168"/>
      <c r="AI266" s="168"/>
      <c r="AJ266" s="168"/>
      <c r="AN266" s="43"/>
      <c r="AO266" s="43"/>
      <c r="AP266" s="284"/>
      <c r="AR266" s="13"/>
      <c r="AS266" s="12"/>
      <c r="AT266" s="546"/>
      <c r="AU266" s="12"/>
      <c r="AV266" s="12"/>
      <c r="AW266" s="5"/>
    </row>
    <row r="267" spans="1:52" ht="16.2" thickBot="1">
      <c r="B267" s="253" t="s">
        <v>104</v>
      </c>
      <c r="C267" s="254">
        <f t="shared" si="371"/>
        <v>2</v>
      </c>
      <c r="D267" s="249">
        <f t="shared" si="372"/>
        <v>0.15384615384615385</v>
      </c>
      <c r="E267" s="248">
        <f>SUMPRODUCT((RO_gen=B267)*((Phase="PRO")+(Phase="DCE")+(Phase="AO")))</f>
        <v>3</v>
      </c>
      <c r="F267" s="251">
        <f t="shared" si="374"/>
        <v>0.33333333333333331</v>
      </c>
      <c r="G267" s="248">
        <f t="shared" si="375"/>
        <v>0</v>
      </c>
      <c r="H267" s="251">
        <f t="shared" si="376"/>
        <v>0</v>
      </c>
      <c r="I267" s="248">
        <f t="shared" si="377"/>
        <v>2</v>
      </c>
      <c r="J267" s="251">
        <f t="shared" si="378"/>
        <v>0.2857142857142857</v>
      </c>
      <c r="K267" s="250">
        <f t="shared" si="379"/>
        <v>0</v>
      </c>
      <c r="L267" s="251">
        <f t="shared" si="380"/>
        <v>0</v>
      </c>
      <c r="M267" s="244">
        <f t="shared" si="381"/>
        <v>7</v>
      </c>
      <c r="N267" s="326" t="s">
        <v>198</v>
      </c>
      <c r="O267" s="328">
        <f>P261</f>
        <v>10</v>
      </c>
      <c r="P267" s="28"/>
      <c r="Q267" s="28"/>
      <c r="R267" s="28"/>
      <c r="S267" s="28"/>
      <c r="T267" s="28"/>
      <c r="U267" s="28"/>
      <c r="V267" s="28"/>
      <c r="W267" s="168"/>
      <c r="X267" s="28"/>
      <c r="Y267" s="28"/>
      <c r="Z267" s="28"/>
      <c r="AA267" s="28"/>
      <c r="AB267" s="28"/>
      <c r="AC267" s="5"/>
      <c r="AD267" s="5"/>
      <c r="AE267" s="168"/>
      <c r="AF267" s="168"/>
      <c r="AG267" s="168"/>
      <c r="AH267" s="168"/>
      <c r="AI267" s="168"/>
      <c r="AJ267" s="168"/>
      <c r="AK267" s="5"/>
      <c r="AS267" s="13"/>
      <c r="AT267" s="547"/>
      <c r="AU267" s="13"/>
      <c r="AV267" s="12"/>
      <c r="AW267" s="12"/>
    </row>
    <row r="268" spans="1:52" ht="16.2" thickBot="1">
      <c r="B268" s="50"/>
      <c r="C268" s="260">
        <f t="shared" ref="C268:M268" si="387">SUM(C260:C267)</f>
        <v>13</v>
      </c>
      <c r="D268" s="261">
        <f t="shared" si="387"/>
        <v>1</v>
      </c>
      <c r="E268" s="260">
        <f t="shared" si="387"/>
        <v>9</v>
      </c>
      <c r="F268" s="113">
        <f t="shared" si="387"/>
        <v>1</v>
      </c>
      <c r="G268" s="262">
        <f t="shared" si="387"/>
        <v>1</v>
      </c>
      <c r="H268" s="261">
        <f t="shared" si="387"/>
        <v>1</v>
      </c>
      <c r="I268" s="260">
        <f t="shared" si="387"/>
        <v>7</v>
      </c>
      <c r="J268" s="263">
        <f t="shared" si="387"/>
        <v>0.99999999999999989</v>
      </c>
      <c r="K268" s="262">
        <f t="shared" si="387"/>
        <v>11</v>
      </c>
      <c r="L268" s="263">
        <f t="shared" si="387"/>
        <v>1</v>
      </c>
      <c r="M268" s="244">
        <f t="shared" si="387"/>
        <v>41</v>
      </c>
      <c r="N268" s="327" t="s">
        <v>136</v>
      </c>
      <c r="O268" s="328">
        <f>P262</f>
        <v>18</v>
      </c>
      <c r="P268" s="28"/>
      <c r="Q268" s="28"/>
      <c r="R268" s="28"/>
      <c r="S268" s="28"/>
      <c r="T268" s="28"/>
      <c r="U268" s="28"/>
      <c r="V268" s="28"/>
      <c r="W268" s="168"/>
      <c r="X268" s="28"/>
      <c r="Y268" s="28"/>
      <c r="Z268" s="28"/>
      <c r="AA268" s="28"/>
      <c r="AB268" s="28"/>
      <c r="AC268" s="168"/>
      <c r="AD268" s="168"/>
      <c r="AE268" s="168"/>
      <c r="AF268" s="168"/>
      <c r="AG268" s="168"/>
      <c r="AH268" s="168"/>
      <c r="AI268" s="168"/>
      <c r="AJ268" s="168"/>
      <c r="AK268" s="5"/>
      <c r="AS268" s="13"/>
      <c r="AT268" s="547"/>
      <c r="AU268" s="13"/>
      <c r="AV268" s="13"/>
      <c r="AW268" s="13"/>
    </row>
    <row r="269" spans="1:52" s="315" customFormat="1" ht="29.85" customHeight="1">
      <c r="A269" s="50"/>
      <c r="B269" s="83"/>
      <c r="C269" s="242">
        <f>C268-(COUNTIF(Phase,"MOE")+COUNTIF(Phase,"ESQ")+COUNTIF(Phase,"APS")+COUNTIF(Phase,"PC")+COUNTIF(Phase,"APD"))</f>
        <v>-2</v>
      </c>
      <c r="D269" s="243"/>
      <c r="E269" s="242">
        <f>E268-(COUNTIF(Phase,"PRO")+COUNTIF(Phase,"DCE")+COUNTIF(Phase,"AO"))</f>
        <v>0</v>
      </c>
      <c r="F269" s="244"/>
      <c r="G269" s="242">
        <f>G268-(COUNTIF(Phase,"OS"))</f>
        <v>0</v>
      </c>
      <c r="H269" s="244"/>
      <c r="I269" s="242">
        <f>I268-(COUNTIF(Phase,"Travaux")+COUNTIF(Phase,"Réception"))</f>
        <v>0</v>
      </c>
      <c r="J269" s="244"/>
      <c r="K269" s="242">
        <f>K268-(COUNTIF(Phase,"GPA"))</f>
        <v>0</v>
      </c>
      <c r="L269" s="139"/>
      <c r="M269" s="242">
        <f>M268-X236</f>
        <v>-2</v>
      </c>
      <c r="N269" s="28"/>
      <c r="O269" s="284">
        <f>SUM(O266:O268)</f>
        <v>41</v>
      </c>
      <c r="P269" s="28"/>
      <c r="Q269" s="28"/>
      <c r="R269" s="28"/>
      <c r="S269" s="28"/>
      <c r="T269" s="28"/>
      <c r="U269" s="28"/>
      <c r="V269" s="28"/>
      <c r="W269" s="168"/>
      <c r="X269" s="28"/>
      <c r="Y269" s="28"/>
      <c r="Z269" s="28"/>
      <c r="AA269" s="28"/>
      <c r="AB269" s="28"/>
      <c r="AE269" s="779"/>
      <c r="AF269" s="779"/>
      <c r="AG269" s="779"/>
      <c r="AH269" s="779"/>
      <c r="AI269" s="779"/>
      <c r="AJ269" s="779"/>
      <c r="AN269" s="754"/>
      <c r="AO269" s="754"/>
      <c r="AR269" s="5"/>
      <c r="AS269" s="5"/>
      <c r="AT269" s="139"/>
      <c r="AU269" s="5"/>
      <c r="AV269" s="13"/>
      <c r="AW269" s="13"/>
      <c r="AX269" s="12"/>
      <c r="AY269" s="12"/>
      <c r="AZ269" s="12"/>
    </row>
    <row r="270" spans="1:52" s="12" customFormat="1">
      <c r="A270" s="50"/>
      <c r="B270" s="83"/>
      <c r="C270" s="195"/>
      <c r="D270" s="240"/>
      <c r="E270" s="195"/>
      <c r="F270" s="195"/>
      <c r="G270" s="241"/>
      <c r="H270" s="195"/>
      <c r="I270" s="195"/>
      <c r="J270" s="195"/>
      <c r="K270" s="5"/>
      <c r="L270" s="139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168"/>
      <c r="X270" s="28"/>
      <c r="Y270" s="28"/>
      <c r="Z270" s="28"/>
      <c r="AA270" s="28"/>
      <c r="AB270" s="28"/>
      <c r="AE270" s="171"/>
      <c r="AF270" s="171"/>
      <c r="AG270" s="171"/>
      <c r="AH270" s="171"/>
      <c r="AI270" s="171"/>
      <c r="AJ270" s="171"/>
      <c r="AN270" s="43"/>
      <c r="AO270" s="43"/>
      <c r="AR270" s="5"/>
      <c r="AS270" s="5"/>
      <c r="AT270" s="139"/>
      <c r="AU270" s="5"/>
      <c r="AV270" s="5"/>
      <c r="AW270" s="5"/>
      <c r="AX270" s="13"/>
      <c r="AY270" s="13"/>
      <c r="AZ270" s="13"/>
    </row>
    <row r="271" spans="1:52" s="12" customFormat="1">
      <c r="A271" s="50"/>
      <c r="B271" s="50"/>
      <c r="C271" s="492"/>
      <c r="D271" s="240"/>
      <c r="E271" s="492"/>
      <c r="F271" s="492"/>
      <c r="G271" s="241"/>
      <c r="H271" s="492"/>
      <c r="I271" s="492"/>
      <c r="J271" s="492"/>
      <c r="K271" s="5"/>
      <c r="L271" s="139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168"/>
      <c r="X271" s="28"/>
      <c r="Y271" s="28"/>
      <c r="Z271" s="28"/>
      <c r="AA271" s="28"/>
      <c r="AB271" s="28"/>
      <c r="AE271" s="171"/>
      <c r="AF271" s="171"/>
      <c r="AG271" s="171"/>
      <c r="AH271" s="171"/>
      <c r="AI271" s="171"/>
      <c r="AJ271" s="171"/>
      <c r="AN271" s="43"/>
      <c r="AO271" s="43"/>
      <c r="AR271" s="5"/>
      <c r="AS271" s="5"/>
      <c r="AT271" s="139"/>
      <c r="AU271" s="5"/>
      <c r="AV271" s="5"/>
      <c r="AW271" s="5"/>
      <c r="AX271" s="13"/>
      <c r="AY271" s="13"/>
      <c r="AZ271" s="13"/>
    </row>
    <row r="272" spans="1:52" s="13" customFormat="1">
      <c r="A272" s="50"/>
      <c r="B272" s="5"/>
      <c r="C272" s="50"/>
      <c r="D272" s="50"/>
      <c r="E272" s="50"/>
      <c r="F272" s="50"/>
      <c r="G272" s="83"/>
      <c r="H272" s="50"/>
      <c r="I272" s="50"/>
      <c r="J272" s="50"/>
      <c r="K272" s="5"/>
      <c r="L272" s="139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168"/>
      <c r="X272" s="28"/>
      <c r="Y272" s="28"/>
      <c r="Z272" s="28"/>
      <c r="AA272" s="28"/>
      <c r="AB272" s="28"/>
      <c r="AE272" s="780"/>
      <c r="AF272" s="780"/>
      <c r="AG272" s="780"/>
      <c r="AH272" s="780"/>
      <c r="AI272" s="780"/>
      <c r="AJ272" s="780"/>
      <c r="AN272" s="755"/>
      <c r="AO272" s="755"/>
      <c r="AR272" s="83"/>
      <c r="AS272" s="5"/>
      <c r="AT272" s="139"/>
      <c r="AU272" s="5"/>
      <c r="AV272" s="5"/>
      <c r="AW272" s="5"/>
      <c r="AX272" s="5"/>
      <c r="AY272" s="5"/>
      <c r="AZ272" s="5"/>
    </row>
    <row r="273" spans="1:52" s="13" customFormat="1">
      <c r="A273" s="50"/>
      <c r="B273" s="5"/>
      <c r="C273" s="1331" t="s">
        <v>330</v>
      </c>
      <c r="D273" s="1331"/>
      <c r="E273" s="1331"/>
      <c r="F273" s="1331"/>
      <c r="G273" s="1331"/>
      <c r="H273" s="1331"/>
      <c r="I273" s="1331"/>
      <c r="J273" s="1331"/>
      <c r="K273" s="1331"/>
      <c r="L273" s="1331"/>
      <c r="M273" s="1331"/>
      <c r="N273" s="1331"/>
      <c r="O273" s="1331"/>
      <c r="P273" s="1331"/>
      <c r="Q273" s="1331"/>
      <c r="R273" s="1331"/>
      <c r="S273" s="1331"/>
      <c r="T273" s="1331"/>
      <c r="U273" s="1331"/>
      <c r="V273" s="28"/>
      <c r="W273" s="168"/>
      <c r="X273" s="28"/>
      <c r="Y273" s="28"/>
      <c r="Z273" s="28"/>
      <c r="AA273" s="28"/>
      <c r="AB273" s="28"/>
      <c r="AE273" s="780"/>
      <c r="AF273" s="780"/>
      <c r="AG273" s="780"/>
      <c r="AH273" s="780"/>
      <c r="AI273" s="780"/>
      <c r="AJ273" s="780"/>
      <c r="AN273" s="755"/>
      <c r="AO273" s="755"/>
      <c r="AR273" s="139"/>
      <c r="AS273" s="5"/>
      <c r="AT273" s="139"/>
      <c r="AU273" s="5"/>
      <c r="AV273" s="5"/>
      <c r="AW273" s="5"/>
      <c r="AX273" s="5"/>
      <c r="AY273" s="5"/>
      <c r="AZ273" s="5"/>
    </row>
    <row r="274" spans="1:52">
      <c r="A274"/>
      <c r="B274" s="193"/>
      <c r="C274" s="1331"/>
      <c r="D274" s="1331"/>
      <c r="E274" s="1331"/>
      <c r="F274" s="1331"/>
      <c r="G274" s="1331"/>
      <c r="H274" s="1331"/>
      <c r="I274" s="1331"/>
      <c r="J274" s="1331"/>
      <c r="K274" s="1331"/>
      <c r="L274" s="1331"/>
      <c r="M274" s="1331"/>
      <c r="N274" s="1331"/>
      <c r="O274" s="1331"/>
      <c r="P274" s="1331"/>
      <c r="Q274" s="1331"/>
      <c r="R274" s="1331"/>
      <c r="S274" s="1331"/>
      <c r="T274" s="1331"/>
      <c r="U274" s="1331"/>
      <c r="V274" s="5"/>
      <c r="W274" s="168"/>
      <c r="X274" s="5"/>
      <c r="Y274" s="5"/>
      <c r="Z274" s="5"/>
      <c r="AA274" s="5"/>
      <c r="AB274" s="5"/>
      <c r="AC274" s="5"/>
      <c r="AD274" s="5"/>
      <c r="AE274" s="168"/>
      <c r="AF274" s="168"/>
      <c r="AG274" s="168"/>
      <c r="AH274" s="168"/>
      <c r="AI274" s="168"/>
      <c r="AJ274" s="168"/>
      <c r="AK274" s="5"/>
      <c r="AP274" s="5"/>
      <c r="AR274" s="241"/>
      <c r="AS274" s="83"/>
    </row>
    <row r="275" spans="1:52" ht="16.2" thickBot="1">
      <c r="B275" s="193"/>
      <c r="C275" s="193"/>
      <c r="D275" s="193"/>
      <c r="E275" s="50"/>
      <c r="F275" s="50"/>
      <c r="G275" s="83"/>
      <c r="H275" s="50"/>
      <c r="I275"/>
      <c r="J275"/>
      <c r="K275"/>
      <c r="L275" s="140"/>
      <c r="M275" s="28"/>
      <c r="N275" s="28"/>
      <c r="O275" s="28"/>
      <c r="P275" s="28"/>
      <c r="Q275" s="28"/>
      <c r="R275" s="28"/>
      <c r="S275" s="28"/>
      <c r="T275" s="28"/>
      <c r="U275" s="28"/>
      <c r="V275" s="5"/>
      <c r="W275" s="5"/>
      <c r="X275" s="5"/>
      <c r="Y275" s="5"/>
      <c r="Z275" s="168"/>
      <c r="AA275" s="5"/>
      <c r="AB275" s="5"/>
      <c r="AC275" s="168"/>
      <c r="AD275" s="168"/>
      <c r="AE275" s="168"/>
      <c r="AF275" s="168"/>
      <c r="AG275" s="168"/>
      <c r="AH275" s="168"/>
      <c r="AI275" s="5"/>
      <c r="AJ275" s="5"/>
      <c r="AK275" s="5"/>
      <c r="AL275" s="43"/>
      <c r="AM275" s="43"/>
      <c r="AN275" s="5"/>
      <c r="AO275" s="5"/>
      <c r="AP275" s="5"/>
      <c r="AQ275" s="83"/>
    </row>
    <row r="276" spans="1:52" ht="27" thickBot="1">
      <c r="A276" s="193"/>
      <c r="B276" s="193"/>
      <c r="C276" s="193"/>
      <c r="D276" s="193"/>
      <c r="E276" s="1340">
        <v>2013</v>
      </c>
      <c r="F276" s="1341"/>
      <c r="G276" s="1334">
        <v>2014</v>
      </c>
      <c r="H276" s="1335"/>
      <c r="I276" s="1336">
        <v>2015</v>
      </c>
      <c r="J276" s="1337"/>
      <c r="K276" s="1332">
        <v>2016</v>
      </c>
      <c r="L276" s="1333"/>
      <c r="M276" s="1338">
        <v>2017</v>
      </c>
      <c r="N276" s="1339"/>
      <c r="O276" s="1327">
        <v>2018</v>
      </c>
      <c r="P276" s="1328"/>
      <c r="Q276" s="1329">
        <v>2019</v>
      </c>
      <c r="R276" s="1330"/>
      <c r="S276" s="1342">
        <v>2020</v>
      </c>
      <c r="T276" s="1343"/>
      <c r="U276" s="549" t="s">
        <v>329</v>
      </c>
      <c r="V276" s="45"/>
      <c r="W276" s="45"/>
      <c r="X276" s="194"/>
      <c r="Y276" s="314"/>
      <c r="Z276" s="315"/>
      <c r="AA276" s="315"/>
      <c r="AB276" s="315"/>
      <c r="AC276" s="5"/>
      <c r="AD276" s="5"/>
      <c r="AE276" s="168"/>
      <c r="AF276" s="168"/>
      <c r="AG276" s="168"/>
      <c r="AH276" s="168"/>
      <c r="AI276" s="168"/>
      <c r="AJ276" s="168"/>
      <c r="AK276" s="5"/>
      <c r="AP276" s="5"/>
    </row>
    <row r="277" spans="1:52" ht="16.2" thickBot="1">
      <c r="C277" s="28"/>
      <c r="D277" s="28"/>
      <c r="E277" s="80" t="s">
        <v>105</v>
      </c>
      <c r="F277" s="87" t="s">
        <v>106</v>
      </c>
      <c r="G277" s="80" t="s">
        <v>105</v>
      </c>
      <c r="H277" s="87" t="s">
        <v>106</v>
      </c>
      <c r="I277" s="80" t="s">
        <v>105</v>
      </c>
      <c r="J277" s="87" t="s">
        <v>106</v>
      </c>
      <c r="K277" s="80" t="s">
        <v>105</v>
      </c>
      <c r="L277" s="87" t="s">
        <v>106</v>
      </c>
      <c r="M277" s="80" t="s">
        <v>105</v>
      </c>
      <c r="N277" s="87" t="s">
        <v>106</v>
      </c>
      <c r="O277" s="80" t="s">
        <v>105</v>
      </c>
      <c r="P277" s="87" t="s">
        <v>106</v>
      </c>
      <c r="Q277" s="80" t="s">
        <v>105</v>
      </c>
      <c r="R277" s="87" t="s">
        <v>106</v>
      </c>
      <c r="S277" s="80" t="s">
        <v>105</v>
      </c>
      <c r="T277" s="87" t="s">
        <v>106</v>
      </c>
      <c r="U277" s="550"/>
      <c r="V277"/>
      <c r="W277"/>
      <c r="X277" s="12"/>
      <c r="Y277" s="171"/>
      <c r="Z277" s="12"/>
      <c r="AA277" s="12"/>
      <c r="AB277" s="12"/>
      <c r="AC277" s="5"/>
      <c r="AD277" s="5"/>
      <c r="AE277" s="168"/>
      <c r="AF277" s="168"/>
      <c r="AG277" s="168"/>
      <c r="AH277" s="168"/>
      <c r="AI277" s="168"/>
      <c r="AJ277" s="168"/>
      <c r="AK277" s="5"/>
      <c r="AP277" s="5"/>
    </row>
    <row r="278" spans="1:52" ht="15">
      <c r="A278"/>
      <c r="B278" s="72" t="s">
        <v>12</v>
      </c>
      <c r="C278" s="316" t="e">
        <f t="shared" ref="C278:C284" si="388">E278+G278+I278+K278+U278+M278+O278+Q278</f>
        <v>#REF!</v>
      </c>
      <c r="D278" s="316">
        <f>F278+H278+J278+L278+N278+P278+R278</f>
        <v>9</v>
      </c>
      <c r="E278" s="134">
        <f t="shared" ref="E278:E284" si="389">SUMPRODUCT((RO_2013=B278)*(Rem2013en2020))</f>
        <v>0</v>
      </c>
      <c r="F278" s="81">
        <f t="shared" ref="F278:F284" si="390">SUMPRODUCT((RO_2013=B278)*(Phase2013&lt;&gt;"fin"))</f>
        <v>0</v>
      </c>
      <c r="G278" s="134">
        <f t="shared" ref="G278:G284" si="391">SUMPRODUCT((RO_2014=B278)*(Rem2014en2020))</f>
        <v>0</v>
      </c>
      <c r="H278" s="81">
        <f t="shared" ref="H278:H284" si="392">SUMPRODUCT((RO_2014=B278)*(Phase2014&lt;&gt;"fin"))</f>
        <v>1</v>
      </c>
      <c r="I278" s="134">
        <f t="shared" ref="I278:I284" si="393">SUMPRODUCT((RO_2015=B278)*(Rem2015en2020))</f>
        <v>10343</v>
      </c>
      <c r="J278" s="81">
        <f t="shared" ref="J278:J284" si="394">SUMPRODUCT((RO_2015=B278)*(Phase2015&lt;&gt;"fin"))</f>
        <v>3</v>
      </c>
      <c r="K278" s="134">
        <f t="shared" ref="K278:K284" si="395">SUMPRODUCT((RO_2016=B278)*(Rem2016en2020))</f>
        <v>36092</v>
      </c>
      <c r="L278" s="81">
        <f t="shared" ref="L278:L284" si="396">SUMPRODUCT((RO_2016=B278)*(Phase2016&lt;&gt;"fin"))</f>
        <v>3</v>
      </c>
      <c r="M278" s="134">
        <f t="shared" ref="M278:M284" si="397">SUMPRODUCT((RO_2017=B278)*(Rem2017en2020))</f>
        <v>0</v>
      </c>
      <c r="N278" s="81">
        <f t="shared" ref="N278:N284" si="398">SUMPRODUCT((RO_2017=B278)*(Phase2017&lt;&gt;"fin"))</f>
        <v>0</v>
      </c>
      <c r="O278" s="134">
        <f t="shared" ref="O278:O284" si="399">SUMPRODUCT((RO_2018=B278)*(Rem2018en2020))</f>
        <v>0</v>
      </c>
      <c r="P278" s="81">
        <f t="shared" ref="P278:P284" si="400">SUMPRODUCT((RO_2018=B278)*(Phase2018&lt;&gt;"fin"))</f>
        <v>0</v>
      </c>
      <c r="Q278" s="134">
        <f t="shared" ref="Q278:Q284" si="401">SUMPRODUCT((RO_2019=B278)*(Rem2019en2020))</f>
        <v>0</v>
      </c>
      <c r="R278" s="81">
        <f t="shared" ref="R278:R284" si="402">SUMPRODUCT((RO_2019=B278)*(Phase2019&lt;&gt;"fin"))</f>
        <v>2</v>
      </c>
      <c r="S278" s="134">
        <f t="shared" ref="S278:S284" si="403">SUMPRODUCT((RO_2020=D278)*(Rem2020en2020))</f>
        <v>0</v>
      </c>
      <c r="T278" s="81">
        <f t="shared" ref="T278:T284" si="404">SUMPRODUCT((RO_2020=B278)*(Phase2020&lt;&gt;"fin"))</f>
        <v>2</v>
      </c>
      <c r="U278" s="551" t="e">
        <f>#REF!</f>
        <v>#REF!</v>
      </c>
      <c r="V278"/>
      <c r="W278"/>
      <c r="X278" s="12"/>
      <c r="Y278" s="171"/>
      <c r="Z278" s="12"/>
      <c r="AA278" s="12"/>
      <c r="AB278" s="12"/>
      <c r="AC278" s="5"/>
      <c r="AD278" s="5"/>
      <c r="AE278" s="168"/>
      <c r="AF278" s="168"/>
      <c r="AG278" s="168"/>
      <c r="AH278" s="168"/>
      <c r="AI278" s="168"/>
      <c r="AJ278" s="168"/>
      <c r="AK278" s="5"/>
      <c r="AP278" s="5"/>
    </row>
    <row r="279" spans="1:52" s="83" customFormat="1" ht="15">
      <c r="A279"/>
      <c r="B279" s="73" t="s">
        <v>322</v>
      </c>
      <c r="C279" s="317">
        <f t="shared" si="388"/>
        <v>0</v>
      </c>
      <c r="D279" s="317">
        <f t="shared" ref="D279:D284" si="405">F279+H279+J279+L279+N279+P279+R279</f>
        <v>2</v>
      </c>
      <c r="E279" s="81">
        <f t="shared" si="389"/>
        <v>0</v>
      </c>
      <c r="F279" s="81">
        <f t="shared" si="390"/>
        <v>0</v>
      </c>
      <c r="G279" s="81">
        <f t="shared" si="391"/>
        <v>0</v>
      </c>
      <c r="H279" s="81">
        <f t="shared" si="392"/>
        <v>0</v>
      </c>
      <c r="I279" s="81">
        <f t="shared" si="393"/>
        <v>0</v>
      </c>
      <c r="J279" s="81">
        <f t="shared" si="394"/>
        <v>0</v>
      </c>
      <c r="K279" s="81">
        <f t="shared" si="395"/>
        <v>0</v>
      </c>
      <c r="L279" s="81">
        <f t="shared" si="396"/>
        <v>0</v>
      </c>
      <c r="M279" s="81">
        <f t="shared" si="397"/>
        <v>0</v>
      </c>
      <c r="N279" s="81">
        <f t="shared" si="398"/>
        <v>1</v>
      </c>
      <c r="O279" s="81">
        <f t="shared" si="399"/>
        <v>0</v>
      </c>
      <c r="P279" s="81">
        <f t="shared" si="400"/>
        <v>1</v>
      </c>
      <c r="Q279" s="81">
        <f t="shared" si="401"/>
        <v>0</v>
      </c>
      <c r="R279" s="81">
        <f t="shared" si="402"/>
        <v>0</v>
      </c>
      <c r="S279" s="81">
        <f t="shared" si="403"/>
        <v>0</v>
      </c>
      <c r="T279" s="81">
        <f t="shared" si="404"/>
        <v>0</v>
      </c>
      <c r="U279" s="551"/>
      <c r="V279"/>
      <c r="W279"/>
      <c r="X279" s="12"/>
      <c r="Y279" s="171"/>
      <c r="Z279" s="13"/>
      <c r="AA279" s="13"/>
      <c r="AB279" s="13"/>
      <c r="AE279" s="170"/>
      <c r="AF279" s="170"/>
      <c r="AG279" s="170"/>
      <c r="AH279" s="170"/>
      <c r="AI279" s="170"/>
      <c r="AJ279" s="170"/>
      <c r="AN279" s="756"/>
      <c r="AO279" s="756"/>
      <c r="AR279" s="5"/>
      <c r="AS279" s="5"/>
      <c r="AT279" s="5"/>
      <c r="AU279" s="5"/>
      <c r="AV279" s="5"/>
      <c r="AW279" s="5"/>
      <c r="AX279" s="5"/>
      <c r="AY279" s="5"/>
      <c r="AZ279" s="5"/>
    </row>
    <row r="280" spans="1:52" ht="15">
      <c r="A280"/>
      <c r="B280" s="74" t="s">
        <v>103</v>
      </c>
      <c r="C280" s="317" t="e">
        <f t="shared" si="388"/>
        <v>#REF!</v>
      </c>
      <c r="D280" s="317">
        <f t="shared" si="405"/>
        <v>2</v>
      </c>
      <c r="E280" s="81">
        <f t="shared" si="389"/>
        <v>0</v>
      </c>
      <c r="F280" s="81">
        <f t="shared" si="390"/>
        <v>1</v>
      </c>
      <c r="G280" s="81">
        <f t="shared" si="391"/>
        <v>0</v>
      </c>
      <c r="H280" s="81">
        <f t="shared" si="392"/>
        <v>0</v>
      </c>
      <c r="I280" s="81">
        <f t="shared" si="393"/>
        <v>0</v>
      </c>
      <c r="J280" s="81">
        <f t="shared" si="394"/>
        <v>1</v>
      </c>
      <c r="K280" s="81">
        <f t="shared" si="395"/>
        <v>0</v>
      </c>
      <c r="L280" s="81">
        <f t="shared" si="396"/>
        <v>0</v>
      </c>
      <c r="M280" s="81">
        <f t="shared" si="397"/>
        <v>0</v>
      </c>
      <c r="N280" s="81">
        <f t="shared" si="398"/>
        <v>0</v>
      </c>
      <c r="O280" s="81">
        <f t="shared" si="399"/>
        <v>0</v>
      </c>
      <c r="P280" s="81">
        <f t="shared" si="400"/>
        <v>0</v>
      </c>
      <c r="Q280" s="81">
        <f t="shared" si="401"/>
        <v>0</v>
      </c>
      <c r="R280" s="81">
        <f t="shared" si="402"/>
        <v>0</v>
      </c>
      <c r="S280" s="81">
        <f t="shared" si="403"/>
        <v>0</v>
      </c>
      <c r="T280" s="81">
        <f t="shared" si="404"/>
        <v>1</v>
      </c>
      <c r="U280" s="551" t="e">
        <f>#REF!</f>
        <v>#REF!</v>
      </c>
      <c r="V280"/>
      <c r="W280"/>
      <c r="X280" s="12"/>
      <c r="Y280" s="171"/>
      <c r="Z280" s="13"/>
      <c r="AA280" s="13"/>
      <c r="AB280" s="13"/>
      <c r="AC280" s="5"/>
      <c r="AD280" s="5"/>
      <c r="AE280" s="168"/>
      <c r="AF280" s="168"/>
      <c r="AG280" s="168"/>
      <c r="AH280" s="168"/>
      <c r="AI280" s="168"/>
      <c r="AJ280" s="168"/>
      <c r="AK280" s="5"/>
      <c r="AP280" s="5"/>
    </row>
    <row r="281" spans="1:52" ht="15">
      <c r="A281"/>
      <c r="B281" s="75" t="s">
        <v>321</v>
      </c>
      <c r="C281" s="318">
        <f t="shared" si="388"/>
        <v>0</v>
      </c>
      <c r="D281" s="317">
        <f t="shared" si="405"/>
        <v>1</v>
      </c>
      <c r="E281" s="81">
        <f t="shared" si="389"/>
        <v>0</v>
      </c>
      <c r="F281" s="81">
        <f t="shared" si="390"/>
        <v>0</v>
      </c>
      <c r="G281" s="81">
        <f t="shared" si="391"/>
        <v>0</v>
      </c>
      <c r="H281" s="81">
        <f t="shared" si="392"/>
        <v>0</v>
      </c>
      <c r="I281" s="81">
        <f t="shared" si="393"/>
        <v>0</v>
      </c>
      <c r="J281" s="81">
        <f t="shared" si="394"/>
        <v>1</v>
      </c>
      <c r="K281" s="81">
        <f t="shared" si="395"/>
        <v>0</v>
      </c>
      <c r="L281" s="81">
        <f t="shared" si="396"/>
        <v>0</v>
      </c>
      <c r="M281" s="81">
        <f t="shared" si="397"/>
        <v>0</v>
      </c>
      <c r="N281" s="81">
        <f t="shared" si="398"/>
        <v>0</v>
      </c>
      <c r="O281" s="81">
        <f t="shared" si="399"/>
        <v>0</v>
      </c>
      <c r="P281" s="81">
        <f t="shared" si="400"/>
        <v>0</v>
      </c>
      <c r="Q281" s="81">
        <f t="shared" si="401"/>
        <v>0</v>
      </c>
      <c r="R281" s="81">
        <f t="shared" si="402"/>
        <v>0</v>
      </c>
      <c r="S281" s="81">
        <f t="shared" si="403"/>
        <v>0</v>
      </c>
      <c r="T281" s="81">
        <f t="shared" si="404"/>
        <v>0</v>
      </c>
      <c r="U281" s="551"/>
      <c r="V281"/>
      <c r="W281"/>
      <c r="X281" s="5"/>
      <c r="Y281" s="168"/>
      <c r="Z281" s="5"/>
      <c r="AA281" s="5"/>
      <c r="AB281" s="5"/>
      <c r="AC281"/>
      <c r="AD281"/>
      <c r="AE281" s="778"/>
      <c r="AF281" s="778"/>
      <c r="AG281" s="778"/>
      <c r="AH281" s="778"/>
      <c r="AI281" s="778"/>
      <c r="AJ281" s="778"/>
      <c r="AK281"/>
      <c r="AL281"/>
    </row>
    <row r="282" spans="1:52" ht="15">
      <c r="A282"/>
      <c r="B282" s="76" t="s">
        <v>7</v>
      </c>
      <c r="C282" s="319">
        <f t="shared" si="388"/>
        <v>0</v>
      </c>
      <c r="D282" s="319">
        <f t="shared" si="405"/>
        <v>6</v>
      </c>
      <c r="E282" s="81">
        <f t="shared" si="389"/>
        <v>0</v>
      </c>
      <c r="F282" s="81">
        <f t="shared" si="390"/>
        <v>0</v>
      </c>
      <c r="G282" s="81">
        <f t="shared" si="391"/>
        <v>0</v>
      </c>
      <c r="H282" s="81">
        <f t="shared" si="392"/>
        <v>0</v>
      </c>
      <c r="I282" s="81">
        <f t="shared" si="393"/>
        <v>0</v>
      </c>
      <c r="J282" s="81">
        <f t="shared" si="394"/>
        <v>1</v>
      </c>
      <c r="K282" s="81">
        <f t="shared" si="395"/>
        <v>0</v>
      </c>
      <c r="L282" s="81">
        <f t="shared" si="396"/>
        <v>0</v>
      </c>
      <c r="M282" s="81">
        <f t="shared" si="397"/>
        <v>0</v>
      </c>
      <c r="N282" s="81">
        <f t="shared" si="398"/>
        <v>2</v>
      </c>
      <c r="O282" s="81">
        <f t="shared" si="399"/>
        <v>0</v>
      </c>
      <c r="P282" s="81">
        <f t="shared" si="400"/>
        <v>1</v>
      </c>
      <c r="Q282" s="81">
        <f t="shared" si="401"/>
        <v>0</v>
      </c>
      <c r="R282" s="81">
        <f t="shared" si="402"/>
        <v>2</v>
      </c>
      <c r="S282" s="81">
        <f t="shared" si="403"/>
        <v>0</v>
      </c>
      <c r="T282" s="81">
        <f t="shared" si="404"/>
        <v>0</v>
      </c>
      <c r="U282" s="551"/>
      <c r="V282"/>
      <c r="W282"/>
      <c r="X282" s="5"/>
      <c r="Y282" s="168"/>
      <c r="Z282" s="5"/>
      <c r="AA282" s="5"/>
      <c r="AB282" s="5"/>
      <c r="AC282"/>
      <c r="AD282"/>
      <c r="AE282" s="778"/>
      <c r="AF282" s="778"/>
      <c r="AG282" s="778"/>
      <c r="AH282" s="778"/>
      <c r="AI282" s="778"/>
      <c r="AJ282" s="778"/>
      <c r="AK282"/>
      <c r="AL282"/>
    </row>
    <row r="283" spans="1:52" ht="15">
      <c r="A283"/>
      <c r="B283" s="181" t="s">
        <v>291</v>
      </c>
      <c r="C283" s="320">
        <f t="shared" si="388"/>
        <v>10609</v>
      </c>
      <c r="D283" s="319">
        <f t="shared" si="405"/>
        <v>3</v>
      </c>
      <c r="E283" s="81">
        <f t="shared" si="389"/>
        <v>0</v>
      </c>
      <c r="F283" s="81">
        <f t="shared" si="390"/>
        <v>0</v>
      </c>
      <c r="G283" s="81">
        <f t="shared" si="391"/>
        <v>0</v>
      </c>
      <c r="H283" s="81">
        <f t="shared" si="392"/>
        <v>0</v>
      </c>
      <c r="I283" s="81">
        <f t="shared" si="393"/>
        <v>0</v>
      </c>
      <c r="J283" s="81">
        <f t="shared" si="394"/>
        <v>0</v>
      </c>
      <c r="K283" s="81">
        <f t="shared" si="395"/>
        <v>0</v>
      </c>
      <c r="L283" s="81">
        <f t="shared" si="396"/>
        <v>1</v>
      </c>
      <c r="M283" s="81">
        <f t="shared" si="397"/>
        <v>10609</v>
      </c>
      <c r="N283" s="81">
        <f t="shared" si="398"/>
        <v>2</v>
      </c>
      <c r="O283" s="81">
        <f t="shared" si="399"/>
        <v>0</v>
      </c>
      <c r="P283" s="81">
        <f t="shared" si="400"/>
        <v>0</v>
      </c>
      <c r="Q283" s="81">
        <f t="shared" si="401"/>
        <v>0</v>
      </c>
      <c r="R283" s="81">
        <f t="shared" si="402"/>
        <v>0</v>
      </c>
      <c r="S283" s="81">
        <f t="shared" si="403"/>
        <v>0</v>
      </c>
      <c r="T283" s="81">
        <f t="shared" si="404"/>
        <v>5</v>
      </c>
      <c r="U283" s="551"/>
      <c r="V283" s="5"/>
      <c r="W283" s="5"/>
      <c r="X283" s="5"/>
      <c r="Y283" s="168"/>
      <c r="Z283" s="5"/>
      <c r="AA283" s="5"/>
      <c r="AB283" s="5"/>
      <c r="AC283"/>
      <c r="AD283"/>
      <c r="AE283" s="778"/>
      <c r="AF283" s="778"/>
      <c r="AG283" s="778"/>
      <c r="AH283" s="778"/>
      <c r="AI283" s="778"/>
      <c r="AJ283" s="778"/>
      <c r="AK283"/>
      <c r="AL283"/>
    </row>
    <row r="284" spans="1:52" thickBot="1">
      <c r="A284" s="17"/>
      <c r="B284" s="82" t="s">
        <v>104</v>
      </c>
      <c r="C284" s="321">
        <f t="shared" si="388"/>
        <v>180783</v>
      </c>
      <c r="D284" s="321">
        <f t="shared" si="405"/>
        <v>6</v>
      </c>
      <c r="E284" s="88">
        <f t="shared" si="389"/>
        <v>0</v>
      </c>
      <c r="F284" s="88">
        <f t="shared" si="390"/>
        <v>0</v>
      </c>
      <c r="G284" s="88">
        <f t="shared" si="391"/>
        <v>0</v>
      </c>
      <c r="H284" s="88">
        <f t="shared" si="392"/>
        <v>0</v>
      </c>
      <c r="I284" s="88">
        <f t="shared" si="393"/>
        <v>0</v>
      </c>
      <c r="J284" s="88">
        <f t="shared" si="394"/>
        <v>0</v>
      </c>
      <c r="K284" s="88">
        <f t="shared" si="395"/>
        <v>0</v>
      </c>
      <c r="L284" s="88">
        <f t="shared" si="396"/>
        <v>1</v>
      </c>
      <c r="M284" s="88">
        <f t="shared" si="397"/>
        <v>69424</v>
      </c>
      <c r="N284" s="88">
        <f t="shared" si="398"/>
        <v>2</v>
      </c>
      <c r="O284" s="88">
        <f t="shared" si="399"/>
        <v>0</v>
      </c>
      <c r="P284" s="88">
        <f t="shared" si="400"/>
        <v>1</v>
      </c>
      <c r="Q284" s="88">
        <f t="shared" si="401"/>
        <v>111359</v>
      </c>
      <c r="R284" s="88">
        <f t="shared" si="402"/>
        <v>2</v>
      </c>
      <c r="S284" s="88">
        <f t="shared" si="403"/>
        <v>0</v>
      </c>
      <c r="T284" s="88">
        <f t="shared" si="404"/>
        <v>1</v>
      </c>
      <c r="U284" s="552"/>
      <c r="V284" s="5"/>
      <c r="W284" s="5"/>
      <c r="X284" s="5"/>
      <c r="Y284" s="168"/>
      <c r="Z284" s="5"/>
      <c r="AA284" s="5"/>
      <c r="AB284" s="5"/>
      <c r="AC284"/>
      <c r="AD284"/>
      <c r="AE284" s="778"/>
      <c r="AF284" s="778"/>
      <c r="AG284" s="778"/>
      <c r="AH284" s="778"/>
      <c r="AI284" s="778"/>
      <c r="AJ284" s="778"/>
      <c r="AK284"/>
      <c r="AL284"/>
    </row>
    <row r="285" spans="1:52">
      <c r="A285" s="84"/>
      <c r="B285" s="313"/>
      <c r="C285" s="322" t="e">
        <f t="shared" ref="C285:U285" si="406">SUM(C278:C284)</f>
        <v>#REF!</v>
      </c>
      <c r="D285" s="322">
        <f t="shared" si="406"/>
        <v>29</v>
      </c>
      <c r="E285" s="86">
        <f t="shared" si="406"/>
        <v>0</v>
      </c>
      <c r="F285" s="86">
        <f t="shared" si="406"/>
        <v>1</v>
      </c>
      <c r="G285" s="86">
        <f t="shared" si="406"/>
        <v>0</v>
      </c>
      <c r="H285" s="86">
        <f t="shared" si="406"/>
        <v>1</v>
      </c>
      <c r="I285" s="86">
        <f t="shared" si="406"/>
        <v>10343</v>
      </c>
      <c r="J285" s="86">
        <f t="shared" si="406"/>
        <v>6</v>
      </c>
      <c r="K285" s="86">
        <f t="shared" si="406"/>
        <v>36092</v>
      </c>
      <c r="L285" s="86">
        <f t="shared" si="406"/>
        <v>5</v>
      </c>
      <c r="M285" s="86">
        <f t="shared" si="406"/>
        <v>80033</v>
      </c>
      <c r="N285" s="86">
        <f t="shared" si="406"/>
        <v>7</v>
      </c>
      <c r="O285" s="86">
        <f t="shared" si="406"/>
        <v>0</v>
      </c>
      <c r="P285" s="86">
        <f t="shared" si="406"/>
        <v>3</v>
      </c>
      <c r="Q285" s="86">
        <f t="shared" si="406"/>
        <v>111359</v>
      </c>
      <c r="R285" s="86">
        <f t="shared" si="406"/>
        <v>6</v>
      </c>
      <c r="S285" s="86">
        <f t="shared" si="406"/>
        <v>0</v>
      </c>
      <c r="T285" s="86">
        <f t="shared" si="406"/>
        <v>9</v>
      </c>
      <c r="U285" s="553" t="e">
        <f t="shared" si="406"/>
        <v>#REF!</v>
      </c>
      <c r="V285" s="83"/>
      <c r="W285" s="83"/>
      <c r="X285" s="83"/>
      <c r="Y285" s="170"/>
      <c r="Z285" s="83"/>
      <c r="AA285" s="83"/>
      <c r="AB285" s="83"/>
      <c r="AC285"/>
      <c r="AD285"/>
      <c r="AE285" s="778"/>
      <c r="AF285" s="778"/>
      <c r="AG285" s="778"/>
      <c r="AH285" s="778"/>
      <c r="AI285" s="778"/>
      <c r="AJ285" s="778"/>
      <c r="AK285"/>
      <c r="AL285"/>
    </row>
    <row r="286" spans="1:52">
      <c r="B286" s="312"/>
      <c r="C286" s="312" t="e">
        <f>C285-AA118</f>
        <v>#REF!</v>
      </c>
      <c r="D286" s="312"/>
      <c r="E286" s="33">
        <f>E285-AE164</f>
        <v>0</v>
      </c>
      <c r="F286" s="33"/>
      <c r="G286" s="17">
        <f>G285-AE173</f>
        <v>0</v>
      </c>
      <c r="H286" s="17"/>
      <c r="I286" s="17">
        <f>I285-AE181</f>
        <v>0</v>
      </c>
      <c r="J286" s="17"/>
      <c r="K286" s="17">
        <f>+K285-AE188</f>
        <v>0</v>
      </c>
      <c r="L286" s="17"/>
      <c r="M286" s="17">
        <f>+M285-AE195</f>
        <v>0</v>
      </c>
      <c r="O286" s="17">
        <f>+O285-AE202</f>
        <v>0</v>
      </c>
      <c r="P286" s="8"/>
      <c r="Q286" s="17">
        <f>+Q285-AE209</f>
        <v>0</v>
      </c>
      <c r="R286" s="8"/>
      <c r="S286" s="17">
        <f>+S285-AE209</f>
        <v>-111359</v>
      </c>
      <c r="T286" s="8"/>
      <c r="U286" s="558" t="e">
        <f>U285-#REF!</f>
        <v>#REF!</v>
      </c>
      <c r="W286" s="8"/>
      <c r="X286" s="94"/>
      <c r="Y286" s="5"/>
      <c r="Z286" s="5"/>
      <c r="AA286" s="5"/>
      <c r="AB286" s="5"/>
      <c r="AC286"/>
      <c r="AD286"/>
      <c r="AE286" s="778"/>
      <c r="AF286" s="778"/>
      <c r="AG286" s="778"/>
      <c r="AH286" s="778"/>
      <c r="AI286" s="778"/>
      <c r="AJ286" s="778"/>
      <c r="AK286"/>
      <c r="AL286"/>
    </row>
    <row r="287" spans="1:52">
      <c r="D287" s="330"/>
      <c r="E287" s="19"/>
      <c r="F287" s="20"/>
      <c r="G287" s="16"/>
      <c r="H287" s="16"/>
      <c r="I287" s="33"/>
      <c r="J287" s="33"/>
      <c r="K287" s="17"/>
      <c r="L287" s="1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 s="778"/>
      <c r="AD287" s="778"/>
      <c r="AE287" s="778"/>
      <c r="AF287" s="778"/>
      <c r="AG287" s="778"/>
      <c r="AH287" s="778"/>
      <c r="AI287"/>
      <c r="AJ287"/>
      <c r="AK287" s="5"/>
      <c r="AL287" s="43"/>
      <c r="AM287" s="43"/>
      <c r="AN287" s="139"/>
      <c r="AO287" s="5"/>
      <c r="AP287" s="5"/>
    </row>
    <row r="288" spans="1:52">
      <c r="E288" s="19"/>
      <c r="F288" s="20"/>
      <c r="G288" s="16"/>
      <c r="H288" s="16"/>
      <c r="I288" s="33"/>
      <c r="J288" s="33"/>
      <c r="K288" s="17"/>
      <c r="L288" s="17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 s="778"/>
      <c r="AD288" s="778"/>
      <c r="AE288" s="778"/>
      <c r="AF288" s="778"/>
      <c r="AG288" s="778"/>
      <c r="AH288" s="778"/>
      <c r="AI288"/>
      <c r="AJ288"/>
      <c r="AK288" s="5"/>
      <c r="AL288" s="43"/>
      <c r="AM288" s="43"/>
      <c r="AN288" s="139"/>
      <c r="AO288" s="5"/>
      <c r="AP288" s="5"/>
    </row>
    <row r="289" spans="1:49">
      <c r="E289" s="19"/>
      <c r="F289" s="20"/>
      <c r="G289" s="16"/>
      <c r="H289" s="16"/>
      <c r="I289" s="33"/>
      <c r="J289" s="33"/>
      <c r="K289" s="17"/>
      <c r="L289" s="17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 s="778"/>
      <c r="AD289" s="778"/>
      <c r="AE289" s="778"/>
      <c r="AF289" s="778"/>
      <c r="AG289" s="778"/>
      <c r="AH289" s="778"/>
      <c r="AI289"/>
      <c r="AJ289"/>
      <c r="AK289" s="5"/>
      <c r="AL289" s="43"/>
      <c r="AM289" s="43"/>
      <c r="AN289" s="139"/>
      <c r="AO289" s="5"/>
      <c r="AP289" s="5"/>
      <c r="AR289" s="49"/>
    </row>
    <row r="290" spans="1:49"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 s="778"/>
      <c r="AF290" s="778"/>
      <c r="AG290" s="778"/>
      <c r="AH290" s="778"/>
      <c r="AI290" s="778"/>
      <c r="AJ290" s="778"/>
      <c r="AK290"/>
      <c r="AL290"/>
      <c r="AR290" s="13"/>
    </row>
    <row r="291" spans="1:49">
      <c r="P291"/>
      <c r="Q291"/>
      <c r="R291"/>
      <c r="S291"/>
      <c r="T291"/>
      <c r="U291"/>
      <c r="V291"/>
      <c r="W291"/>
      <c r="X291"/>
      <c r="Y291"/>
      <c r="Z291"/>
      <c r="AA291"/>
      <c r="AB291"/>
      <c r="AS291" s="49"/>
      <c r="AT291" s="49"/>
      <c r="AU291" s="49"/>
    </row>
    <row r="292" spans="1:49">
      <c r="P292"/>
      <c r="Q292"/>
      <c r="R292"/>
      <c r="S292"/>
      <c r="T292"/>
      <c r="U292"/>
      <c r="V292"/>
      <c r="W292"/>
      <c r="X292"/>
      <c r="Y292"/>
      <c r="Z292"/>
      <c r="AA292"/>
      <c r="AB292"/>
      <c r="AS292" s="13"/>
      <c r="AT292" s="13"/>
      <c r="AU292" s="13"/>
    </row>
    <row r="293" spans="1:49">
      <c r="P293"/>
      <c r="Q293"/>
      <c r="R293"/>
      <c r="S293"/>
      <c r="T293"/>
      <c r="U293"/>
      <c r="V293"/>
      <c r="W293"/>
      <c r="X293"/>
      <c r="Y293"/>
      <c r="Z293"/>
      <c r="AA293"/>
      <c r="AB293"/>
    </row>
    <row r="294" spans="1:49">
      <c r="P294"/>
      <c r="Q294"/>
      <c r="R294"/>
      <c r="S294"/>
      <c r="T294"/>
      <c r="U294"/>
      <c r="V294"/>
      <c r="W294"/>
      <c r="X294"/>
      <c r="Y294"/>
      <c r="Z294"/>
      <c r="AA294"/>
      <c r="AB294"/>
      <c r="AV294" s="49"/>
    </row>
    <row r="295" spans="1:49">
      <c r="P295"/>
      <c r="Q295"/>
      <c r="R295"/>
      <c r="S295"/>
      <c r="T295"/>
      <c r="U295"/>
      <c r="V295"/>
      <c r="W295"/>
      <c r="X295"/>
      <c r="Y295"/>
      <c r="Z295"/>
      <c r="AA295"/>
      <c r="AB295"/>
      <c r="AV295" s="13"/>
    </row>
    <row r="296" spans="1:49">
      <c r="P296"/>
      <c r="Q296"/>
      <c r="R296"/>
      <c r="S296"/>
      <c r="T296"/>
      <c r="U296"/>
      <c r="V296"/>
      <c r="W296"/>
      <c r="X296"/>
      <c r="Y296"/>
      <c r="Z296"/>
      <c r="AA296"/>
      <c r="AB296"/>
      <c r="AW296" s="49"/>
    </row>
    <row r="297" spans="1:49">
      <c r="P297"/>
      <c r="Q297"/>
      <c r="R297"/>
      <c r="S297"/>
      <c r="T297"/>
      <c r="U297"/>
      <c r="V297"/>
      <c r="W297"/>
      <c r="X297"/>
      <c r="Y297"/>
      <c r="Z297"/>
      <c r="AA297"/>
      <c r="AB297"/>
      <c r="AW297" s="13"/>
    </row>
    <row r="298" spans="1:49" s="49" customFormat="1" ht="12.75" customHeight="1">
      <c r="A298" s="50"/>
      <c r="B298" s="28"/>
      <c r="C298" s="17"/>
      <c r="D298" s="16"/>
      <c r="E298" s="16"/>
      <c r="F298" s="18"/>
      <c r="G298" s="19"/>
      <c r="H298" s="20"/>
      <c r="I298" s="16"/>
      <c r="J298" s="16"/>
      <c r="K298" s="33"/>
      <c r="L298" s="33"/>
      <c r="M298" s="17"/>
      <c r="N298" s="17"/>
      <c r="O298" s="17"/>
      <c r="P298" s="17"/>
      <c r="Q298" s="17"/>
      <c r="R298" s="17"/>
      <c r="S298" s="17"/>
      <c r="T298" s="17"/>
      <c r="U298" s="17"/>
      <c r="V298" s="8"/>
      <c r="W298" s="172"/>
      <c r="X298" s="8"/>
      <c r="Y298" s="8"/>
      <c r="Z298" s="8"/>
      <c r="AA298" s="8"/>
      <c r="AB298" s="8"/>
      <c r="AC298" s="93"/>
      <c r="AD298" s="93"/>
      <c r="AE298" s="781"/>
      <c r="AF298" s="781"/>
      <c r="AG298" s="781"/>
      <c r="AH298" s="781"/>
      <c r="AI298" s="781"/>
      <c r="AJ298" s="781"/>
      <c r="AK298" s="61">
        <v>0</v>
      </c>
      <c r="AL298" s="62">
        <v>0</v>
      </c>
      <c r="AM298" s="63"/>
      <c r="AN298" s="753"/>
      <c r="AO298" s="753"/>
      <c r="AP298" s="548"/>
      <c r="AR298" s="5"/>
      <c r="AS298" s="5"/>
      <c r="AT298" s="5"/>
      <c r="AU298" s="5"/>
      <c r="AV298" s="5"/>
      <c r="AW298" s="5"/>
    </row>
    <row r="299" spans="1:49" s="13" customFormat="1">
      <c r="A299" s="50"/>
      <c r="B299" s="28"/>
      <c r="C299" s="17"/>
      <c r="D299" s="16"/>
      <c r="E299" s="16"/>
      <c r="F299" s="18"/>
      <c r="G299" s="19"/>
      <c r="H299" s="20"/>
      <c r="I299" s="16"/>
      <c r="J299" s="16"/>
      <c r="K299" s="33"/>
      <c r="L299" s="33"/>
      <c r="M299" s="17"/>
      <c r="N299" s="17"/>
      <c r="O299" s="17"/>
      <c r="P299" s="17"/>
      <c r="Q299" s="17"/>
      <c r="R299" s="17"/>
      <c r="S299" s="17"/>
      <c r="T299" s="17"/>
      <c r="U299" s="17"/>
      <c r="V299" s="8"/>
      <c r="W299" s="172"/>
      <c r="X299" s="8"/>
      <c r="Y299" s="8"/>
      <c r="Z299" s="8"/>
      <c r="AA299" s="8"/>
      <c r="AB299" s="8"/>
      <c r="AC299" s="60"/>
      <c r="AD299" s="60"/>
      <c r="AE299" s="167"/>
      <c r="AF299" s="167"/>
      <c r="AG299" s="167"/>
      <c r="AH299" s="167"/>
      <c r="AI299" s="167"/>
      <c r="AJ299" s="167"/>
      <c r="AK299" s="61">
        <v>0</v>
      </c>
      <c r="AL299" s="68">
        <f>Q306-(S306+AK299)</f>
        <v>130000</v>
      </c>
      <c r="AM299" s="63"/>
      <c r="AN299" s="753"/>
      <c r="AO299" s="753"/>
      <c r="AP299" s="547"/>
      <c r="AR299" s="5"/>
      <c r="AS299" s="5"/>
      <c r="AT299" s="5"/>
      <c r="AU299" s="5"/>
      <c r="AV299" s="5"/>
      <c r="AW299" s="5"/>
    </row>
    <row r="305" spans="1:28" ht="13.2">
      <c r="A305" s="95"/>
      <c r="B305" s="54" t="s">
        <v>115</v>
      </c>
      <c r="C305" s="55" t="s">
        <v>116</v>
      </c>
      <c r="D305" s="56">
        <v>2014</v>
      </c>
      <c r="E305" s="65">
        <f>I305</f>
        <v>25</v>
      </c>
      <c r="F305" s="56"/>
      <c r="G305" s="56"/>
      <c r="H305" s="65"/>
      <c r="I305" s="65">
        <v>25</v>
      </c>
      <c r="J305" s="56" t="s">
        <v>117</v>
      </c>
      <c r="K305" s="58" t="s">
        <v>12</v>
      </c>
      <c r="L305" s="58"/>
      <c r="M305" s="59">
        <v>4031169</v>
      </c>
      <c r="N305" s="59"/>
      <c r="O305" s="59"/>
      <c r="P305" s="59"/>
      <c r="Q305" s="59">
        <v>201558</v>
      </c>
      <c r="R305" s="59"/>
      <c r="S305" s="60">
        <v>30945</v>
      </c>
      <c r="T305" s="60"/>
      <c r="U305" s="60"/>
      <c r="V305" s="60"/>
      <c r="W305" s="167"/>
      <c r="X305" s="93">
        <v>30945</v>
      </c>
      <c r="Y305" s="93"/>
      <c r="Z305" s="93"/>
      <c r="AA305" s="93"/>
      <c r="AB305" s="93"/>
    </row>
    <row r="306" spans="1:28" ht="13.2">
      <c r="A306" s="95"/>
      <c r="B306" s="64" t="s">
        <v>60</v>
      </c>
      <c r="C306" s="55" t="s">
        <v>81</v>
      </c>
      <c r="D306" s="56">
        <v>2014</v>
      </c>
      <c r="E306" s="57">
        <f>I306</f>
        <v>20</v>
      </c>
      <c r="F306" s="65"/>
      <c r="G306" s="65"/>
      <c r="H306" s="65"/>
      <c r="I306" s="65">
        <v>20</v>
      </c>
      <c r="J306" s="67" t="s">
        <v>87</v>
      </c>
      <c r="K306" s="66" t="s">
        <v>31</v>
      </c>
      <c r="L306" s="66"/>
      <c r="M306" s="59">
        <v>2600000</v>
      </c>
      <c r="N306" s="59">
        <f>M306/E306</f>
        <v>130000</v>
      </c>
      <c r="O306" s="59"/>
      <c r="P306" s="59"/>
      <c r="Q306" s="59">
        <v>130000</v>
      </c>
      <c r="R306" s="59"/>
      <c r="S306" s="60">
        <f>13000*0</f>
        <v>0</v>
      </c>
      <c r="T306" s="60"/>
      <c r="U306" s="60"/>
      <c r="V306" s="60">
        <f>13000*0</f>
        <v>0</v>
      </c>
      <c r="W306" s="167"/>
      <c r="X306" s="60">
        <v>0</v>
      </c>
      <c r="Y306" s="60"/>
      <c r="Z306" s="60"/>
      <c r="AA306" s="60"/>
      <c r="AB306" s="60"/>
    </row>
  </sheetData>
  <mergeCells count="79">
    <mergeCell ref="A51:A58"/>
    <mergeCell ref="A60:A67"/>
    <mergeCell ref="A69:A76"/>
    <mergeCell ref="A182:A188"/>
    <mergeCell ref="Q128:R128"/>
    <mergeCell ref="A156:A164"/>
    <mergeCell ref="A165:A173"/>
    <mergeCell ref="A174:A181"/>
    <mergeCell ref="A145:A155"/>
    <mergeCell ref="AV70:AW70"/>
    <mergeCell ref="AC128:AD128"/>
    <mergeCell ref="Y128:Z128"/>
    <mergeCell ref="A105:A113"/>
    <mergeCell ref="A3:A7"/>
    <mergeCell ref="A9:A11"/>
    <mergeCell ref="A13:A17"/>
    <mergeCell ref="A19:A30"/>
    <mergeCell ref="A32:A41"/>
    <mergeCell ref="A43:A49"/>
    <mergeCell ref="A78:A83"/>
    <mergeCell ref="A85:A92"/>
    <mergeCell ref="A94:A103"/>
    <mergeCell ref="W128:X128"/>
    <mergeCell ref="O128:P128"/>
    <mergeCell ref="C128:D128"/>
    <mergeCell ref="C259:D259"/>
    <mergeCell ref="G259:H259"/>
    <mergeCell ref="E259:F259"/>
    <mergeCell ref="A189:A195"/>
    <mergeCell ref="C225:D225"/>
    <mergeCell ref="E225:F225"/>
    <mergeCell ref="G225:H225"/>
    <mergeCell ref="A239:A251"/>
    <mergeCell ref="C254:D254"/>
    <mergeCell ref="E254:F254"/>
    <mergeCell ref="C226:D226"/>
    <mergeCell ref="E226:F226"/>
    <mergeCell ref="G226:H226"/>
    <mergeCell ref="A203:A209"/>
    <mergeCell ref="A210:A215"/>
    <mergeCell ref="A196:A202"/>
    <mergeCell ref="K226:L226"/>
    <mergeCell ref="I226:J226"/>
    <mergeCell ref="I259:J259"/>
    <mergeCell ref="K259:L259"/>
    <mergeCell ref="AC223:AD223"/>
    <mergeCell ref="Y223:Z223"/>
    <mergeCell ref="W223:X223"/>
    <mergeCell ref="K225:L225"/>
    <mergeCell ref="M223:N223"/>
    <mergeCell ref="O223:P223"/>
    <mergeCell ref="N225:T225"/>
    <mergeCell ref="I225:J225"/>
    <mergeCell ref="Q223:R223"/>
    <mergeCell ref="S223:T223"/>
    <mergeCell ref="U223:V223"/>
    <mergeCell ref="O276:P276"/>
    <mergeCell ref="Q276:R276"/>
    <mergeCell ref="C273:U274"/>
    <mergeCell ref="K276:L276"/>
    <mergeCell ref="G276:H276"/>
    <mergeCell ref="I276:J276"/>
    <mergeCell ref="M276:N276"/>
    <mergeCell ref="E276:F276"/>
    <mergeCell ref="S276:T276"/>
    <mergeCell ref="AA128:AB128"/>
    <mergeCell ref="AA223:AB223"/>
    <mergeCell ref="AE128:AF128"/>
    <mergeCell ref="AE223:AF223"/>
    <mergeCell ref="A216:A221"/>
    <mergeCell ref="S128:T128"/>
    <mergeCell ref="A129:A136"/>
    <mergeCell ref="A137:A144"/>
    <mergeCell ref="U128:V128"/>
    <mergeCell ref="M128:N128"/>
    <mergeCell ref="G128:H128"/>
    <mergeCell ref="E128:F128"/>
    <mergeCell ref="I128:J128"/>
    <mergeCell ref="K128:L128"/>
  </mergeCells>
  <phoneticPr fontId="82" type="noConversion"/>
  <conditionalFormatting sqref="AL298:AL299 AO43:AO44 AO46 AO48:AO49 AO53:AO55 AO61:AO63 AO82 AO85:AO89 AO65 AO91:AO92 AO94:AO96 AO3:AP7 AO19:AP30 AO9:AP11 AO13:AP17 AO32:AP41 AO69:AP76">
    <cfRule type="cellIs" dxfId="24" priority="68" stopIfTrue="1" operator="lessThanOrEqual">
      <formula>0</formula>
    </cfRule>
  </conditionalFormatting>
  <conditionalFormatting sqref="AO52">
    <cfRule type="cellIs" dxfId="23" priority="67" stopIfTrue="1" operator="lessThanOrEqual">
      <formula>0</formula>
    </cfRule>
  </conditionalFormatting>
  <conditionalFormatting sqref="F246 F240:F241 F243">
    <cfRule type="expression" dxfId="22" priority="64" stopIfTrue="1">
      <formula>#REF!=#REF!</formula>
    </cfRule>
  </conditionalFormatting>
  <conditionalFormatting sqref="AO51">
    <cfRule type="cellIs" dxfId="21" priority="58" stopIfTrue="1" operator="lessThanOrEqual">
      <formula>0</formula>
    </cfRule>
  </conditionalFormatting>
  <conditionalFormatting sqref="AO58">
    <cfRule type="cellIs" dxfId="20" priority="52" stopIfTrue="1" operator="lessThanOrEqual">
      <formula>0</formula>
    </cfRule>
  </conditionalFormatting>
  <conditionalFormatting sqref="AO47">
    <cfRule type="cellIs" dxfId="19" priority="48" stopIfTrue="1" operator="lessThanOrEqual">
      <formula>0</formula>
    </cfRule>
  </conditionalFormatting>
  <conditionalFormatting sqref="AO81">
    <cfRule type="cellIs" dxfId="18" priority="43" stopIfTrue="1" operator="lessThanOrEqual">
      <formula>0</formula>
    </cfRule>
  </conditionalFormatting>
  <conditionalFormatting sqref="C255:C256">
    <cfRule type="iconSet" priority="8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F242">
    <cfRule type="expression" dxfId="17" priority="40" stopIfTrue="1">
      <formula>#REF!=#REF!</formula>
    </cfRule>
  </conditionalFormatting>
  <conditionalFormatting sqref="AO45">
    <cfRule type="cellIs" dxfId="16" priority="39" stopIfTrue="1" operator="lessThanOrEqual">
      <formula>0</formula>
    </cfRule>
  </conditionalFormatting>
  <conditionalFormatting sqref="AO56">
    <cfRule type="cellIs" dxfId="15" priority="38" stopIfTrue="1" operator="lessThanOrEqual">
      <formula>0</formula>
    </cfRule>
  </conditionalFormatting>
  <conditionalFormatting sqref="AO64">
    <cfRule type="cellIs" dxfId="14" priority="37" stopIfTrue="1" operator="lessThanOrEqual">
      <formula>0</formula>
    </cfRule>
  </conditionalFormatting>
  <conditionalFormatting sqref="AO60">
    <cfRule type="cellIs" dxfId="13" priority="36" stopIfTrue="1" operator="lessThanOrEqual">
      <formula>0</formula>
    </cfRule>
  </conditionalFormatting>
  <conditionalFormatting sqref="AO66">
    <cfRule type="cellIs" dxfId="12" priority="35" stopIfTrue="1" operator="lessThanOrEqual">
      <formula>0</formula>
    </cfRule>
  </conditionalFormatting>
  <conditionalFormatting sqref="AO67">
    <cfRule type="cellIs" dxfId="11" priority="34" stopIfTrue="1" operator="lessThanOrEqual">
      <formula>0</formula>
    </cfRule>
  </conditionalFormatting>
  <conditionalFormatting sqref="AO80">
    <cfRule type="cellIs" dxfId="10" priority="32" stopIfTrue="1" operator="lessThanOrEqual">
      <formula>0</formula>
    </cfRule>
  </conditionalFormatting>
  <conditionalFormatting sqref="AO83">
    <cfRule type="cellIs" dxfId="9" priority="31" stopIfTrue="1" operator="lessThanOrEqual">
      <formula>0</formula>
    </cfRule>
  </conditionalFormatting>
  <conditionalFormatting sqref="AO79">
    <cfRule type="cellIs" dxfId="8" priority="30" stopIfTrue="1" operator="lessThanOrEqual">
      <formula>0</formula>
    </cfRule>
  </conditionalFormatting>
  <conditionalFormatting sqref="AO78">
    <cfRule type="cellIs" dxfId="7" priority="29" stopIfTrue="1" operator="lessThanOrEqual">
      <formula>0</formula>
    </cfRule>
  </conditionalFormatting>
  <conditionalFormatting sqref="AO99:AO100 AO102:AO103">
    <cfRule type="cellIs" dxfId="6" priority="22" stopIfTrue="1" operator="lessThanOrEqual">
      <formula>0</formula>
    </cfRule>
  </conditionalFormatting>
  <conditionalFormatting sqref="C227:C232 C235">
    <cfRule type="iconSet" priority="102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227:E235">
    <cfRule type="iconSet" priority="104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227:G232 G235">
    <cfRule type="iconSet" priority="106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27:I232 I235">
    <cfRule type="iconSet" priority="108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27:K232 K235">
    <cfRule type="iconSet" priority="110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O97:AO98">
    <cfRule type="cellIs" dxfId="5" priority="16" stopIfTrue="1" operator="lessThanOrEqual">
      <formula>0</formula>
    </cfRule>
  </conditionalFormatting>
  <conditionalFormatting sqref="AO105:AO107 AO110:AO113">
    <cfRule type="cellIs" dxfId="4" priority="15" stopIfTrue="1" operator="lessThanOrEqual">
      <formula>0</formula>
    </cfRule>
  </conditionalFormatting>
  <conditionalFormatting sqref="AO108:AO109">
    <cfRule type="cellIs" dxfId="3" priority="14" stopIfTrue="1" operator="lessThanOrEqual">
      <formula>0</formula>
    </cfRule>
  </conditionalFormatting>
  <conditionalFormatting sqref="AO90">
    <cfRule type="cellIs" dxfId="2" priority="13" stopIfTrue="1" operator="lessThanOrEqual">
      <formula>0</formula>
    </cfRule>
  </conditionalFormatting>
  <conditionalFormatting sqref="AO101">
    <cfRule type="cellIs" dxfId="1" priority="12" stopIfTrue="1" operator="lessThanOrEqual">
      <formula>0</formula>
    </cfRule>
  </conditionalFormatting>
  <conditionalFormatting sqref="C233">
    <cfRule type="iconSet" priority="7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233">
    <cfRule type="iconSet" priority="9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33">
    <cfRule type="iconSet" priority="10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33">
    <cfRule type="iconSet" priority="11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234">
    <cfRule type="iconSet" priority="2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234">
    <cfRule type="iconSet" priority="4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34">
    <cfRule type="iconSet" priority="5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34">
    <cfRule type="iconSet" priority="6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O57">
    <cfRule type="cellIs" dxfId="0" priority="1" stopIfTrue="1" operator="lessThanOrEqual">
      <formula>0</formula>
    </cfRule>
  </conditionalFormatting>
  <dataValidations count="12">
    <dataValidation type="list" allowBlank="1" showInputMessage="1" showErrorMessage="1" sqref="F9:F11 F3:F7 F19:F30 F13:F17" xr:uid="{00000000-0002-0000-0200-000000000000}">
      <formula1>"ADE,AGA,APU,BBL,FBR,FHO,FMA,FVA,NBL,SGM,YFR"</formula1>
    </dataValidation>
    <dataValidation type="list" allowBlank="1" showInputMessage="1" showErrorMessage="1" sqref="G3:H7 G9:H11 G13:H17 G78:G83 G59:G67 G69:G76 G85:G92 G43:G49" xr:uid="{00000000-0002-0000-0200-000001000000}">
      <formula1>"ESQ,APS,PC,APD,PRO,AO,OS,Travaux,GPA,fin"</formula1>
    </dataValidation>
    <dataValidation type="list" allowBlank="1" showInputMessage="1" showErrorMessage="1" sqref="F31:H31 F18:H18 G68 G42 F12:H12 F8:H8 G77" xr:uid="{00000000-0002-0000-0200-000002000000}">
      <formula1>"FHO,FMA,JDC,JFO,LIM,NBL,SFE,SGM"</formula1>
    </dataValidation>
    <dataValidation type="list" allowBlank="1" showInputMessage="1" showErrorMessage="1" sqref="K305:L306 G50" xr:uid="{00000000-0002-0000-0200-000003000000}">
      <formula1>"BBL,FHO,FMA,JDC,LIM,SFE,YFR"</formula1>
    </dataValidation>
    <dataValidation type="list" allowBlank="1" showInputMessage="1" showErrorMessage="1" sqref="G19:H30 G32:G41" xr:uid="{00000000-0002-0000-0200-000004000000}">
      <formula1>"ESQ,APS,PC,APD,PRO,AO,OS,Travaux,Réception,GPA,fin"</formula1>
    </dataValidation>
    <dataValidation type="list" allowBlank="1" showInputMessage="1" showErrorMessage="1" sqref="G51:G58" xr:uid="{00000000-0002-0000-0200-000005000000}">
      <formula1>"ESQ,APS,PC,APD,PRO,DCE,AO,OS,Travaux,GPA,fin"</formula1>
    </dataValidation>
    <dataValidation type="list" allowBlank="1" showInputMessage="1" showErrorMessage="1" sqref="G94:G103 G105:G113" xr:uid="{00000000-0002-0000-0200-000006000000}">
      <formula1>"MOE,ESQ,APS,PC,APD,PRO,AO,OS,Travaux,GPA,fin"</formula1>
    </dataValidation>
    <dataValidation type="list" allowBlank="1" showInputMessage="1" showErrorMessage="1" sqref="E239:E251" xr:uid="{00000000-0002-0000-0200-000007000000}">
      <formula1>"Prosp,Faisa,1e phase,2e phase,3e phase,AOMoe,ESQ,APS,PC,APD,PRO,AO,OS,Travaux,GPA,fin"</formula1>
    </dataValidation>
    <dataValidation type="list" allowBlank="1" showInputMessage="1" showErrorMessage="1" sqref="F239:F251" xr:uid="{00000000-0002-0000-0200-000008000000}">
      <formula1>"BBL,FMA,AGA,MFL,SFE"</formula1>
    </dataValidation>
    <dataValidation type="list" allowBlank="1" showInputMessage="1" showErrorMessage="1" sqref="F32:F57" xr:uid="{00000000-0002-0000-0200-000009000000}">
      <formula1>"BBL,FHO,FVA,JER,MHO,NBL,TQU,YFR,RO"</formula1>
    </dataValidation>
    <dataValidation type="list" allowBlank="1" showInputMessage="1" showErrorMessage="1" sqref="F109:F113" xr:uid="{E3F6D29E-4E21-497A-9493-CF161BD106ED}">
      <formula1>"BBL,FHO,MTG,JER,MHO,NBL,TQU,YFR,RO"</formula1>
    </dataValidation>
    <dataValidation type="list" allowBlank="1" showInputMessage="1" showErrorMessage="1" sqref="F58:F108" xr:uid="{4CD3340F-448E-410E-9693-3660EA022523}">
      <formula1>"BBL,LXC,JER,MHO,NBL,TQU,YFR,OPO"</formula1>
    </dataValidation>
  </dataValidations>
  <pageMargins left="0.23622047244094491" right="0.23622047244094491" top="0.74803149606299213" bottom="0.74803149606299213" header="0.31496062992125984" footer="0.31496062992125984"/>
  <pageSetup paperSize="8" scale="19" orientation="landscape" r:id="rId1"/>
  <headerFooter alignWithMargins="0">
    <oddHeader>&amp;CPREVISIONNEL DES REMUNERATION NEUF 2018</oddHeader>
    <oddFooter>&amp;LSODEGIS - DOP - NBL&amp;C&amp;D</oddFooter>
  </headerFooter>
  <colBreaks count="2" manualBreakCount="2">
    <brk id="27" max="289" man="1"/>
    <brk id="36" max="1048575" man="1"/>
  </colBreaks>
  <ignoredErrors>
    <ignoredError sqref="N8 R8 U8 X8 AN8:AO8 N31 R31 U31 X31 AA31 AD31 AG31 AN31:AO31 AM35 N42 R42 U42 X42 AA42 AD42 AN42:AO42 N50 R50 U50 X50 AA50 AD50 AN50:AO50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87CFC3-3A8B-488C-A0C2-6990DEF7B7CF}">
          <x14:formula1>
            <xm:f>Listes!$A$2:$A$15</xm:f>
          </x14:formula1>
          <xm:sqref>AQ85:AQ91 AQ72:AQ74 AQ96:AQ98 AQ100:AQ103 AQ105 AQ108 AQ113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5D644-4416-42AB-8017-461A08282A96}">
  <dimension ref="A1:C15"/>
  <sheetViews>
    <sheetView workbookViewId="0">
      <selection activeCell="C2" sqref="C2:C5"/>
    </sheetView>
  </sheetViews>
  <sheetFormatPr baseColWidth="10" defaultRowHeight="12.6"/>
  <cols>
    <col min="1" max="1" width="23.26953125" customWidth="1"/>
  </cols>
  <sheetData>
    <row r="1" spans="1:3" ht="13.2">
      <c r="A1" s="1276"/>
      <c r="B1" s="1374" t="s">
        <v>279</v>
      </c>
      <c r="C1" s="1375"/>
    </row>
    <row r="2" spans="1:3" ht="14.4">
      <c r="A2" s="930" t="s">
        <v>301</v>
      </c>
      <c r="B2" s="932">
        <v>0.1</v>
      </c>
      <c r="C2" s="1279">
        <f>B2</f>
        <v>0.1</v>
      </c>
    </row>
    <row r="3" spans="1:3" ht="14.4">
      <c r="A3" s="930" t="s">
        <v>94</v>
      </c>
      <c r="B3" s="932">
        <v>0.05</v>
      </c>
      <c r="C3" s="1279">
        <f>B3+C2</f>
        <v>0.15000000000000002</v>
      </c>
    </row>
    <row r="4" spans="1:3" ht="14.4">
      <c r="A4" s="930" t="s">
        <v>280</v>
      </c>
      <c r="B4" s="932">
        <v>0.15</v>
      </c>
      <c r="C4" s="1279">
        <f t="shared" ref="C4:C15" si="0">B4+C3</f>
        <v>0.30000000000000004</v>
      </c>
    </row>
    <row r="5" spans="1:3" ht="14.4">
      <c r="A5" s="930" t="s">
        <v>281</v>
      </c>
      <c r="B5" s="932">
        <v>0.15</v>
      </c>
      <c r="C5" s="1279">
        <f t="shared" si="0"/>
        <v>0.45000000000000007</v>
      </c>
    </row>
    <row r="6" spans="1:3" ht="14.4">
      <c r="A6" s="930" t="s">
        <v>95</v>
      </c>
      <c r="B6" s="932">
        <v>0.05</v>
      </c>
      <c r="C6" s="1279">
        <f t="shared" si="0"/>
        <v>0.50000000000000011</v>
      </c>
    </row>
    <row r="7" spans="1:3" ht="14.4">
      <c r="A7" s="930" t="s">
        <v>282</v>
      </c>
      <c r="B7" s="932">
        <v>0.05</v>
      </c>
      <c r="C7" s="933">
        <f t="shared" si="0"/>
        <v>0.55000000000000016</v>
      </c>
    </row>
    <row r="8" spans="1:3" ht="14.4">
      <c r="A8" s="930" t="s">
        <v>206</v>
      </c>
      <c r="B8" s="932">
        <v>0.1</v>
      </c>
      <c r="C8" s="933">
        <f t="shared" si="0"/>
        <v>0.65000000000000013</v>
      </c>
    </row>
    <row r="9" spans="1:3" ht="14.4">
      <c r="A9" s="930" t="s">
        <v>236</v>
      </c>
      <c r="B9" s="932">
        <v>0.05</v>
      </c>
      <c r="C9" s="1279">
        <f t="shared" si="0"/>
        <v>0.70000000000000018</v>
      </c>
    </row>
    <row r="10" spans="1:3" ht="14.4">
      <c r="A10" s="930" t="s">
        <v>223</v>
      </c>
      <c r="B10" s="932">
        <v>0.05</v>
      </c>
      <c r="C10" s="1279">
        <f t="shared" si="0"/>
        <v>0.75000000000000022</v>
      </c>
    </row>
    <row r="11" spans="1:3" ht="14.4">
      <c r="A11" s="930" t="s">
        <v>205</v>
      </c>
      <c r="B11" s="932">
        <v>0.05</v>
      </c>
      <c r="C11" s="1279">
        <f t="shared" si="0"/>
        <v>0.80000000000000027</v>
      </c>
    </row>
    <row r="12" spans="1:3" ht="14.4">
      <c r="A12" s="930" t="s">
        <v>237</v>
      </c>
      <c r="B12" s="932">
        <v>0.05</v>
      </c>
      <c r="C12" s="1279">
        <f t="shared" si="0"/>
        <v>0.85000000000000031</v>
      </c>
    </row>
    <row r="13" spans="1:3" ht="14.4">
      <c r="A13" s="930" t="s">
        <v>204</v>
      </c>
      <c r="B13" s="932">
        <v>0.05</v>
      </c>
      <c r="C13" s="1279">
        <f t="shared" si="0"/>
        <v>0.90000000000000036</v>
      </c>
    </row>
    <row r="14" spans="1:3" ht="14.4">
      <c r="A14" s="930" t="s">
        <v>203</v>
      </c>
      <c r="B14" s="932">
        <v>0.05</v>
      </c>
      <c r="C14" s="933">
        <f t="shared" si="0"/>
        <v>0.9500000000000004</v>
      </c>
    </row>
    <row r="15" spans="1:3" ht="15" thickBot="1">
      <c r="A15" s="947" t="s">
        <v>202</v>
      </c>
      <c r="B15" s="949">
        <v>0.05</v>
      </c>
      <c r="C15" s="950">
        <f t="shared" si="0"/>
        <v>1.0000000000000004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180</vt:i4>
      </vt:variant>
    </vt:vector>
  </HeadingPairs>
  <TitlesOfParts>
    <vt:vector size="182" baseType="lpstr">
      <vt:lpstr>Prév Hono Construction 2020</vt:lpstr>
      <vt:lpstr>Listes</vt:lpstr>
      <vt:lpstr>'Prév Hono Construction 2020'!_Rem2010</vt:lpstr>
      <vt:lpstr>'Prév Hono Construction 2020'!_RO2010</vt:lpstr>
      <vt:lpstr>'Prév Hono Construction 2020'!Am</vt:lpstr>
      <vt:lpstr>'Prév Hono Construction 2020'!Bdgt</vt:lpstr>
      <vt:lpstr>'Prév Hono Construction 2020'!Bdgt2010</vt:lpstr>
      <vt:lpstr>'Prév Hono Construction 2020'!Bdgt2011</vt:lpstr>
      <vt:lpstr>'Prév Hono Construction 2020'!Bdgt2012</vt:lpstr>
      <vt:lpstr>'Prév Hono Construction 2020'!Bdgt2013</vt:lpstr>
      <vt:lpstr>'Prév Hono Construction 2020'!Bdgt2014</vt:lpstr>
      <vt:lpstr>'Prév Hono Construction 2020'!Bdgt2015</vt:lpstr>
      <vt:lpstr>Bdgt2016</vt:lpstr>
      <vt:lpstr>Bdgt2017</vt:lpstr>
      <vt:lpstr>Bdgt2018</vt:lpstr>
      <vt:lpstr>Bdgt2019</vt:lpstr>
      <vt:lpstr>Bdgt2020</vt:lpstr>
      <vt:lpstr>Bdgt2021</vt:lpstr>
      <vt:lpstr>N_lgt</vt:lpstr>
      <vt:lpstr>'Prév Hono Construction 2020'!Phase</vt:lpstr>
      <vt:lpstr>'Prév Hono Construction 2020'!Phase2010</vt:lpstr>
      <vt:lpstr>'Prév Hono Construction 2020'!Phase2011</vt:lpstr>
      <vt:lpstr>'Prév Hono Construction 2020'!Phase2012</vt:lpstr>
      <vt:lpstr>'Prév Hono Construction 2020'!Phase2013</vt:lpstr>
      <vt:lpstr>'Prév Hono Construction 2020'!Phase2014</vt:lpstr>
      <vt:lpstr>'Prév Hono Construction 2020'!Phase2015</vt:lpstr>
      <vt:lpstr>Phase2016</vt:lpstr>
      <vt:lpstr>Phase2017</vt:lpstr>
      <vt:lpstr>Phase2018</vt:lpstr>
      <vt:lpstr>Phase2019</vt:lpstr>
      <vt:lpstr>Phase2020</vt:lpstr>
      <vt:lpstr>Phase2021</vt:lpstr>
      <vt:lpstr>'Prév Hono Construction 2020'!Prog</vt:lpstr>
      <vt:lpstr>'Prév Hono Construction 2020'!Prog2010</vt:lpstr>
      <vt:lpstr>'Prév Hono Construction 2020'!Prog2011</vt:lpstr>
      <vt:lpstr>'Prév Hono Construction 2020'!Prog2012</vt:lpstr>
      <vt:lpstr>'Prév Hono Construction 2020'!Prog2013</vt:lpstr>
      <vt:lpstr>'Prév Hono Construction 2020'!Prog2014</vt:lpstr>
      <vt:lpstr>'Prév Hono Construction 2020'!Prog2015</vt:lpstr>
      <vt:lpstr>Prog2016</vt:lpstr>
      <vt:lpstr>'Prév Hono Construction 2020'!Prog2017</vt:lpstr>
      <vt:lpstr>Prog2018</vt:lpstr>
      <vt:lpstr>Prog2019</vt:lpstr>
      <vt:lpstr>Prog2020</vt:lpstr>
      <vt:lpstr>Prog2021</vt:lpstr>
      <vt:lpstr>'Prév Hono Construction 2020'!Rem</vt:lpstr>
      <vt:lpstr>'Prév Hono Construction 2020'!Rem_2009</vt:lpstr>
      <vt:lpstr>'Prév Hono Construction 2020'!Rem_2010</vt:lpstr>
      <vt:lpstr>'Prév Hono Construction 2020'!Rem_2011</vt:lpstr>
      <vt:lpstr>'Prév Hono Construction 2020'!Rem_2012</vt:lpstr>
      <vt:lpstr>'Prév Hono Construction 2020'!Rem_2013</vt:lpstr>
      <vt:lpstr>'Prév Hono Construction 2020'!Rem_2014</vt:lpstr>
      <vt:lpstr>'Prév Hono Construction 2020'!Rem_2015</vt:lpstr>
      <vt:lpstr>Rem_2016</vt:lpstr>
      <vt:lpstr>Rem_2017</vt:lpstr>
      <vt:lpstr>Rem_2018</vt:lpstr>
      <vt:lpstr>Rem_2019</vt:lpstr>
      <vt:lpstr>Rem_2020</vt:lpstr>
      <vt:lpstr>Rem_2021</vt:lpstr>
      <vt:lpstr>Rem_Amgt</vt:lpstr>
      <vt:lpstr>Rem2009Preven2015</vt:lpstr>
      <vt:lpstr>'Prév Hono Construction 2020'!Rem2010en2012</vt:lpstr>
      <vt:lpstr>'Prév Hono Construction 2020'!Rem2010en2013</vt:lpstr>
      <vt:lpstr>'Prév Hono Construction 2020'!Rem2010en2014</vt:lpstr>
      <vt:lpstr>Rem2010en2015</vt:lpstr>
      <vt:lpstr>Rem2010Preven2015</vt:lpstr>
      <vt:lpstr>'Prév Hono Construction 2020'!Rem2011en2012</vt:lpstr>
      <vt:lpstr>'Prév Hono Construction 2020'!Rem2011en2013</vt:lpstr>
      <vt:lpstr>'Prév Hono Construction 2020'!Rem2011en2014</vt:lpstr>
      <vt:lpstr>Rem2011en2015</vt:lpstr>
      <vt:lpstr>Rem2011Preven2015</vt:lpstr>
      <vt:lpstr>'Prév Hono Construction 2020'!Rem2012en2012</vt:lpstr>
      <vt:lpstr>'Prév Hono Construction 2020'!Rem2012en2013</vt:lpstr>
      <vt:lpstr>'Prév Hono Construction 2020'!Rem2012en2014</vt:lpstr>
      <vt:lpstr>Rem2012en2015</vt:lpstr>
      <vt:lpstr>Rem2012en2016</vt:lpstr>
      <vt:lpstr>Rem2012en2017</vt:lpstr>
      <vt:lpstr>Rem2012en2018</vt:lpstr>
      <vt:lpstr>Rem2012Preven2018</vt:lpstr>
      <vt:lpstr>'Prév Hono Construction 2020'!Rem2013en2012</vt:lpstr>
      <vt:lpstr>'Prév Hono Construction 2020'!Rem2013en2013</vt:lpstr>
      <vt:lpstr>'Prév Hono Construction 2020'!Rem2013en2014</vt:lpstr>
      <vt:lpstr>Rem2013en2015</vt:lpstr>
      <vt:lpstr>Rem2013en2016</vt:lpstr>
      <vt:lpstr>Rem2013en2017</vt:lpstr>
      <vt:lpstr>Rem2013en2018</vt:lpstr>
      <vt:lpstr>Rem2013en2019</vt:lpstr>
      <vt:lpstr>Rem2013en2020</vt:lpstr>
      <vt:lpstr>Rem2013Preven2020</vt:lpstr>
      <vt:lpstr>'Prév Hono Construction 2020'!Rem2014en2012</vt:lpstr>
      <vt:lpstr>'Prév Hono Construction 2020'!Rem2014en2013</vt:lpstr>
      <vt:lpstr>'Prév Hono Construction 2020'!Rem2014en2014</vt:lpstr>
      <vt:lpstr>Rem2014en2015</vt:lpstr>
      <vt:lpstr>Rem2014en2016</vt:lpstr>
      <vt:lpstr>Rem2014en2017</vt:lpstr>
      <vt:lpstr>Rem2014en2018</vt:lpstr>
      <vt:lpstr>Rem2014en2019</vt:lpstr>
      <vt:lpstr>Rem2014en2020</vt:lpstr>
      <vt:lpstr>Rem2014Preven2020</vt:lpstr>
      <vt:lpstr>'Prév Hono Construction 2020'!Rem2015en2012</vt:lpstr>
      <vt:lpstr>'Prév Hono Construction 2020'!Rem2015en2013</vt:lpstr>
      <vt:lpstr>'Prév Hono Construction 2020'!Rem2015en2014</vt:lpstr>
      <vt:lpstr>Rem2015en2015</vt:lpstr>
      <vt:lpstr>Rem2015en2016</vt:lpstr>
      <vt:lpstr>Rem2015en2017</vt:lpstr>
      <vt:lpstr>Rem2015en2018</vt:lpstr>
      <vt:lpstr>Rem2015en2019</vt:lpstr>
      <vt:lpstr>Rem2015en2020</vt:lpstr>
      <vt:lpstr>Rem2015Preven2020</vt:lpstr>
      <vt:lpstr>Rem2016en2012</vt:lpstr>
      <vt:lpstr>Rem2016en2013</vt:lpstr>
      <vt:lpstr>Rem2016en2014</vt:lpstr>
      <vt:lpstr>Rem2016en2015</vt:lpstr>
      <vt:lpstr>Rem2016en2016</vt:lpstr>
      <vt:lpstr>Rem2016en2017</vt:lpstr>
      <vt:lpstr>Rem2016en2018</vt:lpstr>
      <vt:lpstr>Rem2016en2019</vt:lpstr>
      <vt:lpstr>Rem2016en2020</vt:lpstr>
      <vt:lpstr>Rem2016Preven2020</vt:lpstr>
      <vt:lpstr>Rem2017en2013</vt:lpstr>
      <vt:lpstr>Rem2017en2014</vt:lpstr>
      <vt:lpstr>Rem2017en2015</vt:lpstr>
      <vt:lpstr>Rem2017en2016</vt:lpstr>
      <vt:lpstr>Rem2017en2017</vt:lpstr>
      <vt:lpstr>Rem2017en2018</vt:lpstr>
      <vt:lpstr>Rem2017en2019</vt:lpstr>
      <vt:lpstr>Rem2017en2020</vt:lpstr>
      <vt:lpstr>Rem2017Preven2020</vt:lpstr>
      <vt:lpstr>Rem2018en2016</vt:lpstr>
      <vt:lpstr>Rem2018en2017</vt:lpstr>
      <vt:lpstr>Rem2018en2018</vt:lpstr>
      <vt:lpstr>Rem2018en2019</vt:lpstr>
      <vt:lpstr>Rem2018en2020</vt:lpstr>
      <vt:lpstr>Rem2018Preven2020</vt:lpstr>
      <vt:lpstr>Rem2019en2016</vt:lpstr>
      <vt:lpstr>Rem2019en2017</vt:lpstr>
      <vt:lpstr>Rem2019en2018</vt:lpstr>
      <vt:lpstr>Rem2019en2019</vt:lpstr>
      <vt:lpstr>Rem2019en2020</vt:lpstr>
      <vt:lpstr>Rem2019Preven2020</vt:lpstr>
      <vt:lpstr>Rem2020en2016</vt:lpstr>
      <vt:lpstr>Rem2020en2017</vt:lpstr>
      <vt:lpstr>Rem2020en2018</vt:lpstr>
      <vt:lpstr>Rem2020en2019</vt:lpstr>
      <vt:lpstr>Rem2020en2020</vt:lpstr>
      <vt:lpstr>Rem2020Preven2020</vt:lpstr>
      <vt:lpstr>Rem2021en2016</vt:lpstr>
      <vt:lpstr>Rem2021en2019</vt:lpstr>
      <vt:lpstr>Rem2021en2020</vt:lpstr>
      <vt:lpstr>Rem2021Preven2020</vt:lpstr>
      <vt:lpstr>'Prév Hono Construction 2020'!RemEtude2010</vt:lpstr>
      <vt:lpstr>'Prév Hono Construction 2020'!RemRest</vt:lpstr>
      <vt:lpstr>'Prév Hono Construction 2020'!RemRest2010</vt:lpstr>
      <vt:lpstr>'Prév Hono Construction 2020'!RemRest2011</vt:lpstr>
      <vt:lpstr>'Prév Hono Construction 2020'!RemRest2012</vt:lpstr>
      <vt:lpstr>'Prév Hono Construction 2020'!RemRest2013</vt:lpstr>
      <vt:lpstr>'Prév Hono Construction 2020'!RemRest2014</vt:lpstr>
      <vt:lpstr>'Prév Hono Construction 2020'!RemRest2015</vt:lpstr>
      <vt:lpstr>RemRest2016</vt:lpstr>
      <vt:lpstr>RemRest2017</vt:lpstr>
      <vt:lpstr>RemRest2018</vt:lpstr>
      <vt:lpstr>RemRest2019</vt:lpstr>
      <vt:lpstr>RemRest2020</vt:lpstr>
      <vt:lpstr>RemRest2021</vt:lpstr>
      <vt:lpstr>'Prév Hono Construction 2020'!RemTvx2010</vt:lpstr>
      <vt:lpstr>'Prév Hono Construction 2020'!RO</vt:lpstr>
      <vt:lpstr>'Prév Hono Construction 2020'!RO_2009</vt:lpstr>
      <vt:lpstr>'Prév Hono Construction 2020'!RO_2010</vt:lpstr>
      <vt:lpstr>'Prév Hono Construction 2020'!RO_2011</vt:lpstr>
      <vt:lpstr>'Prév Hono Construction 2020'!RO_2012</vt:lpstr>
      <vt:lpstr>'Prév Hono Construction 2020'!RO_2013</vt:lpstr>
      <vt:lpstr>'Prév Hono Construction 2020'!RO_2014</vt:lpstr>
      <vt:lpstr>'Prév Hono Construction 2020'!RO_2015</vt:lpstr>
      <vt:lpstr>RO_2016</vt:lpstr>
      <vt:lpstr>RO_2017</vt:lpstr>
      <vt:lpstr>RO_2018</vt:lpstr>
      <vt:lpstr>RO_2019</vt:lpstr>
      <vt:lpstr>RO_2020</vt:lpstr>
      <vt:lpstr>RO_2021</vt:lpstr>
      <vt:lpstr>'Prév Hono Construction 2020'!RO_Am</vt:lpstr>
      <vt:lpstr>RO_gen</vt:lpstr>
      <vt:lpstr>'Prév Hono Construction 2020'!Zone_d_impression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2018-10-20T10:10:22Z</cp:lastPrinted>
  <dcterms:created xsi:type="dcterms:W3CDTF">2012-05-23T04:31:11Z</dcterms:created>
  <dcterms:modified xsi:type="dcterms:W3CDTF">2020-12-07T11:54:37Z</dcterms:modified>
</cp:coreProperties>
</file>