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160" windowHeight="0" tabRatio="658" activeTab="1"/>
  </bookViews>
  <sheets>
    <sheet name="Données initiales" sheetId="1" r:id="rId1"/>
    <sheet name="Feuil1" sheetId="2" r:id="rId2"/>
  </sheets>
  <definedNames>
    <definedName name="_xlnm._FilterDatabase" localSheetId="0" hidden="1">'Données initiales'!$A$1:$JI$107</definedName>
    <definedName name="_NH2011">#REF!</definedName>
    <definedName name="_NH2012">#REF!</definedName>
    <definedName name="_Rem2010">#REF!</definedName>
    <definedName name="_Rem2011">#REF!</definedName>
    <definedName name="_Rem2012">#REF!</definedName>
    <definedName name="_Rem2013">#REF!</definedName>
    <definedName name="_Rem2014">#REF!</definedName>
    <definedName name="_RO2010">#REF!</definedName>
    <definedName name="_RO2011">#REF!</definedName>
    <definedName name="_RO2012">#REF!</definedName>
    <definedName name="_RO2013">#REF!</definedName>
    <definedName name="_RO2014">#REF!</definedName>
    <definedName name="Annee_Inaug">'Données initiales'!$EV$2:$EV$107</definedName>
    <definedName name="Annee_OS">'Données initiales'!$DI$2:$DI$107</definedName>
    <definedName name="Arrangeur">'Données initiales'!$BC$23:$BC$107</definedName>
    <definedName name="Arrêté_LBU">'Données initiales'!$BF$23:$BF$107</definedName>
    <definedName name="Ass">'Données initiales'!$G$2:$G$107</definedName>
    <definedName name="AUTRES_SUB">'Données initiales'!$HI$2:$HI$107</definedName>
    <definedName name="Avancement">'Données initiales'!$H$2:$H$107</definedName>
    <definedName name="Avct">#REF!</definedName>
    <definedName name="Bdgt">'Données initiales'!$GH$4:$GH$107</definedName>
    <definedName name="Bdgt2010">#REF!</definedName>
    <definedName name="Bdgt2011">#REF!</definedName>
    <definedName name="Bdgt2012">#REF!</definedName>
    <definedName name="Bdgt2013">#REF!</definedName>
    <definedName name="Bdgt2014">#REF!</definedName>
    <definedName name="CI">'Données initiales'!$GS$2:$GS$107</definedName>
    <definedName name="Fonds_propres">'Données initiales'!$HX$2:$HX$107</definedName>
    <definedName name="HonoS">'Données initiales'!#REF!</definedName>
    <definedName name="_xlnm.Print_Titles" localSheetId="0">'Données initiales'!$A:$A,'Données initiales'!$1:$1</definedName>
    <definedName name="LBU">'Données initiales'!$HD$2:$HD$107</definedName>
    <definedName name="Livraison">'Données initiales'!$EU$2:$EU$107</definedName>
    <definedName name="LLS">'Données initiales'!$AE$23:$AE$107</definedName>
    <definedName name="LLTS">'Données initiales'!$AF$23:$AF$107</definedName>
    <definedName name="Loyers">'Données initiales'!$EY$2:$EY$107</definedName>
    <definedName name="N">#REF!</definedName>
    <definedName name="Nlgts">'Données initiales'!$AD$2:$AD$107</definedName>
    <definedName name="Notaire">'Données initiales'!$CC$2:$CC$107</definedName>
    <definedName name="OS">'Données initiales'!$DH$2:$DH$107</definedName>
    <definedName name="Phase">#REF!</definedName>
    <definedName name="Phase2010">#REF!</definedName>
    <definedName name="Phase2011">#REF!</definedName>
    <definedName name="Phase2012">#REF!</definedName>
    <definedName name="Phase2013">#REF!</definedName>
    <definedName name="Phase2014">#REF!</definedName>
    <definedName name="PRET">'Données initiales'!$GX$2:$GX$107</definedName>
    <definedName name="Prix_Achat_TTC">'Données initiales'!$AY$2:$AY$107</definedName>
    <definedName name="Prog">'Données initiales'!$D$2:$D$107</definedName>
    <definedName name="Prog2010">#REF!</definedName>
    <definedName name="Prog2011">#REF!</definedName>
    <definedName name="Prog2012">#REF!</definedName>
    <definedName name="Prog2013">#REF!</definedName>
    <definedName name="Prog2014">#REF!</definedName>
    <definedName name="PRP">'Données initiales'!$GI$2:$GI$107</definedName>
    <definedName name="Px_Foncier">'Données initiales'!$P$2:$P$107</definedName>
    <definedName name="Rem">#REF!</definedName>
    <definedName name="RemEtude2010">#REF!</definedName>
    <definedName name="RemEtude2011">#REF!</definedName>
    <definedName name="RemEtude2012">#REF!</definedName>
    <definedName name="RemEtude2013">#REF!</definedName>
    <definedName name="RemEtude2014">#REF!</definedName>
    <definedName name="RemEtudes">#REF!</definedName>
    <definedName name="RemRest">#REF!</definedName>
    <definedName name="RemRest2010">#REF!</definedName>
    <definedName name="RemRest2011">#REF!</definedName>
    <definedName name="RemRest2012">#REF!</definedName>
    <definedName name="RemRest2013">#REF!</definedName>
    <definedName name="RemRest2014">#REF!</definedName>
    <definedName name="RemTvx">#REF!</definedName>
    <definedName name="RemTvx2010">#REF!</definedName>
    <definedName name="RemTvx2011">#REF!</definedName>
    <definedName name="RemTvx2012">#REF!</definedName>
    <definedName name="RemTvx2013">#REF!</definedName>
    <definedName name="RemTvx2014">#REF!</definedName>
    <definedName name="Resp">#REF!</definedName>
    <definedName name="Retard_loyer">'Données initiales'!$EW$2:$EW$107</definedName>
    <definedName name="Retard_VEFA">'Données initiales'!$CK$2:$CK$107</definedName>
    <definedName name="RO">'Données initiales'!$F$2:$F$107</definedName>
    <definedName name="S_TERRAIN">'Données initiales'!$O$2:$O$107</definedName>
    <definedName name="SF">'Données initiales'!$AL$2:$AL$107</definedName>
    <definedName name="SF_VEFA">'Données initiales'!$AK$2:$AK$107</definedName>
    <definedName name="SHAB_VEFA">'Données initiales'!$AI$2:$AI$107</definedName>
    <definedName name="Type">'Données initiales'!$AC$2:$AC$107</definedName>
    <definedName name="Ville">'Données initiales'!$B$2:$B$107</definedName>
  </definedNames>
  <calcPr calcId="152511" iterateCount="1"/>
</workbook>
</file>

<file path=xl/calcChain.xml><?xml version="1.0" encoding="utf-8"?>
<calcChain xmlns="http://schemas.openxmlformats.org/spreadsheetml/2006/main">
  <c r="FE46" i="1" l="1"/>
  <c r="FE43" i="1" l="1"/>
  <c r="FE42" i="1" l="1"/>
  <c r="FE41" i="1" l="1"/>
  <c r="FC67" i="1" l="1"/>
  <c r="FC48" i="1"/>
  <c r="FC60" i="1"/>
  <c r="FC52" i="1"/>
  <c r="FC47" i="1"/>
  <c r="FC46" i="1"/>
  <c r="FC43" i="1"/>
  <c r="FC42" i="1"/>
  <c r="FC50" i="1"/>
  <c r="FC39" i="1"/>
  <c r="FC38" i="1"/>
  <c r="FC33" i="1"/>
  <c r="FE38" i="1" l="1"/>
  <c r="FE34" i="1" l="1"/>
  <c r="FE33" i="1" l="1"/>
  <c r="FE30" i="1" l="1"/>
  <c r="FE29" i="1" l="1"/>
  <c r="FE26" i="1" l="1"/>
  <c r="FE25" i="1" l="1"/>
  <c r="FE24" i="1"/>
  <c r="FE23" i="1" l="1"/>
  <c r="FB2" i="1" l="1"/>
  <c r="FB4" i="1"/>
  <c r="FB5" i="1"/>
  <c r="FB6" i="1"/>
  <c r="FB7" i="1"/>
  <c r="FB10" i="1"/>
  <c r="FB3" i="1"/>
  <c r="FB8" i="1"/>
  <c r="FB9" i="1"/>
  <c r="FB11" i="1"/>
  <c r="FB13" i="1"/>
  <c r="FB12" i="1"/>
  <c r="FB14" i="1"/>
  <c r="FB15" i="1"/>
  <c r="FB16" i="1"/>
  <c r="FB17" i="1"/>
  <c r="FB23" i="1"/>
  <c r="FB18" i="1"/>
  <c r="FB19" i="1"/>
  <c r="FB24" i="1"/>
  <c r="FB20" i="1"/>
  <c r="FB25" i="1"/>
  <c r="FB35" i="1"/>
  <c r="FB26" i="1"/>
  <c r="FB27" i="1"/>
  <c r="FB21" i="1"/>
  <c r="FB29" i="1"/>
  <c r="FB28" i="1"/>
  <c r="FB22" i="1"/>
  <c r="CR119" i="1" l="1"/>
  <c r="ER39" i="1" l="1"/>
  <c r="EM46" i="1"/>
  <c r="BU90" i="1" l="1"/>
  <c r="BV90" i="1" s="1"/>
  <c r="BU91" i="1"/>
  <c r="BV91" i="1" s="1"/>
  <c r="BU89" i="1"/>
  <c r="BV89" i="1" s="1"/>
  <c r="BR51" i="1" l="1"/>
  <c r="BR48" i="1"/>
  <c r="DX40" i="1" l="1"/>
  <c r="DX58" i="1"/>
  <c r="DX47" i="1"/>
  <c r="DX52" i="1"/>
  <c r="DX59" i="1"/>
  <c r="DX53" i="1"/>
  <c r="DX60" i="1"/>
  <c r="DX48" i="1"/>
  <c r="DR52" i="1"/>
  <c r="DR53" i="1"/>
  <c r="DR60" i="1"/>
  <c r="DR48" i="1"/>
  <c r="DT32" i="1" l="1"/>
  <c r="DK55" i="1"/>
  <c r="DK80" i="1"/>
  <c r="DK57" i="1"/>
  <c r="DJ12" i="1"/>
  <c r="DK107" i="1"/>
  <c r="DK106" i="1"/>
  <c r="DK104" i="1"/>
  <c r="DK103" i="1"/>
  <c r="DK102" i="1"/>
  <c r="DK105" i="1"/>
  <c r="DK101" i="1"/>
  <c r="DK100" i="1"/>
  <c r="DK99" i="1"/>
  <c r="DK94" i="1"/>
  <c r="DK93" i="1"/>
  <c r="DK98" i="1"/>
  <c r="DK96" i="1"/>
  <c r="DK97" i="1"/>
  <c r="DK95" i="1"/>
  <c r="DK92" i="1"/>
  <c r="DK91" i="1"/>
  <c r="DK90" i="1"/>
  <c r="DK89" i="1"/>
  <c r="DK86" i="1"/>
  <c r="DK88" i="1"/>
  <c r="DK87" i="1"/>
  <c r="DK85" i="1"/>
  <c r="DK84" i="1"/>
  <c r="DK83" i="1"/>
  <c r="DK77" i="1"/>
  <c r="DK76" i="1"/>
  <c r="DK69" i="1"/>
  <c r="DK81" i="1"/>
  <c r="DK82" i="1"/>
  <c r="DK79" i="1"/>
  <c r="DK78" i="1"/>
  <c r="DK56" i="1"/>
  <c r="DK67" i="1"/>
  <c r="DK74" i="1"/>
  <c r="DK66" i="1"/>
  <c r="DK54" i="1"/>
  <c r="DK70" i="1"/>
  <c r="DK51" i="1"/>
  <c r="DK48" i="1"/>
  <c r="DK75" i="1"/>
  <c r="DK73" i="1"/>
  <c r="DK72" i="1"/>
  <c r="DK71" i="1"/>
  <c r="DK68" i="1"/>
  <c r="DK60" i="1"/>
  <c r="DK64" i="1"/>
  <c r="DK62" i="1"/>
  <c r="DK61" i="1"/>
  <c r="DK65" i="1"/>
  <c r="DK63" i="1"/>
  <c r="DK53" i="1"/>
  <c r="DK59" i="1"/>
  <c r="DK52" i="1"/>
  <c r="DK47" i="1"/>
  <c r="DK58" i="1"/>
  <c r="DK46" i="1"/>
  <c r="DK40" i="1"/>
  <c r="DK45" i="1"/>
  <c r="DK44" i="1"/>
  <c r="DK43" i="1"/>
  <c r="DK41" i="1"/>
  <c r="DK50" i="1"/>
  <c r="DK42" i="1"/>
  <c r="DK39" i="1"/>
  <c r="DK49" i="1"/>
  <c r="DK38" i="1"/>
  <c r="DK37" i="1"/>
  <c r="DK34" i="1"/>
  <c r="DK33" i="1"/>
  <c r="DK32" i="1"/>
  <c r="DK31" i="1"/>
  <c r="DK30" i="1"/>
  <c r="DK36" i="1"/>
  <c r="DK22" i="1"/>
  <c r="DK28" i="1"/>
  <c r="DK29" i="1"/>
  <c r="DK21" i="1"/>
  <c r="DK27" i="1"/>
  <c r="DK26" i="1"/>
  <c r="DK35" i="1"/>
  <c r="DK25" i="1"/>
  <c r="DK20" i="1"/>
  <c r="DK24" i="1"/>
  <c r="DK19" i="1"/>
  <c r="DK18" i="1"/>
  <c r="DK23" i="1"/>
  <c r="DK17" i="1"/>
  <c r="DK16" i="1"/>
  <c r="DK15" i="1"/>
  <c r="DK14" i="1"/>
  <c r="DK13" i="1"/>
  <c r="DK12" i="1"/>
  <c r="DK11" i="1"/>
  <c r="DK10" i="1"/>
  <c r="DK9" i="1"/>
  <c r="DK8" i="1"/>
  <c r="DK7" i="1"/>
  <c r="DK6" i="1"/>
  <c r="DK3" i="1"/>
  <c r="DK5" i="1"/>
  <c r="DK4" i="1"/>
  <c r="DK2" i="1"/>
  <c r="EL2" i="1" l="1"/>
  <c r="EM48" i="1"/>
  <c r="EM51" i="1"/>
  <c r="ET2" i="1" l="1"/>
  <c r="EN2" i="1"/>
  <c r="AG111" i="1"/>
  <c r="AH111" i="1"/>
  <c r="AI111" i="1"/>
  <c r="AJ111" i="1"/>
  <c r="AK111" i="1"/>
  <c r="AL111" i="1"/>
  <c r="AV111" i="1"/>
  <c r="AW111" i="1"/>
  <c r="AX111" i="1"/>
  <c r="AY111" i="1"/>
  <c r="AZ111" i="1"/>
  <c r="BA111" i="1"/>
  <c r="BB111" i="1"/>
  <c r="BC111" i="1"/>
  <c r="BD111" i="1"/>
  <c r="BE111" i="1"/>
  <c r="BF111" i="1"/>
  <c r="BG111" i="1"/>
  <c r="BH111" i="1"/>
  <c r="BI111" i="1"/>
  <c r="BJ111" i="1"/>
  <c r="BN111" i="1"/>
  <c r="BW111" i="1"/>
  <c r="BX111" i="1"/>
  <c r="BY111" i="1"/>
  <c r="BZ111" i="1"/>
  <c r="CA111" i="1"/>
  <c r="CB111" i="1"/>
  <c r="CC111" i="1"/>
  <c r="CD111" i="1"/>
  <c r="CE111" i="1"/>
  <c r="DB111" i="1"/>
  <c r="FR111" i="1"/>
  <c r="FS111" i="1"/>
  <c r="FT111" i="1"/>
  <c r="FU111" i="1"/>
  <c r="FV111" i="1"/>
  <c r="FW111" i="1"/>
  <c r="FX111" i="1"/>
  <c r="FY111" i="1"/>
  <c r="FZ111" i="1"/>
  <c r="GA111" i="1"/>
  <c r="GB111" i="1"/>
  <c r="GC111" i="1"/>
  <c r="GD111" i="1"/>
  <c r="GE111" i="1"/>
  <c r="CL111" i="1"/>
  <c r="CN111" i="1"/>
  <c r="CS111" i="1"/>
  <c r="DC111" i="1"/>
  <c r="DG111" i="1"/>
  <c r="FA111" i="1"/>
  <c r="HX86" i="1"/>
  <c r="HX88" i="1"/>
  <c r="HX87" i="1"/>
  <c r="HX85" i="1"/>
  <c r="HX84" i="1"/>
  <c r="HX83" i="1"/>
  <c r="HX77" i="1"/>
  <c r="HX76" i="1"/>
  <c r="HX69" i="1"/>
  <c r="HX80" i="1"/>
  <c r="HX81" i="1"/>
  <c r="HX90" i="1"/>
  <c r="HX91" i="1"/>
  <c r="HX89" i="1"/>
  <c r="HX92" i="1"/>
  <c r="HX95" i="1"/>
  <c r="HX96" i="1"/>
  <c r="HX97" i="1"/>
  <c r="HX98" i="1"/>
  <c r="HX93" i="1"/>
  <c r="HX94" i="1"/>
  <c r="HX99" i="1"/>
  <c r="HX105" i="1"/>
  <c r="HX102" i="1"/>
  <c r="HX100" i="1"/>
  <c r="HX101" i="1"/>
  <c r="HX103" i="1"/>
  <c r="HX104" i="1"/>
  <c r="HX106" i="1"/>
  <c r="HX107" i="1"/>
  <c r="HX82" i="1"/>
  <c r="HX78" i="1"/>
  <c r="HX55" i="1"/>
  <c r="HX79" i="1"/>
  <c r="HX70" i="1"/>
  <c r="HX67" i="1"/>
  <c r="HX54" i="1"/>
  <c r="HX66" i="1"/>
  <c r="HX74" i="1"/>
  <c r="HX71" i="1"/>
  <c r="HX72" i="1"/>
  <c r="HX73" i="1"/>
  <c r="HX75" i="1"/>
  <c r="HX40" i="1"/>
  <c r="FB32" i="1"/>
  <c r="FB111" i="1" s="1"/>
  <c r="EW2" i="1" l="1"/>
  <c r="BM54" i="1"/>
  <c r="EY2" i="1" l="1"/>
  <c r="EL70" i="1" l="1"/>
  <c r="ET70" i="1" s="1"/>
  <c r="EM70" i="1" l="1"/>
  <c r="BM71" i="1"/>
  <c r="BM82" i="1"/>
  <c r="BM72" i="1"/>
  <c r="BM73" i="1"/>
  <c r="BM75" i="1"/>
  <c r="BM68" i="1"/>
  <c r="BM62" i="1"/>
  <c r="BM61" i="1"/>
  <c r="BM64" i="1"/>
  <c r="BM65" i="1"/>
  <c r="BM63" i="1"/>
  <c r="BM74" i="1"/>
  <c r="BL66" i="1"/>
  <c r="BM66" i="1" s="1"/>
  <c r="BL67" i="1"/>
  <c r="AC111" i="1"/>
  <c r="ER70" i="1" l="1"/>
  <c r="EN70" i="1"/>
  <c r="EL89" i="1"/>
  <c r="EL91" i="1"/>
  <c r="EL90" i="1"/>
  <c r="EL107" i="1"/>
  <c r="EL106" i="1"/>
  <c r="EL101" i="1"/>
  <c r="EL100" i="1"/>
  <c r="EL99" i="1"/>
  <c r="EL98" i="1"/>
  <c r="EL105" i="1"/>
  <c r="EL102" i="1"/>
  <c r="EL96" i="1"/>
  <c r="EL94" i="1"/>
  <c r="EL93" i="1"/>
  <c r="EL104" i="1"/>
  <c r="EL103" i="1"/>
  <c r="EL92" i="1"/>
  <c r="EL81" i="1"/>
  <c r="EM92" i="1" l="1"/>
  <c r="ET92" i="1"/>
  <c r="EM94" i="1"/>
  <c r="ET94" i="1"/>
  <c r="EM98" i="1"/>
  <c r="EN98" i="1" s="1"/>
  <c r="ET98" i="1"/>
  <c r="EM106" i="1"/>
  <c r="EN106" i="1" s="1"/>
  <c r="ET106" i="1"/>
  <c r="EM89" i="1"/>
  <c r="EN89" i="1" s="1"/>
  <c r="ET89" i="1"/>
  <c r="EM103" i="1"/>
  <c r="ET103" i="1"/>
  <c r="EM96" i="1"/>
  <c r="ET96" i="1"/>
  <c r="EM99" i="1"/>
  <c r="EN99" i="1" s="1"/>
  <c r="ET99" i="1"/>
  <c r="EM107" i="1"/>
  <c r="EN107" i="1" s="1"/>
  <c r="ET107" i="1"/>
  <c r="EM104" i="1"/>
  <c r="ET104" i="1"/>
  <c r="EM102" i="1"/>
  <c r="ET102" i="1"/>
  <c r="EM100" i="1"/>
  <c r="EN100" i="1" s="1"/>
  <c r="ET100" i="1"/>
  <c r="EM90" i="1"/>
  <c r="EN90" i="1" s="1"/>
  <c r="ET90" i="1"/>
  <c r="EM81" i="1"/>
  <c r="ET81" i="1"/>
  <c r="EM93" i="1"/>
  <c r="ET93" i="1"/>
  <c r="EM105" i="1"/>
  <c r="FQ105" i="1" s="1"/>
  <c r="ET105" i="1"/>
  <c r="EM101" i="1"/>
  <c r="EN101" i="1" s="1"/>
  <c r="ET101" i="1"/>
  <c r="EM91" i="1"/>
  <c r="EN91" i="1" s="1"/>
  <c r="ET91" i="1"/>
  <c r="EG40" i="1"/>
  <c r="ED40" i="1"/>
  <c r="EA40" i="1"/>
  <c r="ER81" i="1" l="1"/>
  <c r="EU81" i="1" s="1"/>
  <c r="EW81" i="1" s="1"/>
  <c r="EY81" i="1" s="1"/>
  <c r="EN104" i="1"/>
  <c r="EN103" i="1"/>
  <c r="EN94" i="1"/>
  <c r="EN93" i="1"/>
  <c r="EN102" i="1"/>
  <c r="EN96" i="1"/>
  <c r="EN92" i="1"/>
  <c r="EN81" i="1"/>
  <c r="EN105" i="1"/>
  <c r="FQ100" i="1"/>
  <c r="ER100" i="1"/>
  <c r="EU100" i="1" s="1"/>
  <c r="EW100" i="1" s="1"/>
  <c r="FQ99" i="1"/>
  <c r="ER99" i="1"/>
  <c r="EU99" i="1" s="1"/>
  <c r="FQ106" i="1"/>
  <c r="ER106" i="1"/>
  <c r="EU106" i="1" s="1"/>
  <c r="EW106" i="1" s="1"/>
  <c r="FQ91" i="1"/>
  <c r="ER91" i="1"/>
  <c r="EU91" i="1" s="1"/>
  <c r="EW91" i="1" s="1"/>
  <c r="FQ101" i="1"/>
  <c r="ER101" i="1"/>
  <c r="EU101" i="1" s="1"/>
  <c r="FQ90" i="1"/>
  <c r="ER90" i="1"/>
  <c r="EU90" i="1" s="1"/>
  <c r="EW90" i="1" s="1"/>
  <c r="FQ107" i="1"/>
  <c r="ER107" i="1"/>
  <c r="EU107" i="1" s="1"/>
  <c r="EW107" i="1" s="1"/>
  <c r="FQ89" i="1"/>
  <c r="ER89" i="1"/>
  <c r="EU89" i="1" s="1"/>
  <c r="FQ98" i="1"/>
  <c r="ER98" i="1"/>
  <c r="EU98" i="1" s="1"/>
  <c r="ER45" i="1"/>
  <c r="ER52" i="1"/>
  <c r="EW89" i="1" l="1"/>
  <c r="EY89" i="1" s="1"/>
  <c r="EY106" i="1"/>
  <c r="EY100" i="1"/>
  <c r="EW99" i="1"/>
  <c r="EY99" i="1" s="1"/>
  <c r="EY90" i="1"/>
  <c r="EY91" i="1"/>
  <c r="EY107" i="1"/>
  <c r="EW98" i="1"/>
  <c r="EY98" i="1" s="1"/>
  <c r="EW101" i="1"/>
  <c r="EY101" i="1" s="1"/>
  <c r="O35" i="1" l="1"/>
  <c r="O89" i="1"/>
  <c r="O92" i="1"/>
  <c r="O40" i="1"/>
  <c r="O10" i="1"/>
  <c r="O28" i="1"/>
  <c r="O24" i="1"/>
  <c r="O77" i="1"/>
  <c r="O76" i="1"/>
  <c r="Q66" i="1"/>
  <c r="Q54" i="1"/>
  <c r="Q41" i="1"/>
  <c r="Q51" i="1"/>
  <c r="Q48" i="1"/>
  <c r="P36" i="1"/>
  <c r="P37" i="1"/>
  <c r="P4" i="1"/>
  <c r="P45" i="1"/>
  <c r="P35" i="1"/>
  <c r="P6" i="1"/>
  <c r="P5" i="1"/>
  <c r="P13" i="1"/>
  <c r="P32" i="1"/>
  <c r="P92" i="1"/>
  <c r="P15" i="1"/>
  <c r="P34" i="1"/>
  <c r="P56" i="1"/>
  <c r="P25" i="1"/>
  <c r="P18" i="1"/>
  <c r="P39" i="1"/>
  <c r="P50" i="1"/>
  <c r="AI112" i="1"/>
  <c r="AJ112" i="1"/>
  <c r="AK112" i="1"/>
  <c r="AD91" i="1" l="1"/>
  <c r="I113" i="1" l="1"/>
  <c r="AE89" i="1" l="1"/>
  <c r="AD89" i="1" l="1"/>
  <c r="AE111" i="1"/>
  <c r="BR74" i="1"/>
  <c r="BR57" i="1"/>
  <c r="BR79" i="1"/>
  <c r="BR80" i="1"/>
  <c r="BR70" i="1"/>
  <c r="BR67" i="1"/>
  <c r="BR55" i="1"/>
  <c r="BR54" i="1"/>
  <c r="BR78" i="1"/>
  <c r="BR77" i="1"/>
  <c r="BR76" i="1"/>
  <c r="BR69" i="1"/>
  <c r="BR56" i="1"/>
  <c r="BR81" i="1"/>
  <c r="BR111" i="1" l="1"/>
  <c r="AD100" i="1"/>
  <c r="AD101" i="1"/>
  <c r="JC50" i="1" l="1"/>
  <c r="AD90" i="1" l="1"/>
  <c r="R90" i="1" s="1"/>
  <c r="HT90" i="1" l="1"/>
  <c r="HR90" i="1"/>
  <c r="W90" i="1"/>
  <c r="HL90" i="1"/>
  <c r="HK90" i="1"/>
  <c r="V90" i="1"/>
  <c r="BO44" i="1" l="1"/>
  <c r="BQ44" i="1" s="1"/>
  <c r="BO45" i="1"/>
  <c r="BO40" i="1"/>
  <c r="BO46" i="1"/>
  <c r="BO58" i="1"/>
  <c r="BP58" i="1" s="1"/>
  <c r="BO47" i="1"/>
  <c r="BP47" i="1" s="1"/>
  <c r="BO52" i="1"/>
  <c r="BP52" i="1" s="1"/>
  <c r="BO48" i="1"/>
  <c r="BP48" i="1" s="1"/>
  <c r="BO51" i="1"/>
  <c r="BO59" i="1"/>
  <c r="BP59" i="1" s="1"/>
  <c r="BS59" i="1" s="1"/>
  <c r="BO53" i="1"/>
  <c r="BP53" i="1" s="1"/>
  <c r="BS53" i="1" s="1"/>
  <c r="BO60" i="1"/>
  <c r="BO63" i="1"/>
  <c r="BP63" i="1" s="1"/>
  <c r="BO65" i="1"/>
  <c r="BQ65" i="1" s="1"/>
  <c r="BO61" i="1"/>
  <c r="BP61" i="1" s="1"/>
  <c r="BO62" i="1"/>
  <c r="BQ62" i="1" s="1"/>
  <c r="BO64" i="1"/>
  <c r="BP64" i="1" s="1"/>
  <c r="BO66" i="1"/>
  <c r="BP66" i="1" s="1"/>
  <c r="BO54" i="1"/>
  <c r="BP54" i="1" s="1"/>
  <c r="BO74" i="1"/>
  <c r="BP74" i="1" s="1"/>
  <c r="BO97" i="1"/>
  <c r="BP97" i="1" s="1"/>
  <c r="BO105" i="1"/>
  <c r="BP105" i="1" s="1"/>
  <c r="BO95" i="1"/>
  <c r="BP95" i="1" s="1"/>
  <c r="BO68" i="1"/>
  <c r="BP68" i="1" s="1"/>
  <c r="BO75" i="1"/>
  <c r="BP75" i="1" s="1"/>
  <c r="BO72" i="1"/>
  <c r="BP72" i="1" s="1"/>
  <c r="BO73" i="1"/>
  <c r="BP73" i="1" s="1"/>
  <c r="BO71" i="1"/>
  <c r="BP71" i="1" s="1"/>
  <c r="BO82" i="1"/>
  <c r="BP82" i="1" s="1"/>
  <c r="BO83" i="1"/>
  <c r="BP83" i="1" s="1"/>
  <c r="BO84" i="1"/>
  <c r="BP84" i="1" s="1"/>
  <c r="BO85" i="1"/>
  <c r="BP85" i="1" s="1"/>
  <c r="BO87" i="1"/>
  <c r="BP87" i="1" s="1"/>
  <c r="BO88" i="1"/>
  <c r="BP88" i="1" s="1"/>
  <c r="BO86" i="1"/>
  <c r="BP86" i="1" s="1"/>
  <c r="BO92" i="1"/>
  <c r="BP92" i="1" s="1"/>
  <c r="BO103" i="1"/>
  <c r="BP103" i="1" s="1"/>
  <c r="BO104" i="1"/>
  <c r="BP104" i="1" s="1"/>
  <c r="BO93" i="1"/>
  <c r="BP93" i="1" s="1"/>
  <c r="BO94" i="1"/>
  <c r="BP94" i="1" s="1"/>
  <c r="BO96" i="1"/>
  <c r="BP96" i="1" s="1"/>
  <c r="BO102" i="1"/>
  <c r="BP102" i="1" s="1"/>
  <c r="BO99" i="1"/>
  <c r="BP99" i="1" s="1"/>
  <c r="BS99" i="1" s="1"/>
  <c r="BO100" i="1"/>
  <c r="BP100" i="1" s="1"/>
  <c r="BS100" i="1" s="1"/>
  <c r="BO98" i="1"/>
  <c r="BP98" i="1" s="1"/>
  <c r="BS98" i="1" s="1"/>
  <c r="BO101" i="1"/>
  <c r="BP101" i="1" s="1"/>
  <c r="BS101" i="1" s="1"/>
  <c r="BO106" i="1"/>
  <c r="BP106" i="1" s="1"/>
  <c r="BS106" i="1" s="1"/>
  <c r="BO107" i="1"/>
  <c r="BP107" i="1" s="1"/>
  <c r="BS107" i="1" s="1"/>
  <c r="BP51" i="1"/>
  <c r="BL81" i="1"/>
  <c r="BM81" i="1" s="1"/>
  <c r="BL56" i="1"/>
  <c r="BM56" i="1" s="1"/>
  <c r="BL78" i="1"/>
  <c r="BM78" i="1" s="1"/>
  <c r="BL69" i="1"/>
  <c r="BM69" i="1" s="1"/>
  <c r="BL77" i="1"/>
  <c r="BM77" i="1" s="1"/>
  <c r="BL76" i="1"/>
  <c r="BM76" i="1" s="1"/>
  <c r="BL55" i="1"/>
  <c r="BM55" i="1" s="1"/>
  <c r="BL70" i="1"/>
  <c r="BM70" i="1" s="1"/>
  <c r="BL79" i="1"/>
  <c r="BM79" i="1" s="1"/>
  <c r="BL80" i="1"/>
  <c r="BM80" i="1" s="1"/>
  <c r="BM67" i="1"/>
  <c r="BL57" i="1"/>
  <c r="BM57" i="1" l="1"/>
  <c r="BO77" i="1"/>
  <c r="BP77" i="1" s="1"/>
  <c r="BO56" i="1"/>
  <c r="BQ56" i="1" s="1"/>
  <c r="BO70" i="1"/>
  <c r="BQ70" i="1" s="1"/>
  <c r="BO76" i="1"/>
  <c r="BP76" i="1" s="1"/>
  <c r="BO79" i="1"/>
  <c r="BP79" i="1" s="1"/>
  <c r="BO67" i="1"/>
  <c r="BQ67" i="1" s="1"/>
  <c r="BO81" i="1"/>
  <c r="BQ81" i="1" s="1"/>
  <c r="BO78" i="1"/>
  <c r="BQ78" i="1" s="1"/>
  <c r="BO55" i="1"/>
  <c r="BP55" i="1" s="1"/>
  <c r="BO57" i="1"/>
  <c r="BQ57" i="1" s="1"/>
  <c r="BO69" i="1"/>
  <c r="BP69" i="1" s="1"/>
  <c r="BO80" i="1"/>
  <c r="BQ80" i="1" s="1"/>
  <c r="BQ54" i="1"/>
  <c r="BQ59" i="1"/>
  <c r="BT59" i="1" s="1"/>
  <c r="BU59" i="1" s="1"/>
  <c r="BV59" i="1" s="1"/>
  <c r="BQ71" i="1"/>
  <c r="BQ61" i="1"/>
  <c r="BQ84" i="1"/>
  <c r="BQ105" i="1"/>
  <c r="BQ48" i="1"/>
  <c r="BP65" i="1"/>
  <c r="BP62" i="1"/>
  <c r="BQ58" i="1"/>
  <c r="BQ68" i="1"/>
  <c r="BQ107" i="1"/>
  <c r="BT107" i="1" s="1"/>
  <c r="BU107" i="1" s="1"/>
  <c r="BV107" i="1" s="1"/>
  <c r="BQ106" i="1"/>
  <c r="BT106" i="1" s="1"/>
  <c r="BU106" i="1" s="1"/>
  <c r="BV106" i="1" s="1"/>
  <c r="BQ101" i="1"/>
  <c r="BT101" i="1" s="1"/>
  <c r="BU101" i="1" s="1"/>
  <c r="BV101" i="1" s="1"/>
  <c r="BQ98" i="1"/>
  <c r="BT98" i="1" s="1"/>
  <c r="BU98" i="1" s="1"/>
  <c r="BV98" i="1" s="1"/>
  <c r="BQ100" i="1"/>
  <c r="BT100" i="1" s="1"/>
  <c r="BU100" i="1" s="1"/>
  <c r="BV100" i="1" s="1"/>
  <c r="BQ99" i="1"/>
  <c r="BT99" i="1" s="1"/>
  <c r="BU99" i="1" s="1"/>
  <c r="BV99" i="1" s="1"/>
  <c r="BQ102" i="1"/>
  <c r="BQ96" i="1"/>
  <c r="BQ94" i="1"/>
  <c r="BQ93" i="1"/>
  <c r="BQ104" i="1"/>
  <c r="BQ103" i="1"/>
  <c r="BQ92" i="1"/>
  <c r="BQ86" i="1"/>
  <c r="BQ88" i="1"/>
  <c r="BQ87" i="1"/>
  <c r="BQ85" i="1"/>
  <c r="BQ63" i="1"/>
  <c r="BQ51" i="1"/>
  <c r="BQ64" i="1"/>
  <c r="BQ83" i="1"/>
  <c r="BQ82" i="1"/>
  <c r="BQ73" i="1"/>
  <c r="BQ72" i="1"/>
  <c r="BQ75" i="1"/>
  <c r="BQ95" i="1"/>
  <c r="BQ97" i="1"/>
  <c r="BQ74" i="1"/>
  <c r="BQ53" i="1"/>
  <c r="BT53" i="1" s="1"/>
  <c r="BU53" i="1" s="1"/>
  <c r="BV53" i="1" s="1"/>
  <c r="BQ66" i="1"/>
  <c r="IU59" i="1"/>
  <c r="BT51" i="1" l="1"/>
  <c r="BU51" i="1" s="1"/>
  <c r="BV51" i="1" s="1"/>
  <c r="BS51" i="1"/>
  <c r="BT48" i="1"/>
  <c r="BS48" i="1"/>
  <c r="BP56" i="1"/>
  <c r="BP67" i="1"/>
  <c r="BP57" i="1"/>
  <c r="BQ77" i="1"/>
  <c r="BP81" i="1"/>
  <c r="BP70" i="1"/>
  <c r="BP80" i="1"/>
  <c r="BP78" i="1"/>
  <c r="BQ69" i="1"/>
  <c r="BQ76" i="1"/>
  <c r="BQ55" i="1"/>
  <c r="BQ79" i="1"/>
  <c r="BU48" i="1" l="1"/>
  <c r="BV48" i="1" s="1"/>
  <c r="DM39" i="1"/>
  <c r="EX39" i="1"/>
  <c r="EL97" i="1" l="1"/>
  <c r="EM97" i="1"/>
  <c r="ER97" i="1" l="1"/>
  <c r="EU97" i="1" s="1"/>
  <c r="BS97" i="1" s="1"/>
  <c r="ET97" i="1"/>
  <c r="EN97" i="1"/>
  <c r="FQ97" i="1"/>
  <c r="R101" i="1"/>
  <c r="S101" i="1"/>
  <c r="T101" i="1"/>
  <c r="U101" i="1"/>
  <c r="Y101" i="1"/>
  <c r="AD107" i="1"/>
  <c r="W107" i="1" s="1"/>
  <c r="AD99" i="1"/>
  <c r="AD102" i="1"/>
  <c r="Y98" i="1"/>
  <c r="U98" i="1"/>
  <c r="T98" i="1"/>
  <c r="S98" i="1"/>
  <c r="Y104" i="1"/>
  <c r="U104" i="1"/>
  <c r="T104" i="1"/>
  <c r="S104" i="1"/>
  <c r="Y106" i="1"/>
  <c r="U106" i="1"/>
  <c r="T106" i="1"/>
  <c r="S106" i="1"/>
  <c r="Y97" i="1"/>
  <c r="U97" i="1"/>
  <c r="T97" i="1"/>
  <c r="S97" i="1"/>
  <c r="Y95" i="1"/>
  <c r="U95" i="1"/>
  <c r="T95" i="1"/>
  <c r="S95" i="1"/>
  <c r="Y105" i="1"/>
  <c r="U105" i="1"/>
  <c r="T105" i="1"/>
  <c r="S105" i="1"/>
  <c r="Y92" i="1"/>
  <c r="U92" i="1"/>
  <c r="T92" i="1"/>
  <c r="S92" i="1"/>
  <c r="AD106" i="1"/>
  <c r="V106" i="1" s="1"/>
  <c r="EW97" i="1" l="1"/>
  <c r="EY97" i="1" s="1"/>
  <c r="BT97" i="1"/>
  <c r="BU97" i="1" s="1"/>
  <c r="BV97" i="1" s="1"/>
  <c r="V101" i="1"/>
  <c r="W101" i="1"/>
  <c r="R107" i="1"/>
  <c r="V107" i="1"/>
  <c r="W106" i="1"/>
  <c r="R106" i="1"/>
  <c r="AD93" i="1"/>
  <c r="AD94" i="1"/>
  <c r="AD105" i="1"/>
  <c r="AD98" i="1"/>
  <c r="AD97" i="1"/>
  <c r="V97" i="1" l="1"/>
  <c r="R97" i="1"/>
  <c r="W97" i="1"/>
  <c r="W98" i="1"/>
  <c r="V98" i="1"/>
  <c r="R98" i="1"/>
  <c r="W105" i="1"/>
  <c r="V105" i="1"/>
  <c r="R105" i="1"/>
  <c r="GI71" i="1" l="1"/>
  <c r="FF71" i="1" s="1"/>
  <c r="GI73" i="1"/>
  <c r="FF73" i="1" s="1"/>
  <c r="GI72" i="1"/>
  <c r="FF72" i="1" s="1"/>
  <c r="HJ71" i="1"/>
  <c r="HJ73" i="1"/>
  <c r="HJ72" i="1"/>
  <c r="HJ75" i="1"/>
  <c r="HH75" i="1"/>
  <c r="GI75" i="1" s="1"/>
  <c r="FF75" i="1" s="1"/>
  <c r="JG49" i="1" l="1"/>
  <c r="HX34" i="1" l="1"/>
  <c r="CG49" i="1" l="1"/>
  <c r="CH31" i="1"/>
  <c r="CH30" i="1"/>
  <c r="CH32" i="1"/>
  <c r="CH33" i="1"/>
  <c r="CH22" i="1"/>
  <c r="CH29" i="1"/>
  <c r="CH28" i="1"/>
  <c r="CH27" i="1"/>
  <c r="CH26" i="1"/>
  <c r="CH35" i="1"/>
  <c r="JA50" i="1" l="1"/>
  <c r="ED52" i="1" l="1"/>
  <c r="ED60" i="1"/>
  <c r="ED47" i="1"/>
  <c r="ED50" i="1"/>
  <c r="ED39" i="1"/>
  <c r="ED42" i="1"/>
  <c r="EA48" i="1" l="1"/>
  <c r="ED48" i="1"/>
  <c r="EG60" i="1" l="1"/>
  <c r="EG74" i="1"/>
  <c r="EG54" i="1"/>
  <c r="EG67" i="1"/>
  <c r="EG56" i="1"/>
  <c r="EG55" i="1"/>
  <c r="EG66" i="1"/>
  <c r="EG48" i="1"/>
  <c r="EG51" i="1"/>
  <c r="EG57" i="1"/>
  <c r="EG70" i="1"/>
  <c r="EG76" i="1"/>
  <c r="EG77" i="1"/>
  <c r="EG78" i="1"/>
  <c r="EG81" i="1"/>
  <c r="EG80" i="1"/>
  <c r="EG79" i="1"/>
  <c r="EG69" i="1"/>
  <c r="EG105" i="1"/>
  <c r="EG95" i="1"/>
  <c r="EG68" i="1"/>
  <c r="EG75" i="1"/>
  <c r="EG72" i="1"/>
  <c r="EG96" i="1"/>
  <c r="EG73" i="1"/>
  <c r="EG71" i="1"/>
  <c r="EG82" i="1"/>
  <c r="EG83" i="1"/>
  <c r="EG84" i="1"/>
  <c r="EG85" i="1"/>
  <c r="EG87" i="1"/>
  <c r="EG88" i="1"/>
  <c r="EG86" i="1"/>
  <c r="EG93" i="1"/>
  <c r="EG94" i="1"/>
  <c r="EG92" i="1"/>
  <c r="EG104" i="1"/>
  <c r="EG102" i="1"/>
  <c r="EG103" i="1"/>
  <c r="EG47" i="1"/>
  <c r="EG52" i="1"/>
  <c r="EG49" i="1"/>
  <c r="EG50" i="1"/>
  <c r="EG39" i="1"/>
  <c r="EO95" i="1" l="1"/>
  <c r="EO105" i="1"/>
  <c r="EM95" i="1"/>
  <c r="ER105" i="1"/>
  <c r="EU105" i="1" s="1"/>
  <c r="CI58" i="1"/>
  <c r="CI111" i="1" s="1"/>
  <c r="ER95" i="1" l="1"/>
  <c r="EU95" i="1" s="1"/>
  <c r="BS95" i="1" s="1"/>
  <c r="EW105" i="1"/>
  <c r="EY105" i="1" s="1"/>
  <c r="BS105" i="1"/>
  <c r="BT105" i="1"/>
  <c r="BU105" i="1" s="1"/>
  <c r="BV105" i="1" s="1"/>
  <c r="I19" i="1"/>
  <c r="I32" i="1"/>
  <c r="I25" i="1"/>
  <c r="J25" i="1" s="1"/>
  <c r="BT95" i="1" l="1"/>
  <c r="BU95" i="1" s="1"/>
  <c r="BV95" i="1" s="1"/>
  <c r="JE49" i="1" l="1"/>
  <c r="HE76" i="1" l="1"/>
  <c r="HE77" i="1"/>
  <c r="HI67" i="1" l="1"/>
  <c r="HI74" i="1"/>
  <c r="HX51" i="1"/>
  <c r="HX56" i="1"/>
  <c r="HI46" i="1" l="1"/>
  <c r="HI41" i="1"/>
  <c r="HX59" i="1"/>
  <c r="HX47" i="1"/>
  <c r="HX57" i="1"/>
  <c r="HX62" i="1"/>
  <c r="HX61" i="1"/>
  <c r="HX65" i="1"/>
  <c r="HX64" i="1"/>
  <c r="HX68" i="1"/>
  <c r="HX63" i="1"/>
  <c r="HX58" i="1"/>
  <c r="HX44" i="1"/>
  <c r="HX45" i="1"/>
  <c r="HX46" i="1"/>
  <c r="HX43" i="1"/>
  <c r="HX42" i="1"/>
  <c r="HX50" i="1"/>
  <c r="HX41" i="1"/>
  <c r="HG85" i="1" l="1"/>
  <c r="HG84" i="1"/>
  <c r="HG83" i="1"/>
  <c r="HG82" i="1"/>
  <c r="Y62" i="1"/>
  <c r="Y61" i="1"/>
  <c r="Y65" i="1"/>
  <c r="Y64" i="1"/>
  <c r="Y68" i="1"/>
  <c r="Y63" i="1"/>
  <c r="Y73" i="1"/>
  <c r="Y72" i="1"/>
  <c r="Y71" i="1"/>
  <c r="Y75" i="1"/>
  <c r="Y77" i="1"/>
  <c r="Y76" i="1"/>
  <c r="Y80" i="1"/>
  <c r="Y94" i="1"/>
  <c r="Y93" i="1"/>
  <c r="Y86" i="1"/>
  <c r="Y88" i="1"/>
  <c r="Y87" i="1"/>
  <c r="Y85" i="1"/>
  <c r="Y84" i="1"/>
  <c r="Y83" i="1"/>
  <c r="Y82" i="1"/>
  <c r="Y96" i="1"/>
  <c r="U80" i="1"/>
  <c r="U94" i="1"/>
  <c r="T94" i="1"/>
  <c r="U93" i="1"/>
  <c r="T93" i="1"/>
  <c r="T80" i="1"/>
  <c r="T77" i="1"/>
  <c r="S80" i="1"/>
  <c r="S103" i="1"/>
  <c r="S102" i="1"/>
  <c r="S78" i="1"/>
  <c r="S94" i="1"/>
  <c r="S93" i="1"/>
  <c r="S96" i="1"/>
  <c r="S69" i="1"/>
  <c r="S81" i="1"/>
  <c r="S79" i="1"/>
  <c r="S77" i="1"/>
  <c r="S76" i="1"/>
  <c r="GK85" i="1"/>
  <c r="GK84" i="1"/>
  <c r="GK83" i="1"/>
  <c r="GK82" i="1"/>
  <c r="GX78" i="1"/>
  <c r="DJ78" i="1"/>
  <c r="EO41" i="1" l="1"/>
  <c r="DQ32" i="1" l="1"/>
  <c r="DP32" i="1"/>
  <c r="DD32" i="1"/>
  <c r="CY32" i="1"/>
  <c r="CV32" i="1"/>
  <c r="CU32" i="1"/>
  <c r="CP32" i="1"/>
  <c r="CM32" i="1"/>
  <c r="DA32" i="1" l="1"/>
  <c r="CY111" i="1"/>
  <c r="CR32" i="1"/>
  <c r="CP111" i="1"/>
  <c r="CO32" i="1"/>
  <c r="CM111" i="1"/>
  <c r="DF32" i="1"/>
  <c r="DD111" i="1"/>
  <c r="CX32" i="1"/>
  <c r="CV111" i="1"/>
  <c r="DS32" i="1"/>
  <c r="DW32" i="1" l="1"/>
  <c r="DV32" i="1"/>
  <c r="DY32" i="1" l="1"/>
  <c r="DZ32" i="1"/>
  <c r="IA50" i="1"/>
  <c r="EC32" i="1" l="1"/>
  <c r="EB32" i="1"/>
  <c r="FQ39" i="1"/>
  <c r="FQ42" i="1"/>
  <c r="FQ43" i="1"/>
  <c r="FQ44" i="1"/>
  <c r="FQ45" i="1"/>
  <c r="FQ52" i="1"/>
  <c r="FQ95" i="1"/>
  <c r="FQ31" i="1"/>
  <c r="FQ30" i="1"/>
  <c r="FQ32" i="1"/>
  <c r="FQ33" i="1"/>
  <c r="FQ34" i="1"/>
  <c r="FQ37" i="1"/>
  <c r="FQ49" i="1"/>
  <c r="FQ38" i="1"/>
  <c r="FQ41" i="1"/>
  <c r="FQ27" i="1"/>
  <c r="FQ26" i="1"/>
  <c r="FQ21" i="1"/>
  <c r="FQ22" i="1"/>
  <c r="FQ28" i="1"/>
  <c r="EF32" i="1" l="1"/>
  <c r="EH32" i="1" s="1"/>
  <c r="EE32" i="1"/>
  <c r="IA53" i="1"/>
  <c r="IA38" i="1" l="1"/>
  <c r="FQ36" i="1" l="1"/>
  <c r="FQ20" i="1"/>
  <c r="FQ17" i="1"/>
  <c r="IU43" i="1" l="1"/>
  <c r="IA43" i="1" s="1"/>
  <c r="IE81" i="1" l="1"/>
  <c r="HN108" i="1" l="1"/>
  <c r="HO108" i="1"/>
  <c r="HP108" i="1"/>
  <c r="HS108" i="1"/>
  <c r="HV108" i="1"/>
  <c r="HW108" i="1"/>
  <c r="GI62" i="1"/>
  <c r="GI65" i="1"/>
  <c r="GI61" i="1"/>
  <c r="GI64" i="1"/>
  <c r="GZ58" i="1"/>
  <c r="HG62" i="1" l="1"/>
  <c r="FF62" i="1"/>
  <c r="HG65" i="1"/>
  <c r="FF65" i="1"/>
  <c r="HG64" i="1"/>
  <c r="FF64" i="1"/>
  <c r="HG61" i="1"/>
  <c r="FF61" i="1"/>
  <c r="GI95" i="1" l="1"/>
  <c r="HG95" i="1" s="1"/>
  <c r="GI78" i="1"/>
  <c r="HG78" i="1" s="1"/>
  <c r="GI59" i="1"/>
  <c r="AD33" i="1"/>
  <c r="AD25" i="1"/>
  <c r="AD32" i="1"/>
  <c r="AD34" i="1"/>
  <c r="AD26" i="1"/>
  <c r="AD28" i="1"/>
  <c r="AD30" i="1"/>
  <c r="AD68" i="1"/>
  <c r="AD65" i="1"/>
  <c r="AD35" i="1"/>
  <c r="AD38" i="1"/>
  <c r="AD36" i="1"/>
  <c r="AD37" i="1"/>
  <c r="GU37" i="1" s="1"/>
  <c r="AD39" i="1"/>
  <c r="AD43" i="1"/>
  <c r="AD44" i="1"/>
  <c r="AD41" i="1"/>
  <c r="AD46" i="1"/>
  <c r="AD42" i="1"/>
  <c r="AD47" i="1"/>
  <c r="AD48" i="1"/>
  <c r="AD50" i="1"/>
  <c r="AD49" i="1"/>
  <c r="AD60" i="1"/>
  <c r="AD51" i="1"/>
  <c r="AD57" i="1"/>
  <c r="GU57" i="1" s="1"/>
  <c r="AD52" i="1"/>
  <c r="GU52" i="1" s="1"/>
  <c r="AD54" i="1"/>
  <c r="GU54" i="1" s="1"/>
  <c r="AD55" i="1"/>
  <c r="GU55" i="1" s="1"/>
  <c r="AD56" i="1"/>
  <c r="AD58" i="1"/>
  <c r="AD74" i="1"/>
  <c r="AD70" i="1"/>
  <c r="AD67" i="1"/>
  <c r="AD71" i="1"/>
  <c r="AD64" i="1"/>
  <c r="AD82" i="1"/>
  <c r="AD83" i="1"/>
  <c r="AD84" i="1"/>
  <c r="AD85" i="1"/>
  <c r="AD59" i="1"/>
  <c r="AD66" i="1"/>
  <c r="AD61" i="1"/>
  <c r="AD79" i="1"/>
  <c r="AD96" i="1"/>
  <c r="AD62" i="1"/>
  <c r="AD76" i="1"/>
  <c r="AD53" i="1"/>
  <c r="AD77" i="1"/>
  <c r="AD69" i="1"/>
  <c r="AD72" i="1"/>
  <c r="AD87" i="1"/>
  <c r="AD88" i="1"/>
  <c r="AD86" i="1"/>
  <c r="AD92" i="1"/>
  <c r="AD78" i="1"/>
  <c r="AD81" i="1"/>
  <c r="AD73" i="1"/>
  <c r="AD16" i="1"/>
  <c r="AD8" i="1"/>
  <c r="AD104" i="1"/>
  <c r="AD27" i="1"/>
  <c r="AD7" i="1"/>
  <c r="AD95" i="1"/>
  <c r="AD2" i="1"/>
  <c r="AD3" i="1"/>
  <c r="AD4" i="1"/>
  <c r="AD5" i="1"/>
  <c r="AD63" i="1"/>
  <c r="AD6" i="1"/>
  <c r="AD10" i="1"/>
  <c r="AD9" i="1"/>
  <c r="AD31" i="1"/>
  <c r="AD11" i="1"/>
  <c r="AD12" i="1"/>
  <c r="AD22" i="1"/>
  <c r="AD17" i="1"/>
  <c r="AD14" i="1"/>
  <c r="AD21" i="1"/>
  <c r="AD19" i="1"/>
  <c r="AD20" i="1"/>
  <c r="AD13" i="1"/>
  <c r="AD15" i="1"/>
  <c r="AD18" i="1"/>
  <c r="AD75" i="1"/>
  <c r="AD24" i="1"/>
  <c r="AD23" i="1"/>
  <c r="AD29" i="1"/>
  <c r="HG59" i="1" l="1"/>
  <c r="FF59" i="1"/>
  <c r="GU35" i="1"/>
  <c r="HL2" i="1"/>
  <c r="V92" i="1"/>
  <c r="R92" i="1"/>
  <c r="W92" i="1"/>
  <c r="W95" i="1"/>
  <c r="V95" i="1"/>
  <c r="R95" i="1"/>
  <c r="W104" i="1"/>
  <c r="V104" i="1"/>
  <c r="R104" i="1"/>
  <c r="AR76" i="1"/>
  <c r="AQ76" i="1"/>
  <c r="AQ77" i="1"/>
  <c r="AP77" i="1"/>
  <c r="AO77" i="1"/>
  <c r="AN77" i="1"/>
  <c r="GU75" i="1"/>
  <c r="HL75" i="1"/>
  <c r="HK75" i="1"/>
  <c r="GU17" i="1"/>
  <c r="HL17" i="1"/>
  <c r="HK17" i="1"/>
  <c r="GU27" i="1"/>
  <c r="HK27" i="1"/>
  <c r="HL27" i="1"/>
  <c r="HK94" i="1"/>
  <c r="HL94" i="1"/>
  <c r="HK96" i="1"/>
  <c r="HL96" i="1"/>
  <c r="GL84" i="1"/>
  <c r="HL84" i="1"/>
  <c r="HK84" i="1"/>
  <c r="GU48" i="1"/>
  <c r="HK48" i="1"/>
  <c r="HL48" i="1"/>
  <c r="GU41" i="1"/>
  <c r="HK41" i="1"/>
  <c r="HL41" i="1"/>
  <c r="HK65" i="1"/>
  <c r="HL65" i="1"/>
  <c r="GU33" i="1"/>
  <c r="HL33" i="1"/>
  <c r="HK33" i="1"/>
  <c r="GU29" i="1"/>
  <c r="HK29" i="1"/>
  <c r="HL29" i="1"/>
  <c r="GU19" i="1"/>
  <c r="HK19" i="1"/>
  <c r="HL19" i="1"/>
  <c r="GU9" i="1"/>
  <c r="HL9" i="1"/>
  <c r="HK9" i="1"/>
  <c r="GU104" i="1"/>
  <c r="HK104" i="1"/>
  <c r="HL104" i="1"/>
  <c r="HK93" i="1"/>
  <c r="HL93" i="1"/>
  <c r="GU53" i="1"/>
  <c r="HB53" i="1"/>
  <c r="HK53" i="1"/>
  <c r="HL53" i="1"/>
  <c r="GU66" i="1"/>
  <c r="HK66" i="1"/>
  <c r="HL66" i="1"/>
  <c r="GU71" i="1"/>
  <c r="HK71" i="1"/>
  <c r="HL71" i="1"/>
  <c r="GU74" i="1"/>
  <c r="HL74" i="1"/>
  <c r="HK74" i="1"/>
  <c r="GU60" i="1"/>
  <c r="HL60" i="1"/>
  <c r="HK60" i="1"/>
  <c r="GU47" i="1"/>
  <c r="HK47" i="1"/>
  <c r="HL47" i="1"/>
  <c r="GU36" i="1"/>
  <c r="HL68" i="1"/>
  <c r="HK68" i="1"/>
  <c r="GU34" i="1"/>
  <c r="HK34" i="1"/>
  <c r="HL34" i="1"/>
  <c r="GU23" i="1"/>
  <c r="HL23" i="1"/>
  <c r="HK23" i="1"/>
  <c r="GU15" i="1"/>
  <c r="HK15" i="1"/>
  <c r="HL15" i="1"/>
  <c r="GU21" i="1"/>
  <c r="HL21" i="1"/>
  <c r="HK21" i="1"/>
  <c r="GU12" i="1"/>
  <c r="HK12" i="1"/>
  <c r="HL12" i="1"/>
  <c r="GU10" i="1"/>
  <c r="HL10" i="1"/>
  <c r="HK10" i="1"/>
  <c r="GU4" i="1"/>
  <c r="HK4" i="1"/>
  <c r="HL4" i="1"/>
  <c r="GU7" i="1"/>
  <c r="HK7" i="1"/>
  <c r="HL7" i="1"/>
  <c r="GU8" i="1"/>
  <c r="HK8" i="1"/>
  <c r="HL8" i="1"/>
  <c r="GU78" i="1"/>
  <c r="HL78" i="1"/>
  <c r="HK78" i="1"/>
  <c r="HB78" i="1"/>
  <c r="GU92" i="1"/>
  <c r="HL92" i="1"/>
  <c r="HK92" i="1"/>
  <c r="GU72" i="1"/>
  <c r="HK72" i="1"/>
  <c r="HL72" i="1"/>
  <c r="GU76" i="1"/>
  <c r="HK76" i="1"/>
  <c r="HL76" i="1"/>
  <c r="GU79" i="1"/>
  <c r="HL79" i="1"/>
  <c r="HK79" i="1"/>
  <c r="GU59" i="1"/>
  <c r="HK59" i="1"/>
  <c r="HL59" i="1"/>
  <c r="HB59" i="1"/>
  <c r="GU102" i="1"/>
  <c r="HK102" i="1"/>
  <c r="HL102" i="1"/>
  <c r="GU67" i="1"/>
  <c r="HK67" i="1"/>
  <c r="HL67" i="1"/>
  <c r="GU58" i="1"/>
  <c r="HK58" i="1"/>
  <c r="HL58" i="1"/>
  <c r="GU49" i="1"/>
  <c r="HL49" i="1"/>
  <c r="HK49" i="1"/>
  <c r="GU42" i="1"/>
  <c r="HL42" i="1"/>
  <c r="HK42" i="1"/>
  <c r="GU43" i="1"/>
  <c r="HK43" i="1"/>
  <c r="HL43" i="1"/>
  <c r="GU38" i="1"/>
  <c r="HL38" i="1"/>
  <c r="HK38" i="1"/>
  <c r="GU30" i="1"/>
  <c r="HK30" i="1"/>
  <c r="HL30" i="1"/>
  <c r="GU32" i="1"/>
  <c r="HL32" i="1"/>
  <c r="HK32" i="1"/>
  <c r="GU20" i="1"/>
  <c r="HL20" i="1"/>
  <c r="HK20" i="1"/>
  <c r="GU31" i="1"/>
  <c r="HK31" i="1"/>
  <c r="HL31" i="1"/>
  <c r="HL63" i="1"/>
  <c r="HK63" i="1"/>
  <c r="HL95" i="1"/>
  <c r="HK95" i="1"/>
  <c r="HB95" i="1"/>
  <c r="GU73" i="1"/>
  <c r="HL73" i="1"/>
  <c r="HK73" i="1"/>
  <c r="HL88" i="1"/>
  <c r="HK88" i="1"/>
  <c r="GU77" i="1"/>
  <c r="HK77" i="1"/>
  <c r="HL77" i="1"/>
  <c r="HK80" i="1"/>
  <c r="HL80" i="1"/>
  <c r="HK64" i="1"/>
  <c r="HL64" i="1"/>
  <c r="GU70" i="1"/>
  <c r="HK70" i="1"/>
  <c r="HL70" i="1"/>
  <c r="GU51" i="1"/>
  <c r="HL51" i="1"/>
  <c r="HK51" i="1"/>
  <c r="GU26" i="1"/>
  <c r="HL26" i="1"/>
  <c r="HK26" i="1"/>
  <c r="GU18" i="1"/>
  <c r="HK18" i="1"/>
  <c r="HL18" i="1"/>
  <c r="GU22" i="1"/>
  <c r="HL22" i="1"/>
  <c r="HK22" i="1"/>
  <c r="GU5" i="1"/>
  <c r="HK5" i="1"/>
  <c r="HL5" i="1"/>
  <c r="GU103" i="1"/>
  <c r="HK103" i="1"/>
  <c r="HL103" i="1"/>
  <c r="GU81" i="1"/>
  <c r="HL81" i="1"/>
  <c r="HK81" i="1"/>
  <c r="HK87" i="1"/>
  <c r="HL87" i="1"/>
  <c r="GL83" i="1"/>
  <c r="HL83" i="1"/>
  <c r="HK83" i="1"/>
  <c r="GU44" i="1"/>
  <c r="HK44" i="1"/>
  <c r="HL44" i="1"/>
  <c r="GU24" i="1"/>
  <c r="HL24" i="1"/>
  <c r="HK24" i="1"/>
  <c r="GU13" i="1"/>
  <c r="HL13" i="1"/>
  <c r="HK13" i="1"/>
  <c r="GU14" i="1"/>
  <c r="HL14" i="1"/>
  <c r="HK14" i="1"/>
  <c r="GU11" i="1"/>
  <c r="HK11" i="1"/>
  <c r="HL11" i="1"/>
  <c r="GU6" i="1"/>
  <c r="HL6" i="1"/>
  <c r="HK6" i="1"/>
  <c r="GU3" i="1"/>
  <c r="HL3" i="1"/>
  <c r="HK3" i="1"/>
  <c r="GU16" i="1"/>
  <c r="HK16" i="1"/>
  <c r="HL16" i="1"/>
  <c r="HL86" i="1"/>
  <c r="HK86" i="1"/>
  <c r="GU69" i="1"/>
  <c r="HK69" i="1"/>
  <c r="HL69" i="1"/>
  <c r="HL62" i="1"/>
  <c r="HK62" i="1"/>
  <c r="HL61" i="1"/>
  <c r="HK61" i="1"/>
  <c r="GL85" i="1"/>
  <c r="HK85" i="1"/>
  <c r="HL85" i="1"/>
  <c r="GL82" i="1"/>
  <c r="HK82" i="1"/>
  <c r="HB82" i="1"/>
  <c r="HL82" i="1"/>
  <c r="GU56" i="1"/>
  <c r="HL56" i="1"/>
  <c r="HK56" i="1"/>
  <c r="GU50" i="1"/>
  <c r="HK50" i="1"/>
  <c r="HL50" i="1"/>
  <c r="GU46" i="1"/>
  <c r="HL46" i="1"/>
  <c r="HK46" i="1"/>
  <c r="GU39" i="1"/>
  <c r="HL39" i="1"/>
  <c r="HK39" i="1"/>
  <c r="GU28" i="1"/>
  <c r="HK28" i="1"/>
  <c r="HL28" i="1"/>
  <c r="GU25" i="1"/>
  <c r="HK25" i="1"/>
  <c r="HL25" i="1"/>
  <c r="GU95" i="1"/>
  <c r="R96" i="1"/>
  <c r="GU96" i="1"/>
  <c r="R80" i="1"/>
  <c r="GU80" i="1"/>
  <c r="W94" i="1"/>
  <c r="V94" i="1"/>
  <c r="R94" i="1"/>
  <c r="V93" i="1"/>
  <c r="W93" i="1"/>
  <c r="R93" i="1"/>
  <c r="R102" i="1"/>
  <c r="V102" i="1"/>
  <c r="W102" i="1"/>
  <c r="GL59" i="1"/>
  <c r="GK59" i="1"/>
  <c r="GL78" i="1"/>
  <c r="GK78" i="1"/>
  <c r="AP80" i="1"/>
  <c r="AM80" i="1"/>
  <c r="AO80" i="1"/>
  <c r="AR80" i="1"/>
  <c r="AN80" i="1"/>
  <c r="AQ80" i="1"/>
  <c r="AM78" i="1"/>
  <c r="AP78" i="1"/>
  <c r="AR78" i="1"/>
  <c r="AQ78" i="1"/>
  <c r="AO78" i="1"/>
  <c r="AR79" i="1"/>
  <c r="AQ79" i="1"/>
  <c r="AP79" i="1"/>
  <c r="AO79" i="1"/>
  <c r="AR81" i="1"/>
  <c r="AQ81" i="1"/>
  <c r="AM81" i="1"/>
  <c r="AP81" i="1"/>
  <c r="AO81" i="1"/>
  <c r="AN81" i="1"/>
  <c r="AP32" i="1"/>
  <c r="AO32" i="1"/>
  <c r="U102" i="1"/>
  <c r="U96" i="1"/>
  <c r="U78" i="1"/>
  <c r="U77" i="1"/>
  <c r="U76" i="1"/>
  <c r="U81" i="1"/>
  <c r="U79" i="1"/>
  <c r="T69" i="1"/>
  <c r="T78" i="1"/>
  <c r="T76" i="1"/>
  <c r="T81" i="1"/>
  <c r="T79" i="1"/>
  <c r="T96" i="1"/>
  <c r="EM58" i="1" l="1"/>
  <c r="FQ58" i="1" l="1"/>
  <c r="IA58" i="1"/>
  <c r="CK59" i="1"/>
  <c r="CK15" i="1"/>
  <c r="CK24" i="1"/>
  <c r="CK23" i="1"/>
  <c r="CK29" i="1"/>
  <c r="CK18" i="1"/>
  <c r="CK33" i="1"/>
  <c r="CK25" i="1"/>
  <c r="CK32" i="1"/>
  <c r="CK35" i="1"/>
  <c r="CK34" i="1"/>
  <c r="CK26" i="1"/>
  <c r="CK28" i="1"/>
  <c r="CK30" i="1"/>
  <c r="CK38" i="1"/>
  <c r="CK37" i="1"/>
  <c r="CK50" i="1"/>
  <c r="CK43" i="1"/>
  <c r="CK44" i="1"/>
  <c r="CK41" i="1"/>
  <c r="CK46" i="1"/>
  <c r="CK42" i="1"/>
  <c r="CK45" i="1"/>
  <c r="CK4" i="1"/>
  <c r="CK5" i="1"/>
  <c r="CK8" i="1"/>
  <c r="CK11" i="1"/>
  <c r="CK12" i="1"/>
  <c r="CK22" i="1"/>
  <c r="CK6" i="1"/>
  <c r="CK17" i="1"/>
  <c r="CK14" i="1"/>
  <c r="CK21" i="1"/>
  <c r="CK19" i="1"/>
  <c r="CK20" i="1"/>
  <c r="CK13" i="1"/>
  <c r="EL6" i="1"/>
  <c r="EN6" i="1" s="1"/>
  <c r="EL95" i="1"/>
  <c r="EN95" i="1" s="1"/>
  <c r="EL7" i="1"/>
  <c r="EN7" i="1" s="1"/>
  <c r="EL27" i="1"/>
  <c r="EN27" i="1" s="1"/>
  <c r="EL86" i="1"/>
  <c r="EL88" i="1"/>
  <c r="EL87" i="1"/>
  <c r="EL9" i="1"/>
  <c r="EN9" i="1" s="1"/>
  <c r="EL16" i="1"/>
  <c r="EN16" i="1" s="1"/>
  <c r="EL85" i="1"/>
  <c r="EL84" i="1"/>
  <c r="EL66" i="1"/>
  <c r="EL83" i="1"/>
  <c r="EL82" i="1"/>
  <c r="EL73" i="1"/>
  <c r="EL72" i="1"/>
  <c r="EL71" i="1"/>
  <c r="EL75" i="1"/>
  <c r="EL53" i="1"/>
  <c r="EL59" i="1"/>
  <c r="EL62" i="1"/>
  <c r="EL61" i="1"/>
  <c r="EL64" i="1"/>
  <c r="EL65" i="1"/>
  <c r="EL68" i="1"/>
  <c r="EL63" i="1"/>
  <c r="EL31" i="1"/>
  <c r="EN31" i="1" s="1"/>
  <c r="EL78" i="1"/>
  <c r="EL77" i="1"/>
  <c r="EL56" i="1"/>
  <c r="EL76" i="1"/>
  <c r="EL69" i="1"/>
  <c r="EL79" i="1"/>
  <c r="EL80" i="1"/>
  <c r="EL55" i="1"/>
  <c r="EL67" i="1"/>
  <c r="EL3" i="1"/>
  <c r="EN3" i="1" s="1"/>
  <c r="EL74" i="1"/>
  <c r="EL54" i="1"/>
  <c r="EL52" i="1"/>
  <c r="EL57" i="1"/>
  <c r="EL51" i="1"/>
  <c r="EN51" i="1" s="1"/>
  <c r="EL48" i="1"/>
  <c r="EL47" i="1"/>
  <c r="EL60" i="1"/>
  <c r="EL10" i="1"/>
  <c r="EN10" i="1" s="1"/>
  <c r="EL40" i="1"/>
  <c r="EL58" i="1"/>
  <c r="EN58" i="1" s="1"/>
  <c r="EL45" i="1"/>
  <c r="EN45" i="1" s="1"/>
  <c r="EL39" i="1"/>
  <c r="EN39" i="1" s="1"/>
  <c r="EL42" i="1"/>
  <c r="EN42" i="1" s="1"/>
  <c r="EL46" i="1"/>
  <c r="EL41" i="1"/>
  <c r="EN41" i="1" s="1"/>
  <c r="EL49" i="1"/>
  <c r="EN49" i="1" s="1"/>
  <c r="EL44" i="1"/>
  <c r="EN44" i="1" s="1"/>
  <c r="EL43" i="1"/>
  <c r="EN43" i="1" s="1"/>
  <c r="EL50" i="1"/>
  <c r="EN50" i="1" s="1"/>
  <c r="EL37" i="1"/>
  <c r="EN37" i="1" s="1"/>
  <c r="EL36" i="1"/>
  <c r="EN36" i="1" s="1"/>
  <c r="EL38" i="1"/>
  <c r="EN38" i="1" s="1"/>
  <c r="EL30" i="1"/>
  <c r="EN30" i="1" s="1"/>
  <c r="EL28" i="1"/>
  <c r="EN28" i="1" s="1"/>
  <c r="EL26" i="1"/>
  <c r="EN26" i="1" s="1"/>
  <c r="EL34" i="1"/>
  <c r="EN34" i="1" s="1"/>
  <c r="EL35" i="1"/>
  <c r="EN35" i="1" s="1"/>
  <c r="EL32" i="1"/>
  <c r="EL25" i="1"/>
  <c r="EN25" i="1" s="1"/>
  <c r="EL33" i="1"/>
  <c r="EN33" i="1" s="1"/>
  <c r="EL18" i="1"/>
  <c r="EN18" i="1" s="1"/>
  <c r="EL29" i="1"/>
  <c r="EN29" i="1" s="1"/>
  <c r="EL23" i="1"/>
  <c r="EN23" i="1" s="1"/>
  <c r="EL24" i="1"/>
  <c r="EN24" i="1" s="1"/>
  <c r="EL15" i="1"/>
  <c r="EN15" i="1" s="1"/>
  <c r="EL13" i="1"/>
  <c r="EN13" i="1" s="1"/>
  <c r="EL20" i="1"/>
  <c r="EN20" i="1" s="1"/>
  <c r="EL19" i="1"/>
  <c r="EN19" i="1" s="1"/>
  <c r="EL21" i="1"/>
  <c r="EN21" i="1" s="1"/>
  <c r="EL14" i="1"/>
  <c r="EN14" i="1" s="1"/>
  <c r="EL17" i="1"/>
  <c r="EN17" i="1" s="1"/>
  <c r="EL22" i="1"/>
  <c r="EN22" i="1" s="1"/>
  <c r="EL12" i="1"/>
  <c r="EN12" i="1" s="1"/>
  <c r="EL11" i="1"/>
  <c r="EN11" i="1" s="1"/>
  <c r="EL8" i="1"/>
  <c r="EN8" i="1" s="1"/>
  <c r="EL5" i="1"/>
  <c r="EN5" i="1" s="1"/>
  <c r="EL4" i="1"/>
  <c r="EN4" i="1" s="1"/>
  <c r="EN52" i="1" l="1"/>
  <c r="EN48" i="1"/>
  <c r="EN32" i="1"/>
  <c r="ET56" i="1"/>
  <c r="ET63" i="1"/>
  <c r="ET75" i="1"/>
  <c r="ET85" i="1"/>
  <c r="ET88" i="1"/>
  <c r="ET57" i="1"/>
  <c r="ET79" i="1"/>
  <c r="ET77" i="1"/>
  <c r="ET68" i="1"/>
  <c r="ET62" i="1"/>
  <c r="ET71" i="1"/>
  <c r="ET83" i="1"/>
  <c r="ET86" i="1"/>
  <c r="ET55" i="1"/>
  <c r="ET76" i="1"/>
  <c r="ET64" i="1"/>
  <c r="ET73" i="1"/>
  <c r="ET84" i="1"/>
  <c r="ET87" i="1"/>
  <c r="ET61" i="1"/>
  <c r="ET82" i="1"/>
  <c r="ET67" i="1"/>
  <c r="ET65" i="1"/>
  <c r="ET72" i="1"/>
  <c r="ET51" i="1"/>
  <c r="EW51" i="1" s="1"/>
  <c r="ET50" i="1"/>
  <c r="EW50" i="1" s="1"/>
  <c r="ET60" i="1"/>
  <c r="ET46" i="1"/>
  <c r="EW46" i="1" s="1"/>
  <c r="ET40" i="1"/>
  <c r="EW40" i="1" s="1"/>
  <c r="ET48" i="1"/>
  <c r="EW48" i="1" s="1"/>
  <c r="ET53" i="1"/>
  <c r="EW53" i="1" s="1"/>
  <c r="EM74" i="1"/>
  <c r="ET74" i="1"/>
  <c r="EM80" i="1"/>
  <c r="ET80" i="1"/>
  <c r="ET95" i="1"/>
  <c r="EM54" i="1"/>
  <c r="ET54" i="1"/>
  <c r="EM69" i="1"/>
  <c r="ER69" i="1" s="1"/>
  <c r="EU69" i="1" s="1"/>
  <c r="ET69" i="1"/>
  <c r="EM78" i="1"/>
  <c r="ET78" i="1"/>
  <c r="EM66" i="1"/>
  <c r="ET66" i="1"/>
  <c r="ET41" i="1"/>
  <c r="EW41" i="1" s="1"/>
  <c r="ET45" i="1"/>
  <c r="EW45" i="1" s="1"/>
  <c r="ET39" i="1"/>
  <c r="EW39" i="1" s="1"/>
  <c r="ET43" i="1"/>
  <c r="EW43" i="1" s="1"/>
  <c r="ET58" i="1"/>
  <c r="ET47" i="1"/>
  <c r="ET52" i="1"/>
  <c r="ET49" i="1"/>
  <c r="ET44" i="1"/>
  <c r="EW44" i="1" s="1"/>
  <c r="ET42" i="1"/>
  <c r="ET59" i="1"/>
  <c r="EW59" i="1" s="1"/>
  <c r="ET11" i="1"/>
  <c r="EW11" i="1" s="1"/>
  <c r="ET29" i="1"/>
  <c r="EW29" i="1" s="1"/>
  <c r="ET4" i="1"/>
  <c r="ET21" i="1"/>
  <c r="EW21" i="1" s="1"/>
  <c r="ET15" i="1"/>
  <c r="EW15" i="1" s="1"/>
  <c r="ET18" i="1"/>
  <c r="EW18" i="1" s="1"/>
  <c r="ET35" i="1"/>
  <c r="EW35" i="1" s="1"/>
  <c r="ET30" i="1"/>
  <c r="EW30" i="1" s="1"/>
  <c r="ET14" i="1"/>
  <c r="EW14" i="1" s="1"/>
  <c r="ET32" i="1"/>
  <c r="EW32" i="1" s="1"/>
  <c r="ET10" i="1"/>
  <c r="ET7" i="1"/>
  <c r="ET12" i="1"/>
  <c r="EW12" i="1" s="1"/>
  <c r="ET5" i="1"/>
  <c r="ET22" i="1"/>
  <c r="EW22" i="1" s="1"/>
  <c r="ET19" i="1"/>
  <c r="EW19" i="1" s="1"/>
  <c r="ET24" i="1"/>
  <c r="EW24" i="1" s="1"/>
  <c r="ET33" i="1"/>
  <c r="EW33" i="1" s="1"/>
  <c r="ET34" i="1"/>
  <c r="EW34" i="1" s="1"/>
  <c r="ET38" i="1"/>
  <c r="EW38" i="1" s="1"/>
  <c r="ET3" i="1"/>
  <c r="ET16" i="1"/>
  <c r="EW16" i="1" s="1"/>
  <c r="ET6" i="1"/>
  <c r="ET13" i="1"/>
  <c r="EW13" i="1" s="1"/>
  <c r="ET28" i="1"/>
  <c r="EW28" i="1" s="1"/>
  <c r="ET37" i="1"/>
  <c r="EW37" i="1" s="1"/>
  <c r="ET31" i="1"/>
  <c r="EW31" i="1" s="1"/>
  <c r="ET8" i="1"/>
  <c r="ET17" i="1"/>
  <c r="EW17" i="1" s="1"/>
  <c r="ET20" i="1"/>
  <c r="EW20" i="1" s="1"/>
  <c r="ET23" i="1"/>
  <c r="EW23" i="1" s="1"/>
  <c r="ET25" i="1"/>
  <c r="ET26" i="1"/>
  <c r="EW26" i="1" s="1"/>
  <c r="ET36" i="1"/>
  <c r="EW36" i="1" s="1"/>
  <c r="ET9" i="1"/>
  <c r="ET27" i="1"/>
  <c r="EW27" i="1" s="1"/>
  <c r="EM56" i="1"/>
  <c r="EM55" i="1"/>
  <c r="EM79" i="1"/>
  <c r="EM77" i="1"/>
  <c r="EM76" i="1"/>
  <c r="EM67" i="1"/>
  <c r="EM57" i="1"/>
  <c r="ER80" i="1" l="1"/>
  <c r="EU80" i="1" s="1"/>
  <c r="ER67" i="1"/>
  <c r="EU67" i="1" s="1"/>
  <c r="ER55" i="1"/>
  <c r="EU55" i="1" s="1"/>
  <c r="ER78" i="1"/>
  <c r="EU78" i="1" s="1"/>
  <c r="EW78" i="1" s="1"/>
  <c r="EY78" i="1" s="1"/>
  <c r="ER54" i="1"/>
  <c r="EU54" i="1" s="1"/>
  <c r="EW54" i="1" s="1"/>
  <c r="EY54" i="1" s="1"/>
  <c r="ER79" i="1"/>
  <c r="EU79" i="1" s="1"/>
  <c r="ER76" i="1"/>
  <c r="EU76" i="1" s="1"/>
  <c r="ER56" i="1"/>
  <c r="EU56" i="1" s="1"/>
  <c r="ER74" i="1"/>
  <c r="EU74" i="1" s="1"/>
  <c r="ER57" i="1"/>
  <c r="EU57" i="1" s="1"/>
  <c r="ER77" i="1"/>
  <c r="EU77" i="1" s="1"/>
  <c r="ER66" i="1"/>
  <c r="EU66" i="1" s="1"/>
  <c r="EN69" i="1"/>
  <c r="EN76" i="1"/>
  <c r="EW69" i="1"/>
  <c r="EY69" i="1" s="1"/>
  <c r="EN66" i="1"/>
  <c r="EN67" i="1"/>
  <c r="EN80" i="1"/>
  <c r="EW25" i="1"/>
  <c r="EY25" i="1" s="1"/>
  <c r="EW8" i="1"/>
  <c r="EY8" i="1" s="1"/>
  <c r="EN74" i="1"/>
  <c r="EW5" i="1"/>
  <c r="EY5" i="1" s="1"/>
  <c r="EN78" i="1"/>
  <c r="EN56" i="1"/>
  <c r="EN54" i="1"/>
  <c r="EW7" i="1"/>
  <c r="EY7" i="1" s="1"/>
  <c r="EW49" i="1"/>
  <c r="EY49" i="1" s="1"/>
  <c r="EW95" i="1"/>
  <c r="EY95" i="1" s="1"/>
  <c r="EW9" i="1"/>
  <c r="EY9" i="1" s="1"/>
  <c r="EW6" i="1"/>
  <c r="EY6" i="1" s="1"/>
  <c r="EW10" i="1"/>
  <c r="EY10" i="1" s="1"/>
  <c r="EW4" i="1"/>
  <c r="EN79" i="1"/>
  <c r="EW3" i="1"/>
  <c r="EY3" i="1" s="1"/>
  <c r="EN55" i="1"/>
  <c r="EN77" i="1"/>
  <c r="EN57" i="1"/>
  <c r="EY44" i="1"/>
  <c r="EY43" i="1"/>
  <c r="EY41" i="1"/>
  <c r="EY53" i="1"/>
  <c r="EY46" i="1"/>
  <c r="EY59" i="1"/>
  <c r="EY39" i="1"/>
  <c r="EW42" i="1"/>
  <c r="EY45" i="1"/>
  <c r="EY48" i="1"/>
  <c r="EY51" i="1"/>
  <c r="DM57" i="1"/>
  <c r="CK95" i="1"/>
  <c r="DM37" i="1"/>
  <c r="EW66" i="1" l="1"/>
  <c r="EY66" i="1" s="1"/>
  <c r="EW56" i="1"/>
  <c r="EY56" i="1" s="1"/>
  <c r="EW74" i="1"/>
  <c r="EY74" i="1" s="1"/>
  <c r="EW79" i="1"/>
  <c r="EY79" i="1" s="1"/>
  <c r="EW57" i="1"/>
  <c r="EY57" i="1" s="1"/>
  <c r="EW67" i="1"/>
  <c r="EY67" i="1" s="1"/>
  <c r="EW77" i="1"/>
  <c r="EY77" i="1" s="1"/>
  <c r="EW55" i="1"/>
  <c r="EY55" i="1" s="1"/>
  <c r="EW76" i="1"/>
  <c r="EY76" i="1" s="1"/>
  <c r="EW80" i="1"/>
  <c r="EY80" i="1" s="1"/>
  <c r="EY4" i="1"/>
  <c r="EY42" i="1"/>
  <c r="IA36" i="1" l="1"/>
  <c r="IA37" i="1"/>
  <c r="IA49" i="1"/>
  <c r="IA4" i="1"/>
  <c r="IA95" i="1"/>
  <c r="IA45" i="1"/>
  <c r="IA35" i="1"/>
  <c r="IA7" i="1"/>
  <c r="IA6" i="1"/>
  <c r="IA5" i="1"/>
  <c r="IA66" i="1"/>
  <c r="IA59" i="1"/>
  <c r="IA27" i="1"/>
  <c r="IA26" i="1"/>
  <c r="IA23" i="1"/>
  <c r="IA13" i="1"/>
  <c r="IA104" i="1"/>
  <c r="IA32" i="1"/>
  <c r="IA46" i="1"/>
  <c r="IA54" i="1"/>
  <c r="IA9" i="1"/>
  <c r="IA8" i="1"/>
  <c r="IA16" i="1"/>
  <c r="IA15" i="1"/>
  <c r="IA73" i="1"/>
  <c r="IA42" i="1"/>
  <c r="IA34" i="1"/>
  <c r="IA81" i="1"/>
  <c r="IA56" i="1"/>
  <c r="IA17" i="1"/>
  <c r="IA78" i="1"/>
  <c r="IA94" i="1"/>
  <c r="IA93" i="1"/>
  <c r="IA92" i="1"/>
  <c r="IA21" i="1"/>
  <c r="IA40" i="1"/>
  <c r="IA25" i="1"/>
  <c r="IA60" i="1"/>
  <c r="IA86" i="1"/>
  <c r="IA88" i="1"/>
  <c r="IA20" i="1"/>
  <c r="IA10" i="1"/>
  <c r="IA19" i="1"/>
  <c r="IA41" i="1"/>
  <c r="IA87" i="1"/>
  <c r="IA72" i="1"/>
  <c r="IA52" i="1"/>
  <c r="IA3" i="1"/>
  <c r="IA18" i="1"/>
  <c r="IA28" i="1"/>
  <c r="IA24" i="1"/>
  <c r="IA69" i="1"/>
  <c r="IA77" i="1"/>
  <c r="IA76" i="1"/>
  <c r="IA47" i="1"/>
  <c r="IA62" i="1"/>
  <c r="IA55" i="1"/>
  <c r="IA14" i="1"/>
  <c r="IA96" i="1"/>
  <c r="IA74" i="1"/>
  <c r="IA39" i="1"/>
  <c r="IA29" i="1"/>
  <c r="IA11" i="1"/>
  <c r="IA2" i="1"/>
  <c r="IA70" i="1"/>
  <c r="IA79" i="1"/>
  <c r="IA33" i="1"/>
  <c r="IA61" i="1"/>
  <c r="IA85" i="1"/>
  <c r="IA84" i="1"/>
  <c r="IA83" i="1"/>
  <c r="IA102" i="1"/>
  <c r="IA51" i="1"/>
  <c r="IA48" i="1"/>
  <c r="IA82" i="1"/>
  <c r="IA64" i="1"/>
  <c r="IA80" i="1"/>
  <c r="IA71" i="1"/>
  <c r="IA67" i="1"/>
  <c r="IA65" i="1"/>
  <c r="IA57" i="1"/>
  <c r="IA22" i="1"/>
  <c r="IA68" i="1"/>
  <c r="IA75" i="1"/>
  <c r="IA31" i="1"/>
  <c r="IA30" i="1"/>
  <c r="IA12" i="1"/>
  <c r="IA103" i="1"/>
  <c r="IA44" i="1"/>
  <c r="IA63" i="1"/>
  <c r="CO30" i="1" l="1"/>
  <c r="CO31" i="1"/>
  <c r="CO33" i="1"/>
  <c r="CO29" i="1"/>
  <c r="CO24" i="1"/>
  <c r="CO28" i="1"/>
  <c r="CO25" i="1"/>
  <c r="CO34" i="1"/>
  <c r="CO23" i="1"/>
  <c r="CO26" i="1"/>
  <c r="CO27" i="1"/>
  <c r="CO12" i="1"/>
  <c r="CO22" i="1"/>
  <c r="EG53" i="1"/>
  <c r="ED53" i="1"/>
  <c r="ED73" i="1"/>
  <c r="ED81" i="1"/>
  <c r="ED78" i="1"/>
  <c r="ED92" i="1"/>
  <c r="ED72" i="1"/>
  <c r="ED76" i="1"/>
  <c r="ED79" i="1"/>
  <c r="ED80" i="1"/>
  <c r="ED71" i="1"/>
  <c r="ED75" i="1"/>
  <c r="EA53" i="1"/>
  <c r="EA73" i="1"/>
  <c r="EA81" i="1"/>
  <c r="EA78" i="1"/>
  <c r="EA92" i="1"/>
  <c r="EA72" i="1"/>
  <c r="EA76" i="1"/>
  <c r="EA79" i="1"/>
  <c r="EA80" i="1"/>
  <c r="EA71" i="1"/>
  <c r="EA75" i="1"/>
  <c r="DX73" i="1"/>
  <c r="DX81" i="1"/>
  <c r="DX78" i="1"/>
  <c r="DX92" i="1"/>
  <c r="DX72" i="1"/>
  <c r="DX76" i="1"/>
  <c r="DX79" i="1"/>
  <c r="DX80" i="1"/>
  <c r="DX71" i="1"/>
  <c r="DX75" i="1"/>
  <c r="DU53" i="1"/>
  <c r="DU73" i="1"/>
  <c r="DU81" i="1"/>
  <c r="DU78" i="1"/>
  <c r="DU72" i="1"/>
  <c r="DU76" i="1"/>
  <c r="DU79" i="1"/>
  <c r="DU80" i="1"/>
  <c r="DU71" i="1"/>
  <c r="DU75" i="1"/>
  <c r="DR73" i="1"/>
  <c r="DR81" i="1"/>
  <c r="DR78" i="1"/>
  <c r="DR92" i="1"/>
  <c r="DR72" i="1"/>
  <c r="DR76" i="1"/>
  <c r="DR79" i="1"/>
  <c r="DR80" i="1"/>
  <c r="DR71" i="1"/>
  <c r="DR75" i="1"/>
  <c r="DO53" i="1"/>
  <c r="DO73" i="1"/>
  <c r="DO81" i="1"/>
  <c r="DO78" i="1"/>
  <c r="DO92" i="1"/>
  <c r="DO72" i="1"/>
  <c r="DO76" i="1"/>
  <c r="DO79" i="1"/>
  <c r="DO80" i="1"/>
  <c r="DO71" i="1"/>
  <c r="DO75" i="1"/>
  <c r="DE73" i="1"/>
  <c r="DE81" i="1"/>
  <c r="DE78" i="1"/>
  <c r="DE92" i="1"/>
  <c r="DE72" i="1"/>
  <c r="DE76" i="1"/>
  <c r="DE79" i="1"/>
  <c r="DE80" i="1"/>
  <c r="DE71" i="1"/>
  <c r="DE75" i="1"/>
  <c r="CZ73" i="1"/>
  <c r="CZ81" i="1"/>
  <c r="CZ78" i="1"/>
  <c r="CZ92" i="1"/>
  <c r="CZ72" i="1"/>
  <c r="CZ76" i="1"/>
  <c r="CZ79" i="1"/>
  <c r="CZ80" i="1"/>
  <c r="CZ71" i="1"/>
  <c r="CZ75" i="1"/>
  <c r="CW73" i="1"/>
  <c r="CW81" i="1"/>
  <c r="CW78" i="1"/>
  <c r="CW92" i="1"/>
  <c r="CW72" i="1"/>
  <c r="CW76" i="1"/>
  <c r="CW79" i="1"/>
  <c r="CW80" i="1"/>
  <c r="CW71" i="1"/>
  <c r="CW75" i="1"/>
  <c r="CT73" i="1"/>
  <c r="CT81" i="1"/>
  <c r="CT92" i="1"/>
  <c r="CT72" i="1"/>
  <c r="CT79" i="1"/>
  <c r="CT80" i="1"/>
  <c r="CT71" i="1"/>
  <c r="CT75" i="1"/>
  <c r="CQ73" i="1"/>
  <c r="CQ72" i="1"/>
  <c r="CQ76" i="1"/>
  <c r="CQ71" i="1"/>
  <c r="CQ75" i="1"/>
  <c r="CO75" i="1"/>
  <c r="CO71" i="1"/>
  <c r="CO80" i="1"/>
  <c r="EG58" i="1"/>
  <c r="EG59" i="1"/>
  <c r="EG62" i="1"/>
  <c r="EG61" i="1"/>
  <c r="EG64" i="1"/>
  <c r="EG65" i="1"/>
  <c r="EG63" i="1"/>
  <c r="ED58" i="1"/>
  <c r="ED66" i="1"/>
  <c r="ED59" i="1"/>
  <c r="ED69" i="1"/>
  <c r="ED62" i="1"/>
  <c r="ED74" i="1"/>
  <c r="ED70" i="1"/>
  <c r="ED61" i="1"/>
  <c r="ED64" i="1"/>
  <c r="ED67" i="1"/>
  <c r="ED65" i="1"/>
  <c r="ED68" i="1"/>
  <c r="ED63" i="1"/>
  <c r="EA58" i="1"/>
  <c r="EA66" i="1"/>
  <c r="EA59" i="1"/>
  <c r="EA69" i="1"/>
  <c r="EA62" i="1"/>
  <c r="EA74" i="1"/>
  <c r="EA70" i="1"/>
  <c r="EA61" i="1"/>
  <c r="EA64" i="1"/>
  <c r="EA67" i="1"/>
  <c r="EA65" i="1"/>
  <c r="EA68" i="1"/>
  <c r="EA63" i="1"/>
  <c r="DX66" i="1"/>
  <c r="DX69" i="1"/>
  <c r="DX62" i="1"/>
  <c r="DX74" i="1"/>
  <c r="DX70" i="1"/>
  <c r="DX61" i="1"/>
  <c r="DX64" i="1"/>
  <c r="DX67" i="1"/>
  <c r="DX65" i="1"/>
  <c r="DX68" i="1"/>
  <c r="DX63" i="1"/>
  <c r="DU58" i="1"/>
  <c r="DU66" i="1"/>
  <c r="DU59" i="1"/>
  <c r="DU69" i="1"/>
  <c r="DU62" i="1"/>
  <c r="DU74" i="1"/>
  <c r="DU70" i="1"/>
  <c r="DU61" i="1"/>
  <c r="DU64" i="1"/>
  <c r="DU67" i="1"/>
  <c r="DU65" i="1"/>
  <c r="DU68" i="1"/>
  <c r="DU63" i="1"/>
  <c r="DR66" i="1"/>
  <c r="DR69" i="1"/>
  <c r="DR62" i="1"/>
  <c r="DR74" i="1"/>
  <c r="DR70" i="1"/>
  <c r="DR61" i="1"/>
  <c r="DR64" i="1"/>
  <c r="DR67" i="1"/>
  <c r="DR65" i="1"/>
  <c r="DR68" i="1"/>
  <c r="DR63" i="1"/>
  <c r="DO58" i="1"/>
  <c r="DO66" i="1"/>
  <c r="DO69" i="1"/>
  <c r="DO62" i="1"/>
  <c r="DO74" i="1"/>
  <c r="DO70" i="1"/>
  <c r="DO61" i="1"/>
  <c r="DO64" i="1"/>
  <c r="DO67" i="1"/>
  <c r="DO65" i="1"/>
  <c r="DO68" i="1"/>
  <c r="DO63" i="1"/>
  <c r="DE66" i="1"/>
  <c r="DE69" i="1"/>
  <c r="DE62" i="1"/>
  <c r="DE74" i="1"/>
  <c r="DE70" i="1"/>
  <c r="DE61" i="1"/>
  <c r="DE64" i="1"/>
  <c r="DE67" i="1"/>
  <c r="DE65" i="1"/>
  <c r="DE68" i="1"/>
  <c r="DE63" i="1"/>
  <c r="CZ66" i="1"/>
  <c r="CZ69" i="1"/>
  <c r="CZ61" i="1"/>
  <c r="CZ64" i="1"/>
  <c r="CZ68" i="1"/>
  <c r="CZ63" i="1"/>
  <c r="DA63" i="1" s="1"/>
  <c r="CW69" i="1"/>
  <c r="CW61" i="1"/>
  <c r="CW64" i="1"/>
  <c r="CW68" i="1"/>
  <c r="CW63" i="1"/>
  <c r="CO64" i="1"/>
  <c r="CO67" i="1"/>
  <c r="CO65" i="1"/>
  <c r="CO68" i="1"/>
  <c r="CO63" i="1"/>
  <c r="DE54" i="1"/>
  <c r="DE56" i="1"/>
  <c r="DE60" i="1"/>
  <c r="DE55" i="1"/>
  <c r="DE57" i="1"/>
  <c r="DO54" i="1"/>
  <c r="DO56" i="1"/>
  <c r="DO60" i="1"/>
  <c r="DO52" i="1"/>
  <c r="DO55" i="1"/>
  <c r="DO57" i="1"/>
  <c r="DR54" i="1"/>
  <c r="DR56" i="1"/>
  <c r="DR55" i="1"/>
  <c r="DR57" i="1"/>
  <c r="DU54" i="1"/>
  <c r="DU56" i="1"/>
  <c r="DU60" i="1"/>
  <c r="DU52" i="1"/>
  <c r="DU55" i="1"/>
  <c r="DU57" i="1"/>
  <c r="DX55" i="1"/>
  <c r="DX56" i="1"/>
  <c r="DX54" i="1"/>
  <c r="DX57" i="1"/>
  <c r="DX50" i="1"/>
  <c r="CO57" i="1"/>
  <c r="CZ111" i="1" l="1"/>
  <c r="CQ111" i="1"/>
  <c r="DE111" i="1"/>
  <c r="CT111" i="1"/>
  <c r="CW111" i="1"/>
  <c r="EG45" i="1"/>
  <c r="EH45" i="1" s="1"/>
  <c r="EG46" i="1"/>
  <c r="EH46" i="1" s="1"/>
  <c r="EG42" i="1"/>
  <c r="EH42" i="1" s="1"/>
  <c r="EG41" i="1"/>
  <c r="EG43" i="1"/>
  <c r="EH43" i="1" s="1"/>
  <c r="ED45" i="1"/>
  <c r="EE45" i="1" s="1"/>
  <c r="ED46" i="1"/>
  <c r="EE46" i="1" s="1"/>
  <c r="EE42" i="1"/>
  <c r="ED41" i="1"/>
  <c r="ED43" i="1"/>
  <c r="EE43" i="1" s="1"/>
  <c r="EA45" i="1"/>
  <c r="EB45" i="1" s="1"/>
  <c r="EA46" i="1"/>
  <c r="EB46" i="1" s="1"/>
  <c r="EA42" i="1"/>
  <c r="EB42" i="1" s="1"/>
  <c r="EA41" i="1"/>
  <c r="EA43" i="1"/>
  <c r="EB43" i="1" s="1"/>
  <c r="DX45" i="1"/>
  <c r="DY45" i="1" s="1"/>
  <c r="DX46" i="1"/>
  <c r="DY46" i="1" s="1"/>
  <c r="DX42" i="1"/>
  <c r="DY42" i="1" s="1"/>
  <c r="DY41" i="1"/>
  <c r="DY47" i="1"/>
  <c r="DY48" i="1"/>
  <c r="DY43" i="1"/>
  <c r="DV46" i="1"/>
  <c r="DU47" i="1"/>
  <c r="DV47" i="1" s="1"/>
  <c r="DV19" i="1"/>
  <c r="DU10" i="1"/>
  <c r="DV10" i="1" s="1"/>
  <c r="DV20" i="1"/>
  <c r="DU88" i="1"/>
  <c r="DV88" i="1" s="1"/>
  <c r="DV74" i="1"/>
  <c r="DU86" i="1"/>
  <c r="DV86" i="1" s="1"/>
  <c r="DV60" i="1"/>
  <c r="DV25" i="1"/>
  <c r="DV40" i="1"/>
  <c r="DV21" i="1"/>
  <c r="DU92" i="1"/>
  <c r="DV92" i="1" s="1"/>
  <c r="DU93" i="1"/>
  <c r="DV93" i="1" s="1"/>
  <c r="DU94" i="1"/>
  <c r="DV94" i="1" s="1"/>
  <c r="DV78" i="1"/>
  <c r="DU17" i="1"/>
  <c r="DV17" i="1" s="1"/>
  <c r="DV56" i="1"/>
  <c r="DV81" i="1"/>
  <c r="DU48" i="1"/>
  <c r="DV48" i="1" s="1"/>
  <c r="DV43" i="1"/>
  <c r="DS43" i="1"/>
  <c r="DS46" i="1"/>
  <c r="DS47" i="1"/>
  <c r="DS48" i="1"/>
  <c r="DP47" i="1"/>
  <c r="DO48" i="1"/>
  <c r="DP48" i="1" s="1"/>
  <c r="CO43" i="1"/>
  <c r="CO44" i="1"/>
  <c r="CR43" i="1"/>
  <c r="CU43" i="1"/>
  <c r="CX43" i="1"/>
  <c r="DA43" i="1"/>
  <c r="DF43" i="1"/>
  <c r="DP43" i="1"/>
  <c r="EH36" i="1"/>
  <c r="EH37" i="1"/>
  <c r="EH49" i="1"/>
  <c r="EH4" i="1"/>
  <c r="EH95" i="1"/>
  <c r="EH35" i="1"/>
  <c r="EH7" i="1"/>
  <c r="EH6" i="1"/>
  <c r="EH5" i="1"/>
  <c r="EH66" i="1"/>
  <c r="EH53" i="1"/>
  <c r="EH59" i="1"/>
  <c r="EH58" i="1"/>
  <c r="EH27" i="1"/>
  <c r="EH26" i="1"/>
  <c r="EH23" i="1"/>
  <c r="EH13" i="1"/>
  <c r="EH104" i="1"/>
  <c r="EH54" i="1"/>
  <c r="EH9" i="1"/>
  <c r="EH8" i="1"/>
  <c r="EH16" i="1"/>
  <c r="EH15" i="1"/>
  <c r="EH73" i="1"/>
  <c r="EH34" i="1"/>
  <c r="EH81" i="1"/>
  <c r="EH56" i="1"/>
  <c r="EH17" i="1"/>
  <c r="EH78" i="1"/>
  <c r="EH94" i="1"/>
  <c r="EH93" i="1"/>
  <c r="EH92" i="1"/>
  <c r="EH21" i="1"/>
  <c r="EH40" i="1"/>
  <c r="EH25" i="1"/>
  <c r="EH60" i="1"/>
  <c r="EH86" i="1"/>
  <c r="EH74" i="1"/>
  <c r="EH88" i="1"/>
  <c r="EH20" i="1"/>
  <c r="EH10" i="1"/>
  <c r="EH19" i="1"/>
  <c r="EH87" i="1"/>
  <c r="EH72" i="1"/>
  <c r="EH52" i="1"/>
  <c r="EH3" i="1"/>
  <c r="EH18" i="1"/>
  <c r="EH28" i="1"/>
  <c r="EH24" i="1"/>
  <c r="EH69" i="1"/>
  <c r="EH77" i="1"/>
  <c r="EH76" i="1"/>
  <c r="EH47" i="1"/>
  <c r="EH62" i="1"/>
  <c r="EH55" i="1"/>
  <c r="EH14" i="1"/>
  <c r="EH96" i="1"/>
  <c r="EH39" i="1"/>
  <c r="EH29" i="1"/>
  <c r="EH50" i="1"/>
  <c r="EH11" i="1"/>
  <c r="EH2" i="1"/>
  <c r="EH70" i="1"/>
  <c r="EH79" i="1"/>
  <c r="EH33" i="1"/>
  <c r="EH61" i="1"/>
  <c r="EH85" i="1"/>
  <c r="EH84" i="1"/>
  <c r="EH83" i="1"/>
  <c r="EH102" i="1"/>
  <c r="EH51" i="1"/>
  <c r="EH48" i="1"/>
  <c r="EH82" i="1"/>
  <c r="EH64" i="1"/>
  <c r="EH80" i="1"/>
  <c r="EH71" i="1"/>
  <c r="EH67" i="1"/>
  <c r="EH65" i="1"/>
  <c r="EH57" i="1"/>
  <c r="EH22" i="1"/>
  <c r="EH68" i="1"/>
  <c r="EH75" i="1"/>
  <c r="EH31" i="1"/>
  <c r="EH30" i="1"/>
  <c r="EH12" i="1"/>
  <c r="EH103" i="1"/>
  <c r="EH44" i="1"/>
  <c r="EH63" i="1"/>
  <c r="EE36" i="1"/>
  <c r="EE37" i="1"/>
  <c r="EE49" i="1"/>
  <c r="EE4" i="1"/>
  <c r="EE95" i="1"/>
  <c r="EE35" i="1"/>
  <c r="EE7" i="1"/>
  <c r="EE6" i="1"/>
  <c r="EE5" i="1"/>
  <c r="EE66" i="1"/>
  <c r="EE53" i="1"/>
  <c r="EE59" i="1"/>
  <c r="EE58" i="1"/>
  <c r="EE27" i="1"/>
  <c r="EE26" i="1"/>
  <c r="EE23" i="1"/>
  <c r="EE13" i="1"/>
  <c r="EE104" i="1"/>
  <c r="EE54" i="1"/>
  <c r="EE9" i="1"/>
  <c r="EE8" i="1"/>
  <c r="EE16" i="1"/>
  <c r="EE15" i="1"/>
  <c r="EE73" i="1"/>
  <c r="EE34" i="1"/>
  <c r="EE81" i="1"/>
  <c r="EE56" i="1"/>
  <c r="EE17" i="1"/>
  <c r="EE78" i="1"/>
  <c r="EE94" i="1"/>
  <c r="EE93" i="1"/>
  <c r="EE92" i="1"/>
  <c r="EE21" i="1"/>
  <c r="EE40" i="1"/>
  <c r="EE25" i="1"/>
  <c r="EE60" i="1"/>
  <c r="EE86" i="1"/>
  <c r="EE74" i="1"/>
  <c r="EE88" i="1"/>
  <c r="EE20" i="1"/>
  <c r="EE10" i="1"/>
  <c r="EE19" i="1"/>
  <c r="EE87" i="1"/>
  <c r="EE72" i="1"/>
  <c r="EE52" i="1"/>
  <c r="EE3" i="1"/>
  <c r="EE18" i="1"/>
  <c r="EE28" i="1"/>
  <c r="EE24" i="1"/>
  <c r="EE69" i="1"/>
  <c r="EE77" i="1"/>
  <c r="EE76" i="1"/>
  <c r="EE47" i="1"/>
  <c r="EE62" i="1"/>
  <c r="EE55" i="1"/>
  <c r="EE14" i="1"/>
  <c r="EE96" i="1"/>
  <c r="EE39" i="1"/>
  <c r="EE29" i="1"/>
  <c r="EE50" i="1"/>
  <c r="EE11" i="1"/>
  <c r="EE2" i="1"/>
  <c r="EE70" i="1"/>
  <c r="EE79" i="1"/>
  <c r="EE33" i="1"/>
  <c r="EE61" i="1"/>
  <c r="EE85" i="1"/>
  <c r="EE84" i="1"/>
  <c r="EE83" i="1"/>
  <c r="EE102" i="1"/>
  <c r="EE51" i="1"/>
  <c r="EE48" i="1"/>
  <c r="EE82" i="1"/>
  <c r="EE64" i="1"/>
  <c r="EE80" i="1"/>
  <c r="EE71" i="1"/>
  <c r="EE67" i="1"/>
  <c r="EE65" i="1"/>
  <c r="EE57" i="1"/>
  <c r="EE22" i="1"/>
  <c r="EE68" i="1"/>
  <c r="EE75" i="1"/>
  <c r="EE31" i="1"/>
  <c r="EE30" i="1"/>
  <c r="EE12" i="1"/>
  <c r="EE103" i="1"/>
  <c r="EE44" i="1"/>
  <c r="EE63" i="1"/>
  <c r="EB36" i="1"/>
  <c r="EB37" i="1"/>
  <c r="EB49" i="1"/>
  <c r="EB4" i="1"/>
  <c r="EB95" i="1"/>
  <c r="EB35" i="1"/>
  <c r="EB7" i="1"/>
  <c r="EB6" i="1"/>
  <c r="EB5" i="1"/>
  <c r="EB66" i="1"/>
  <c r="EB53" i="1"/>
  <c r="EB59" i="1"/>
  <c r="EB58" i="1"/>
  <c r="EB27" i="1"/>
  <c r="EB26" i="1"/>
  <c r="EB23" i="1"/>
  <c r="EB13" i="1"/>
  <c r="EB104" i="1"/>
  <c r="EB54" i="1"/>
  <c r="EB9" i="1"/>
  <c r="EB8" i="1"/>
  <c r="EB16" i="1"/>
  <c r="EB15" i="1"/>
  <c r="EB73" i="1"/>
  <c r="EB34" i="1"/>
  <c r="EB81" i="1"/>
  <c r="EB56" i="1"/>
  <c r="EB17" i="1"/>
  <c r="EB78" i="1"/>
  <c r="EB94" i="1"/>
  <c r="EB93" i="1"/>
  <c r="EB92" i="1"/>
  <c r="EB21" i="1"/>
  <c r="EB40" i="1"/>
  <c r="EB25" i="1"/>
  <c r="EB60" i="1"/>
  <c r="EB86" i="1"/>
  <c r="EB74" i="1"/>
  <c r="EB88" i="1"/>
  <c r="EB20" i="1"/>
  <c r="EB10" i="1"/>
  <c r="EB19" i="1"/>
  <c r="EB87" i="1"/>
  <c r="EB72" i="1"/>
  <c r="EB52" i="1"/>
  <c r="EB3" i="1"/>
  <c r="EB18" i="1"/>
  <c r="EB28" i="1"/>
  <c r="EB24" i="1"/>
  <c r="EB69" i="1"/>
  <c r="EB77" i="1"/>
  <c r="EB76" i="1"/>
  <c r="EB47" i="1"/>
  <c r="EB62" i="1"/>
  <c r="EB55" i="1"/>
  <c r="EB14" i="1"/>
  <c r="EB96" i="1"/>
  <c r="EB39" i="1"/>
  <c r="EB29" i="1"/>
  <c r="EB50" i="1"/>
  <c r="EB11" i="1"/>
  <c r="EB2" i="1"/>
  <c r="EB70" i="1"/>
  <c r="EB79" i="1"/>
  <c r="EB33" i="1"/>
  <c r="EB61" i="1"/>
  <c r="EB85" i="1"/>
  <c r="EB84" i="1"/>
  <c r="EB83" i="1"/>
  <c r="EB102" i="1"/>
  <c r="EB51" i="1"/>
  <c r="EB48" i="1"/>
  <c r="EB82" i="1"/>
  <c r="EB64" i="1"/>
  <c r="EB80" i="1"/>
  <c r="EB71" i="1"/>
  <c r="EB67" i="1"/>
  <c r="EB65" i="1"/>
  <c r="EB57" i="1"/>
  <c r="EB22" i="1"/>
  <c r="EB68" i="1"/>
  <c r="EB75" i="1"/>
  <c r="EB31" i="1"/>
  <c r="EB30" i="1"/>
  <c r="EB12" i="1"/>
  <c r="EB103" i="1"/>
  <c r="EB44" i="1"/>
  <c r="EB63" i="1"/>
  <c r="DY36" i="1"/>
  <c r="DY37" i="1"/>
  <c r="DY49" i="1"/>
  <c r="DY4" i="1"/>
  <c r="DY95" i="1"/>
  <c r="DY35" i="1"/>
  <c r="DY7" i="1"/>
  <c r="DY6" i="1"/>
  <c r="DY5" i="1"/>
  <c r="DY66" i="1"/>
  <c r="DY53" i="1"/>
  <c r="DY59" i="1"/>
  <c r="DY58" i="1"/>
  <c r="DY27" i="1"/>
  <c r="DY26" i="1"/>
  <c r="DY23" i="1"/>
  <c r="DY13" i="1"/>
  <c r="DY104" i="1"/>
  <c r="DY54" i="1"/>
  <c r="DY9" i="1"/>
  <c r="DY8" i="1"/>
  <c r="DY16" i="1"/>
  <c r="DY15" i="1"/>
  <c r="DY73" i="1"/>
  <c r="DY34" i="1"/>
  <c r="DY81" i="1"/>
  <c r="DY56" i="1"/>
  <c r="DY17" i="1"/>
  <c r="DY78" i="1"/>
  <c r="DY94" i="1"/>
  <c r="DY93" i="1"/>
  <c r="DY92" i="1"/>
  <c r="DY21" i="1"/>
  <c r="DY40" i="1"/>
  <c r="DY25" i="1"/>
  <c r="DY60" i="1"/>
  <c r="DY86" i="1"/>
  <c r="DY74" i="1"/>
  <c r="DY88" i="1"/>
  <c r="DY20" i="1"/>
  <c r="DY10" i="1"/>
  <c r="DY19" i="1"/>
  <c r="DY87" i="1"/>
  <c r="DY72" i="1"/>
  <c r="DY52" i="1"/>
  <c r="DY3" i="1"/>
  <c r="DY18" i="1"/>
  <c r="DY28" i="1"/>
  <c r="DY24" i="1"/>
  <c r="DY69" i="1"/>
  <c r="DY77" i="1"/>
  <c r="DY76" i="1"/>
  <c r="DY62" i="1"/>
  <c r="DY55" i="1"/>
  <c r="DY14" i="1"/>
  <c r="DY96" i="1"/>
  <c r="DY39" i="1"/>
  <c r="DY29" i="1"/>
  <c r="DY50" i="1"/>
  <c r="DY11" i="1"/>
  <c r="DY2" i="1"/>
  <c r="DY70" i="1"/>
  <c r="DY79" i="1"/>
  <c r="DY33" i="1"/>
  <c r="DY61" i="1"/>
  <c r="DY85" i="1"/>
  <c r="DY84" i="1"/>
  <c r="DY83" i="1"/>
  <c r="DY102" i="1"/>
  <c r="DY51" i="1"/>
  <c r="DY82" i="1"/>
  <c r="DY64" i="1"/>
  <c r="DY80" i="1"/>
  <c r="DY71" i="1"/>
  <c r="DY67" i="1"/>
  <c r="DY65" i="1"/>
  <c r="DY57" i="1"/>
  <c r="DY22" i="1"/>
  <c r="DY68" i="1"/>
  <c r="DY75" i="1"/>
  <c r="DY31" i="1"/>
  <c r="DY30" i="1"/>
  <c r="DY12" i="1"/>
  <c r="DY103" i="1"/>
  <c r="DY44" i="1"/>
  <c r="DY63" i="1"/>
  <c r="DV36" i="1"/>
  <c r="DV37" i="1"/>
  <c r="DV49" i="1"/>
  <c r="DV4" i="1"/>
  <c r="DV95" i="1"/>
  <c r="DV45" i="1"/>
  <c r="DV35" i="1"/>
  <c r="DV7" i="1"/>
  <c r="DV6" i="1"/>
  <c r="DV5" i="1"/>
  <c r="DV66" i="1"/>
  <c r="DV53" i="1"/>
  <c r="DV59" i="1"/>
  <c r="DV58" i="1"/>
  <c r="DV27" i="1"/>
  <c r="DV26" i="1"/>
  <c r="DV23" i="1"/>
  <c r="DV13" i="1"/>
  <c r="DV104" i="1"/>
  <c r="DV54" i="1"/>
  <c r="DV9" i="1"/>
  <c r="DV8" i="1"/>
  <c r="DV16" i="1"/>
  <c r="DV15" i="1"/>
  <c r="DV73" i="1"/>
  <c r="DV42" i="1"/>
  <c r="DV41" i="1"/>
  <c r="DV87" i="1"/>
  <c r="DV72" i="1"/>
  <c r="DV52" i="1"/>
  <c r="DV3" i="1"/>
  <c r="DV18" i="1"/>
  <c r="DV28" i="1"/>
  <c r="DV24" i="1"/>
  <c r="DV69" i="1"/>
  <c r="DV77" i="1"/>
  <c r="DV76" i="1"/>
  <c r="DV62" i="1"/>
  <c r="DV55" i="1"/>
  <c r="DV14" i="1"/>
  <c r="DV96" i="1"/>
  <c r="DV39" i="1"/>
  <c r="DV29" i="1"/>
  <c r="DV50" i="1"/>
  <c r="DV11" i="1"/>
  <c r="DV2" i="1"/>
  <c r="DV70" i="1"/>
  <c r="DV79" i="1"/>
  <c r="DV33" i="1"/>
  <c r="DV61" i="1"/>
  <c r="DV85" i="1"/>
  <c r="DV84" i="1"/>
  <c r="DV83" i="1"/>
  <c r="DV102" i="1"/>
  <c r="DV51" i="1"/>
  <c r="DV82" i="1"/>
  <c r="DV64" i="1"/>
  <c r="DV80" i="1"/>
  <c r="DV71" i="1"/>
  <c r="DV67" i="1"/>
  <c r="DV65" i="1"/>
  <c r="DV57" i="1"/>
  <c r="DV22" i="1"/>
  <c r="DV68" i="1"/>
  <c r="DV75" i="1"/>
  <c r="DV31" i="1"/>
  <c r="DV30" i="1"/>
  <c r="DV12" i="1"/>
  <c r="DV103" i="1"/>
  <c r="DV44" i="1"/>
  <c r="DV63" i="1"/>
  <c r="EH38" i="1"/>
  <c r="EE38" i="1"/>
  <c r="EB38" i="1"/>
  <c r="DY38" i="1"/>
  <c r="DV38" i="1"/>
  <c r="DS63" i="1"/>
  <c r="DS44" i="1"/>
  <c r="DS103" i="1"/>
  <c r="DS12" i="1"/>
  <c r="DS30" i="1"/>
  <c r="DS31" i="1"/>
  <c r="DS75" i="1"/>
  <c r="DS68" i="1"/>
  <c r="DS22" i="1"/>
  <c r="DS57" i="1"/>
  <c r="DS65" i="1"/>
  <c r="DS67" i="1"/>
  <c r="DS71" i="1"/>
  <c r="DS80" i="1"/>
  <c r="DS64" i="1"/>
  <c r="DS82" i="1"/>
  <c r="DS51" i="1"/>
  <c r="DS102" i="1"/>
  <c r="DS83" i="1"/>
  <c r="DS84" i="1"/>
  <c r="DS85" i="1"/>
  <c r="DS61" i="1"/>
  <c r="DS33" i="1"/>
  <c r="DS79" i="1"/>
  <c r="DS70" i="1"/>
  <c r="DS2" i="1"/>
  <c r="DS11" i="1"/>
  <c r="DS50" i="1"/>
  <c r="DS29" i="1"/>
  <c r="DS39" i="1"/>
  <c r="DS96" i="1"/>
  <c r="DS14" i="1"/>
  <c r="DS55" i="1"/>
  <c r="DS62" i="1"/>
  <c r="DS76" i="1"/>
  <c r="DS77" i="1"/>
  <c r="DS69" i="1"/>
  <c r="DS24" i="1"/>
  <c r="DS28" i="1"/>
  <c r="DS18" i="1"/>
  <c r="DS3" i="1"/>
  <c r="DS52" i="1"/>
  <c r="DS72" i="1"/>
  <c r="DS87" i="1"/>
  <c r="DS41" i="1"/>
  <c r="DS19" i="1"/>
  <c r="DS10" i="1"/>
  <c r="DS20" i="1"/>
  <c r="DS88" i="1"/>
  <c r="DS74" i="1"/>
  <c r="DS86" i="1"/>
  <c r="DS60" i="1"/>
  <c r="DS25" i="1"/>
  <c r="DS40" i="1"/>
  <c r="DS21" i="1"/>
  <c r="DS92" i="1"/>
  <c r="DS93" i="1"/>
  <c r="DS94" i="1"/>
  <c r="DS78" i="1"/>
  <c r="DS17" i="1"/>
  <c r="DS56" i="1"/>
  <c r="DS81" i="1"/>
  <c r="DS34" i="1"/>
  <c r="DS42" i="1"/>
  <c r="DS73" i="1"/>
  <c r="DS15" i="1"/>
  <c r="DS16" i="1"/>
  <c r="DS8" i="1"/>
  <c r="DS9" i="1"/>
  <c r="DS54" i="1"/>
  <c r="DS104" i="1"/>
  <c r="DS13" i="1"/>
  <c r="DS23" i="1"/>
  <c r="DS26" i="1"/>
  <c r="DS27" i="1"/>
  <c r="DS58" i="1"/>
  <c r="DS59" i="1"/>
  <c r="DS53" i="1"/>
  <c r="DS66" i="1"/>
  <c r="DS5" i="1"/>
  <c r="DS6" i="1"/>
  <c r="DS7" i="1"/>
  <c r="DS35" i="1"/>
  <c r="DS45" i="1"/>
  <c r="DS95" i="1"/>
  <c r="DS4" i="1"/>
  <c r="DS49" i="1"/>
  <c r="DS37" i="1"/>
  <c r="DS36" i="1"/>
  <c r="DS38" i="1"/>
  <c r="DF63" i="1"/>
  <c r="DF44" i="1"/>
  <c r="DF103" i="1"/>
  <c r="DF12" i="1"/>
  <c r="DF30" i="1"/>
  <c r="DF31" i="1"/>
  <c r="DF75" i="1"/>
  <c r="DF68" i="1"/>
  <c r="DF22" i="1"/>
  <c r="DF57" i="1"/>
  <c r="DF65" i="1"/>
  <c r="DF67" i="1"/>
  <c r="DF71" i="1"/>
  <c r="DF80" i="1"/>
  <c r="DF64" i="1"/>
  <c r="DF82" i="1"/>
  <c r="DF48" i="1"/>
  <c r="DF51" i="1"/>
  <c r="DF102" i="1"/>
  <c r="DF83" i="1"/>
  <c r="DF84" i="1"/>
  <c r="DF85" i="1"/>
  <c r="DF61" i="1"/>
  <c r="DF33" i="1"/>
  <c r="DF79" i="1"/>
  <c r="DF70" i="1"/>
  <c r="DF2" i="1"/>
  <c r="DF11" i="1"/>
  <c r="DF50" i="1"/>
  <c r="DF29" i="1"/>
  <c r="DF39" i="1"/>
  <c r="DF96" i="1"/>
  <c r="DF14" i="1"/>
  <c r="DF55" i="1"/>
  <c r="DF62" i="1"/>
  <c r="DF47" i="1"/>
  <c r="DF76" i="1"/>
  <c r="DF77" i="1"/>
  <c r="DF69" i="1"/>
  <c r="DF24" i="1"/>
  <c r="DF28" i="1"/>
  <c r="DF18" i="1"/>
  <c r="DF3" i="1"/>
  <c r="DF52" i="1"/>
  <c r="DF72" i="1"/>
  <c r="DF87" i="1"/>
  <c r="DF41" i="1"/>
  <c r="DF19" i="1"/>
  <c r="DF10" i="1"/>
  <c r="DF20" i="1"/>
  <c r="DF88" i="1"/>
  <c r="DF74" i="1"/>
  <c r="DF86" i="1"/>
  <c r="DF60" i="1"/>
  <c r="DF25" i="1"/>
  <c r="DF40" i="1"/>
  <c r="DF21" i="1"/>
  <c r="DF92" i="1"/>
  <c r="DF93" i="1"/>
  <c r="DF94" i="1"/>
  <c r="DF78" i="1"/>
  <c r="DF17" i="1"/>
  <c r="DF56" i="1"/>
  <c r="DF81" i="1"/>
  <c r="DF34" i="1"/>
  <c r="DF42" i="1"/>
  <c r="DF73" i="1"/>
  <c r="DF15" i="1"/>
  <c r="DF16" i="1"/>
  <c r="DF8" i="1"/>
  <c r="DF9" i="1"/>
  <c r="DF54" i="1"/>
  <c r="DF46" i="1"/>
  <c r="DF104" i="1"/>
  <c r="DF13" i="1"/>
  <c r="DF23" i="1"/>
  <c r="DF26" i="1"/>
  <c r="DF27" i="1"/>
  <c r="DF58" i="1"/>
  <c r="DF59" i="1"/>
  <c r="DF53" i="1"/>
  <c r="DF66" i="1"/>
  <c r="DF5" i="1"/>
  <c r="DF6" i="1"/>
  <c r="DF7" i="1"/>
  <c r="DF35" i="1"/>
  <c r="DF45" i="1"/>
  <c r="DF95" i="1"/>
  <c r="DF4" i="1"/>
  <c r="DF49" i="1"/>
  <c r="DF37" i="1"/>
  <c r="DF36" i="1"/>
  <c r="DA44" i="1"/>
  <c r="DA103" i="1"/>
  <c r="DA12" i="1"/>
  <c r="DA30" i="1"/>
  <c r="DA31" i="1"/>
  <c r="DA75" i="1"/>
  <c r="DA68" i="1"/>
  <c r="DA22" i="1"/>
  <c r="DA57" i="1"/>
  <c r="DA65" i="1"/>
  <c r="DA67" i="1"/>
  <c r="DA71" i="1"/>
  <c r="DA80" i="1"/>
  <c r="DA64" i="1"/>
  <c r="DA82" i="1"/>
  <c r="DA48" i="1"/>
  <c r="DA51" i="1"/>
  <c r="DA102" i="1"/>
  <c r="DA83" i="1"/>
  <c r="DA84" i="1"/>
  <c r="DA85" i="1"/>
  <c r="DA61" i="1"/>
  <c r="DA33" i="1"/>
  <c r="DA79" i="1"/>
  <c r="DA70" i="1"/>
  <c r="DA2" i="1"/>
  <c r="DA11" i="1"/>
  <c r="DA50" i="1"/>
  <c r="DA29" i="1"/>
  <c r="DA39" i="1"/>
  <c r="DA96" i="1"/>
  <c r="DA14" i="1"/>
  <c r="DA55" i="1"/>
  <c r="DA62" i="1"/>
  <c r="DA47" i="1"/>
  <c r="DA76" i="1"/>
  <c r="DA77" i="1"/>
  <c r="DA69" i="1"/>
  <c r="DA24" i="1"/>
  <c r="DA28" i="1"/>
  <c r="DA18" i="1"/>
  <c r="DA3" i="1"/>
  <c r="DA52" i="1"/>
  <c r="DA72" i="1"/>
  <c r="DA87" i="1"/>
  <c r="DA41" i="1"/>
  <c r="DA19" i="1"/>
  <c r="DA10" i="1"/>
  <c r="DA20" i="1"/>
  <c r="DA88" i="1"/>
  <c r="DA74" i="1"/>
  <c r="DA86" i="1"/>
  <c r="DA60" i="1"/>
  <c r="DA25" i="1"/>
  <c r="DA40" i="1"/>
  <c r="DA21" i="1"/>
  <c r="DA92" i="1"/>
  <c r="DA93" i="1"/>
  <c r="DA94" i="1"/>
  <c r="DA78" i="1"/>
  <c r="DA17" i="1"/>
  <c r="DA56" i="1"/>
  <c r="DA81" i="1"/>
  <c r="DA34" i="1"/>
  <c r="DA42" i="1"/>
  <c r="DA73" i="1"/>
  <c r="DA15" i="1"/>
  <c r="DA16" i="1"/>
  <c r="DA8" i="1"/>
  <c r="DA9" i="1"/>
  <c r="DA54" i="1"/>
  <c r="DA46" i="1"/>
  <c r="DA104" i="1"/>
  <c r="DA13" i="1"/>
  <c r="DA23" i="1"/>
  <c r="DA26" i="1"/>
  <c r="DA27" i="1"/>
  <c r="DA58" i="1"/>
  <c r="DA59" i="1"/>
  <c r="DA53" i="1"/>
  <c r="DA66" i="1"/>
  <c r="DA5" i="1"/>
  <c r="DA6" i="1"/>
  <c r="DA7" i="1"/>
  <c r="DA35" i="1"/>
  <c r="DA45" i="1"/>
  <c r="DA95" i="1"/>
  <c r="DA4" i="1"/>
  <c r="DA49" i="1"/>
  <c r="DA37" i="1"/>
  <c r="DA36" i="1"/>
  <c r="CX63" i="1"/>
  <c r="CX44" i="1"/>
  <c r="CX103" i="1"/>
  <c r="CX12" i="1"/>
  <c r="CX30" i="1"/>
  <c r="CX31" i="1"/>
  <c r="CX75" i="1"/>
  <c r="CX68" i="1"/>
  <c r="CX22" i="1"/>
  <c r="CX57" i="1"/>
  <c r="CX65" i="1"/>
  <c r="CX67" i="1"/>
  <c r="CX71" i="1"/>
  <c r="CX80" i="1"/>
  <c r="CX64" i="1"/>
  <c r="CX82" i="1"/>
  <c r="CX48" i="1"/>
  <c r="CX51" i="1"/>
  <c r="CX102" i="1"/>
  <c r="CX83" i="1"/>
  <c r="CX84" i="1"/>
  <c r="CX85" i="1"/>
  <c r="CX61" i="1"/>
  <c r="CX33" i="1"/>
  <c r="CX79" i="1"/>
  <c r="CX70" i="1"/>
  <c r="CX2" i="1"/>
  <c r="CX11" i="1"/>
  <c r="CX50" i="1"/>
  <c r="CX29" i="1"/>
  <c r="CX39" i="1"/>
  <c r="CX96" i="1"/>
  <c r="CX14" i="1"/>
  <c r="CX55" i="1"/>
  <c r="CX62" i="1"/>
  <c r="CX47" i="1"/>
  <c r="CX76" i="1"/>
  <c r="CX77" i="1"/>
  <c r="CX69" i="1"/>
  <c r="CX24" i="1"/>
  <c r="CX28" i="1"/>
  <c r="CX18" i="1"/>
  <c r="CX3" i="1"/>
  <c r="CX52" i="1"/>
  <c r="CX72" i="1"/>
  <c r="CX87" i="1"/>
  <c r="CX41" i="1"/>
  <c r="CX19" i="1"/>
  <c r="CX10" i="1"/>
  <c r="CX20" i="1"/>
  <c r="CX88" i="1"/>
  <c r="CX74" i="1"/>
  <c r="CX86" i="1"/>
  <c r="CX60" i="1"/>
  <c r="CX25" i="1"/>
  <c r="CX40" i="1"/>
  <c r="CX21" i="1"/>
  <c r="CX92" i="1"/>
  <c r="CX93" i="1"/>
  <c r="CX94" i="1"/>
  <c r="CX78" i="1"/>
  <c r="CX17" i="1"/>
  <c r="CX56" i="1"/>
  <c r="CX81" i="1"/>
  <c r="CX34" i="1"/>
  <c r="CX42" i="1"/>
  <c r="CX73" i="1"/>
  <c r="CX15" i="1"/>
  <c r="CX16" i="1"/>
  <c r="CX8" i="1"/>
  <c r="CX9" i="1"/>
  <c r="CX54" i="1"/>
  <c r="CX46" i="1"/>
  <c r="CX104" i="1"/>
  <c r="CX13" i="1"/>
  <c r="CX23" i="1"/>
  <c r="CX26" i="1"/>
  <c r="CX27" i="1"/>
  <c r="CX58" i="1"/>
  <c r="CX59" i="1"/>
  <c r="CX53" i="1"/>
  <c r="CX66" i="1"/>
  <c r="CX5" i="1"/>
  <c r="CX6" i="1"/>
  <c r="CX7" i="1"/>
  <c r="CX35" i="1"/>
  <c r="CX45" i="1"/>
  <c r="CX95" i="1"/>
  <c r="CX4" i="1"/>
  <c r="CX49" i="1"/>
  <c r="CX37" i="1"/>
  <c r="CX36" i="1"/>
  <c r="CU63" i="1"/>
  <c r="CU44" i="1"/>
  <c r="CU103" i="1"/>
  <c r="CU12" i="1"/>
  <c r="CU30" i="1"/>
  <c r="CU31" i="1"/>
  <c r="CU75" i="1"/>
  <c r="CU68" i="1"/>
  <c r="CU22" i="1"/>
  <c r="CU57" i="1"/>
  <c r="CU65" i="1"/>
  <c r="CU67" i="1"/>
  <c r="CU71" i="1"/>
  <c r="CU80" i="1"/>
  <c r="CU64" i="1"/>
  <c r="CU82" i="1"/>
  <c r="CU48" i="1"/>
  <c r="CU51" i="1"/>
  <c r="CU102" i="1"/>
  <c r="CU83" i="1"/>
  <c r="CU84" i="1"/>
  <c r="CU85" i="1"/>
  <c r="CU61" i="1"/>
  <c r="CU33" i="1"/>
  <c r="CU79" i="1"/>
  <c r="CU70" i="1"/>
  <c r="CU2" i="1"/>
  <c r="CU11" i="1"/>
  <c r="CU50" i="1"/>
  <c r="CU29" i="1"/>
  <c r="CU39" i="1"/>
  <c r="CU96" i="1"/>
  <c r="CU14" i="1"/>
  <c r="CU55" i="1"/>
  <c r="CU62" i="1"/>
  <c r="CU47" i="1"/>
  <c r="CU76" i="1"/>
  <c r="CU77" i="1"/>
  <c r="CU69" i="1"/>
  <c r="CU24" i="1"/>
  <c r="CU28" i="1"/>
  <c r="CU18" i="1"/>
  <c r="CU3" i="1"/>
  <c r="CU52" i="1"/>
  <c r="CU72" i="1"/>
  <c r="CU87" i="1"/>
  <c r="CU41" i="1"/>
  <c r="CU19" i="1"/>
  <c r="CU10" i="1"/>
  <c r="CU20" i="1"/>
  <c r="CU88" i="1"/>
  <c r="CU74" i="1"/>
  <c r="CU86" i="1"/>
  <c r="CU60" i="1"/>
  <c r="CU25" i="1"/>
  <c r="CU40" i="1"/>
  <c r="CU21" i="1"/>
  <c r="CU92" i="1"/>
  <c r="CU93" i="1"/>
  <c r="CU94" i="1"/>
  <c r="CU78" i="1"/>
  <c r="CU17" i="1"/>
  <c r="CU56" i="1"/>
  <c r="CU81" i="1"/>
  <c r="CU34" i="1"/>
  <c r="CU42" i="1"/>
  <c r="CU73" i="1"/>
  <c r="CU15" i="1"/>
  <c r="CU16" i="1"/>
  <c r="CU8" i="1"/>
  <c r="CU9" i="1"/>
  <c r="CU54" i="1"/>
  <c r="CU46" i="1"/>
  <c r="CU104" i="1"/>
  <c r="CU13" i="1"/>
  <c r="CU23" i="1"/>
  <c r="CU26" i="1"/>
  <c r="CU27" i="1"/>
  <c r="CU58" i="1"/>
  <c r="CU59" i="1"/>
  <c r="CU53" i="1"/>
  <c r="CU66" i="1"/>
  <c r="CU5" i="1"/>
  <c r="CU6" i="1"/>
  <c r="CU7" i="1"/>
  <c r="CU35" i="1"/>
  <c r="CU45" i="1"/>
  <c r="CU95" i="1"/>
  <c r="CU4" i="1"/>
  <c r="CU49" i="1"/>
  <c r="CU37" i="1"/>
  <c r="CU36" i="1"/>
  <c r="CR63" i="1"/>
  <c r="CR44" i="1"/>
  <c r="CR103" i="1"/>
  <c r="CR12" i="1"/>
  <c r="CR30" i="1"/>
  <c r="CR31" i="1"/>
  <c r="CR75" i="1"/>
  <c r="CR68" i="1"/>
  <c r="CR22" i="1"/>
  <c r="CR57" i="1"/>
  <c r="CR65" i="1"/>
  <c r="CR67" i="1"/>
  <c r="CR71" i="1"/>
  <c r="CR80" i="1"/>
  <c r="CR64" i="1"/>
  <c r="CR82" i="1"/>
  <c r="CR48" i="1"/>
  <c r="CR51" i="1"/>
  <c r="CR102" i="1"/>
  <c r="CR83" i="1"/>
  <c r="CR84" i="1"/>
  <c r="CR85" i="1"/>
  <c r="CR61" i="1"/>
  <c r="CR33" i="1"/>
  <c r="CR79" i="1"/>
  <c r="CR70" i="1"/>
  <c r="CR2" i="1"/>
  <c r="CR11" i="1"/>
  <c r="CR50" i="1"/>
  <c r="CR29" i="1"/>
  <c r="CR39" i="1"/>
  <c r="CR96" i="1"/>
  <c r="CR14" i="1"/>
  <c r="CR55" i="1"/>
  <c r="CR62" i="1"/>
  <c r="CR47" i="1"/>
  <c r="CR76" i="1"/>
  <c r="CR77" i="1"/>
  <c r="CR69" i="1"/>
  <c r="CR24" i="1"/>
  <c r="CR28" i="1"/>
  <c r="CR18" i="1"/>
  <c r="CR3" i="1"/>
  <c r="CR52" i="1"/>
  <c r="CR72" i="1"/>
  <c r="CR87" i="1"/>
  <c r="CR41" i="1"/>
  <c r="CR19" i="1"/>
  <c r="CR10" i="1"/>
  <c r="CR20" i="1"/>
  <c r="CR88" i="1"/>
  <c r="CR74" i="1"/>
  <c r="CR86" i="1"/>
  <c r="CR60" i="1"/>
  <c r="CR25" i="1"/>
  <c r="CR40" i="1"/>
  <c r="CR21" i="1"/>
  <c r="CR92" i="1"/>
  <c r="CR93" i="1"/>
  <c r="CR94" i="1"/>
  <c r="CR78" i="1"/>
  <c r="CR17" i="1"/>
  <c r="CR56" i="1"/>
  <c r="CR81" i="1"/>
  <c r="CR34" i="1"/>
  <c r="CR42" i="1"/>
  <c r="CR73" i="1"/>
  <c r="CR15" i="1"/>
  <c r="CR16" i="1"/>
  <c r="CR8" i="1"/>
  <c r="CR9" i="1"/>
  <c r="CR54" i="1"/>
  <c r="CR46" i="1"/>
  <c r="CR104" i="1"/>
  <c r="CR13" i="1"/>
  <c r="CR23" i="1"/>
  <c r="CR26" i="1"/>
  <c r="CR27" i="1"/>
  <c r="CR58" i="1"/>
  <c r="CR59" i="1"/>
  <c r="CR53" i="1"/>
  <c r="CR66" i="1"/>
  <c r="CR5" i="1"/>
  <c r="CR6" i="1"/>
  <c r="CR7" i="1"/>
  <c r="CR35" i="1"/>
  <c r="CR45" i="1"/>
  <c r="CR95" i="1"/>
  <c r="CR4" i="1"/>
  <c r="CR49" i="1"/>
  <c r="CR37" i="1"/>
  <c r="CR36" i="1"/>
  <c r="CO48" i="1"/>
  <c r="CO51" i="1"/>
  <c r="CO102" i="1"/>
  <c r="CO83" i="1"/>
  <c r="CO84" i="1"/>
  <c r="CO85" i="1"/>
  <c r="CO61" i="1"/>
  <c r="CO79" i="1"/>
  <c r="CO70" i="1"/>
  <c r="CO2" i="1"/>
  <c r="CO11" i="1"/>
  <c r="CO50" i="1"/>
  <c r="CO39" i="1"/>
  <c r="CO96" i="1"/>
  <c r="CO14" i="1"/>
  <c r="CO55" i="1"/>
  <c r="CO62" i="1"/>
  <c r="CO47" i="1"/>
  <c r="CO76" i="1"/>
  <c r="CO77" i="1"/>
  <c r="CO69" i="1"/>
  <c r="CO18" i="1"/>
  <c r="CO3" i="1"/>
  <c r="CO52" i="1"/>
  <c r="CO72" i="1"/>
  <c r="CO87" i="1"/>
  <c r="CO41" i="1"/>
  <c r="CO19" i="1"/>
  <c r="CO10" i="1"/>
  <c r="CO20" i="1"/>
  <c r="CO88" i="1"/>
  <c r="CO74" i="1"/>
  <c r="CO86" i="1"/>
  <c r="CO60" i="1"/>
  <c r="CO40" i="1"/>
  <c r="CO21" i="1"/>
  <c r="CO92" i="1"/>
  <c r="CO93" i="1"/>
  <c r="CO94" i="1"/>
  <c r="CO78" i="1"/>
  <c r="CO17" i="1"/>
  <c r="CO56" i="1"/>
  <c r="CO81" i="1"/>
  <c r="CO42" i="1"/>
  <c r="CO73" i="1"/>
  <c r="CO15" i="1"/>
  <c r="CO16" i="1"/>
  <c r="CO8" i="1"/>
  <c r="CO9" i="1"/>
  <c r="CO54" i="1"/>
  <c r="CO46" i="1"/>
  <c r="CO104" i="1"/>
  <c r="CO13" i="1"/>
  <c r="CO58" i="1"/>
  <c r="CO59" i="1"/>
  <c r="CO53" i="1"/>
  <c r="CO66" i="1"/>
  <c r="CO5" i="1"/>
  <c r="CO6" i="1"/>
  <c r="CO7" i="1"/>
  <c r="CO35" i="1"/>
  <c r="CO45" i="1"/>
  <c r="CO95" i="1"/>
  <c r="CO4" i="1"/>
  <c r="CO49" i="1"/>
  <c r="CO37" i="1"/>
  <c r="CO36" i="1"/>
  <c r="DP44" i="1"/>
  <c r="DP103" i="1"/>
  <c r="DP12" i="1"/>
  <c r="DP30" i="1"/>
  <c r="DP31" i="1"/>
  <c r="DP75" i="1"/>
  <c r="DP68" i="1"/>
  <c r="DP22" i="1"/>
  <c r="DP57" i="1"/>
  <c r="DP65" i="1"/>
  <c r="DP67" i="1"/>
  <c r="DP71" i="1"/>
  <c r="DP80" i="1"/>
  <c r="DP64" i="1"/>
  <c r="DP82" i="1"/>
  <c r="DP51" i="1"/>
  <c r="DP102" i="1"/>
  <c r="DP83" i="1"/>
  <c r="DP84" i="1"/>
  <c r="DP85" i="1"/>
  <c r="DP61" i="1"/>
  <c r="DP33" i="1"/>
  <c r="DP79" i="1"/>
  <c r="DP70" i="1"/>
  <c r="DP2" i="1"/>
  <c r="DP11" i="1"/>
  <c r="DP50" i="1"/>
  <c r="DP29" i="1"/>
  <c r="DP39" i="1"/>
  <c r="DP96" i="1"/>
  <c r="DP14" i="1"/>
  <c r="DP55" i="1"/>
  <c r="DP62" i="1"/>
  <c r="DP76" i="1"/>
  <c r="DP77" i="1"/>
  <c r="DP69" i="1"/>
  <c r="DP24" i="1"/>
  <c r="DP28" i="1"/>
  <c r="DP18" i="1"/>
  <c r="DP3" i="1"/>
  <c r="DP52" i="1"/>
  <c r="DP72" i="1"/>
  <c r="DP87" i="1"/>
  <c r="DP41" i="1"/>
  <c r="DP19" i="1"/>
  <c r="DP10" i="1"/>
  <c r="DP20" i="1"/>
  <c r="DP88" i="1"/>
  <c r="DP74" i="1"/>
  <c r="DP86" i="1"/>
  <c r="DP60" i="1"/>
  <c r="DP25" i="1"/>
  <c r="DP40" i="1"/>
  <c r="DP21" i="1"/>
  <c r="DP92" i="1"/>
  <c r="DP93" i="1"/>
  <c r="DP94" i="1"/>
  <c r="DP78" i="1"/>
  <c r="DP17" i="1"/>
  <c r="DP56" i="1"/>
  <c r="DP81" i="1"/>
  <c r="DP34" i="1"/>
  <c r="DP42" i="1"/>
  <c r="DP73" i="1"/>
  <c r="DP15" i="1"/>
  <c r="DP16" i="1"/>
  <c r="DP8" i="1"/>
  <c r="DP9" i="1"/>
  <c r="DP54" i="1"/>
  <c r="DP46" i="1"/>
  <c r="DP104" i="1"/>
  <c r="DP13" i="1"/>
  <c r="DP23" i="1"/>
  <c r="DP26" i="1"/>
  <c r="DP27" i="1"/>
  <c r="DP58" i="1"/>
  <c r="DP59" i="1"/>
  <c r="DP53" i="1"/>
  <c r="DP66" i="1"/>
  <c r="DP5" i="1"/>
  <c r="DP6" i="1"/>
  <c r="DP7" i="1"/>
  <c r="DP35" i="1"/>
  <c r="DP45" i="1"/>
  <c r="DP95" i="1"/>
  <c r="DP4" i="1"/>
  <c r="DP49" i="1"/>
  <c r="DP37" i="1"/>
  <c r="DP36" i="1"/>
  <c r="DP38" i="1"/>
  <c r="DP63" i="1"/>
  <c r="EE41" i="1" l="1"/>
  <c r="EH41" i="1"/>
  <c r="DV34" i="1"/>
  <c r="EB41" i="1"/>
  <c r="DF38" i="1"/>
  <c r="DF111" i="1" s="1"/>
  <c r="DA38" i="1"/>
  <c r="DA111" i="1" s="1"/>
  <c r="CX38" i="1"/>
  <c r="CX111" i="1" s="1"/>
  <c r="CU38" i="1"/>
  <c r="CU111" i="1" s="1"/>
  <c r="CR38" i="1"/>
  <c r="CR111" i="1" s="1"/>
  <c r="CO38" i="1"/>
  <c r="CO111" i="1" s="1"/>
  <c r="JD81" i="1" l="1"/>
  <c r="AP25" i="1" l="1"/>
  <c r="GW73" i="1" l="1"/>
  <c r="GH73" i="1" s="1"/>
  <c r="GW72" i="1"/>
  <c r="GW71" i="1"/>
  <c r="GW75" i="1"/>
  <c r="GH75" i="1" s="1"/>
  <c r="AD116" i="1" l="1"/>
  <c r="DM58" i="1" l="1"/>
  <c r="DJ103" i="1"/>
  <c r="DJ102" i="1"/>
  <c r="DJ104" i="1"/>
  <c r="DJ92" i="1"/>
  <c r="DJ86" i="1"/>
  <c r="DJ87" i="1"/>
  <c r="DJ85" i="1"/>
  <c r="DJ84" i="1"/>
  <c r="DJ83" i="1"/>
  <c r="DJ82" i="1"/>
  <c r="DJ94" i="1"/>
  <c r="DJ93" i="1"/>
  <c r="DJ96" i="1"/>
  <c r="DJ81" i="1"/>
  <c r="DJ79" i="1"/>
  <c r="DJ80" i="1"/>
  <c r="DJ72" i="1"/>
  <c r="DJ71" i="1"/>
  <c r="DJ75" i="1"/>
  <c r="DJ77" i="1"/>
  <c r="DJ76" i="1"/>
  <c r="DJ73" i="1"/>
  <c r="DJ67" i="1"/>
  <c r="DJ69" i="1"/>
  <c r="DJ70" i="1"/>
  <c r="DJ56" i="1"/>
  <c r="DJ54" i="1"/>
  <c r="DJ55" i="1"/>
  <c r="DJ53" i="1"/>
  <c r="DJ66" i="1"/>
  <c r="DJ74" i="1"/>
  <c r="DJ52" i="1"/>
  <c r="DJ60" i="1"/>
  <c r="DJ57" i="1"/>
  <c r="DJ65" i="1"/>
  <c r="DJ61" i="1"/>
  <c r="DJ62" i="1"/>
  <c r="DJ63" i="1"/>
  <c r="DJ68" i="1"/>
  <c r="DJ64" i="1"/>
  <c r="DJ47" i="1"/>
  <c r="DJ58" i="1"/>
  <c r="DJ51" i="1"/>
  <c r="DJ48" i="1"/>
  <c r="DJ59" i="1"/>
  <c r="DJ46" i="1"/>
  <c r="DJ40" i="1"/>
  <c r="DJ41" i="1"/>
  <c r="DJ44" i="1"/>
  <c r="DJ43" i="1"/>
  <c r="DJ50" i="1"/>
  <c r="DJ42" i="1"/>
  <c r="DJ39" i="1"/>
  <c r="DJ45" i="1"/>
  <c r="DJ49" i="1"/>
  <c r="DJ38" i="1"/>
  <c r="DJ36" i="1"/>
  <c r="DJ37" i="1"/>
  <c r="DJ28" i="1"/>
  <c r="DJ30" i="1"/>
  <c r="DJ31" i="1"/>
  <c r="DJ35" i="1"/>
  <c r="DJ24" i="1"/>
  <c r="DJ29" i="1"/>
  <c r="DJ23" i="1"/>
  <c r="DJ26" i="1"/>
  <c r="DJ27" i="1"/>
  <c r="DJ34" i="1"/>
  <c r="DJ25" i="1"/>
  <c r="DJ32" i="1"/>
  <c r="DJ33" i="1"/>
  <c r="DJ20" i="1"/>
  <c r="DJ17" i="1"/>
  <c r="DJ18" i="1"/>
  <c r="DJ11" i="1"/>
  <c r="DJ22" i="1"/>
  <c r="DJ21" i="1"/>
  <c r="DJ15" i="1"/>
  <c r="DJ16" i="1"/>
  <c r="DJ14" i="1"/>
  <c r="DJ19" i="1"/>
  <c r="DJ13" i="1"/>
  <c r="DJ10" i="1"/>
  <c r="DJ3" i="1"/>
  <c r="DJ8" i="1"/>
  <c r="DJ9" i="1"/>
  <c r="DJ5" i="1"/>
  <c r="DJ6" i="1"/>
  <c r="DJ7" i="1"/>
  <c r="DJ4" i="1"/>
  <c r="DJ88" i="1"/>
  <c r="DJ2" i="1"/>
  <c r="V69" i="1" l="1"/>
  <c r="AG108" i="1"/>
  <c r="AE108" i="1"/>
  <c r="AG112" i="1"/>
  <c r="W78" i="1" l="1"/>
  <c r="V78" i="1"/>
  <c r="V76" i="1"/>
  <c r="W76" i="1"/>
  <c r="W79" i="1"/>
  <c r="V79" i="1"/>
  <c r="V81" i="1"/>
  <c r="W81" i="1"/>
  <c r="V77" i="1"/>
  <c r="W77" i="1"/>
  <c r="W96" i="1"/>
  <c r="V96" i="1"/>
  <c r="AQ25" i="1"/>
  <c r="AN25" i="1"/>
  <c r="AR25" i="1"/>
  <c r="AH108" i="1"/>
  <c r="AH112" i="1"/>
  <c r="GH72" i="1"/>
  <c r="GH71" i="1"/>
  <c r="HU71" i="1" s="1"/>
  <c r="HJ103" i="1"/>
  <c r="GX103" i="1"/>
  <c r="GO103" i="1"/>
  <c r="HJ102" i="1"/>
  <c r="GX102" i="1"/>
  <c r="GO102" i="1"/>
  <c r="HT84" i="1"/>
  <c r="HR84" i="1"/>
  <c r="HJ84" i="1"/>
  <c r="HM84" i="1" s="1"/>
  <c r="GX84" i="1"/>
  <c r="GU84" i="1"/>
  <c r="GO84" i="1"/>
  <c r="HT85" i="1"/>
  <c r="HR85" i="1"/>
  <c r="HJ85" i="1"/>
  <c r="HM85" i="1" s="1"/>
  <c r="GX85" i="1"/>
  <c r="GU85" i="1"/>
  <c r="GO85" i="1"/>
  <c r="HT83" i="1"/>
  <c r="HR83" i="1"/>
  <c r="HJ83" i="1"/>
  <c r="HM83" i="1" s="1"/>
  <c r="GX83" i="1"/>
  <c r="GU83" i="1"/>
  <c r="GO83" i="1"/>
  <c r="HT86" i="1"/>
  <c r="HR86" i="1"/>
  <c r="HJ86" i="1"/>
  <c r="HM86" i="1" s="1"/>
  <c r="GX86" i="1"/>
  <c r="HB86" i="1" s="1"/>
  <c r="GU86" i="1"/>
  <c r="GO86" i="1"/>
  <c r="HT87" i="1"/>
  <c r="HR87" i="1"/>
  <c r="HJ87" i="1"/>
  <c r="HM87" i="1" s="1"/>
  <c r="GX87" i="1"/>
  <c r="HB87" i="1" s="1"/>
  <c r="GU87" i="1"/>
  <c r="GO87" i="1"/>
  <c r="HT88" i="1"/>
  <c r="HR88" i="1"/>
  <c r="HJ88" i="1"/>
  <c r="HM88" i="1" s="1"/>
  <c r="GX88" i="1"/>
  <c r="HB88" i="1" s="1"/>
  <c r="GU88" i="1"/>
  <c r="GO88" i="1"/>
  <c r="HT82" i="1"/>
  <c r="HR82" i="1"/>
  <c r="HJ82" i="1"/>
  <c r="HA82" i="1"/>
  <c r="GU82" i="1"/>
  <c r="GO82" i="1"/>
  <c r="HJ104" i="1"/>
  <c r="GX104" i="1"/>
  <c r="GO104" i="1"/>
  <c r="HJ92" i="1"/>
  <c r="GX92" i="1"/>
  <c r="HB92" i="1" s="1"/>
  <c r="GO92" i="1"/>
  <c r="HJ53" i="1"/>
  <c r="GI53" i="1"/>
  <c r="GO53" i="1"/>
  <c r="HT73" i="1"/>
  <c r="HR73" i="1"/>
  <c r="HM73" i="1"/>
  <c r="HB73" i="1"/>
  <c r="GO73" i="1"/>
  <c r="HJ81" i="1"/>
  <c r="GX81" i="1"/>
  <c r="GO81" i="1"/>
  <c r="HJ78" i="1"/>
  <c r="GO78" i="1"/>
  <c r="HT72" i="1"/>
  <c r="HR72" i="1"/>
  <c r="HM72" i="1"/>
  <c r="HB72" i="1"/>
  <c r="HG72" i="1"/>
  <c r="GO72" i="1"/>
  <c r="HJ77" i="1"/>
  <c r="GX77" i="1"/>
  <c r="GO77" i="1"/>
  <c r="HJ94" i="1"/>
  <c r="GX94" i="1"/>
  <c r="GO94" i="1"/>
  <c r="HJ76" i="1"/>
  <c r="GX76" i="1"/>
  <c r="GO76" i="1"/>
  <c r="HT96" i="1"/>
  <c r="HR96" i="1"/>
  <c r="HJ96" i="1"/>
  <c r="HM96" i="1" s="1"/>
  <c r="GX96" i="1"/>
  <c r="HB96" i="1" s="1"/>
  <c r="GO96" i="1"/>
  <c r="HJ93" i="1"/>
  <c r="GX93" i="1"/>
  <c r="GO93" i="1"/>
  <c r="HJ79" i="1"/>
  <c r="GX79" i="1"/>
  <c r="HB79" i="1" s="1"/>
  <c r="GO79" i="1"/>
  <c r="HJ80" i="1"/>
  <c r="GX80" i="1"/>
  <c r="HB80" i="1" s="1"/>
  <c r="GO80" i="1"/>
  <c r="HT71" i="1"/>
  <c r="HR71" i="1"/>
  <c r="HM71" i="1"/>
  <c r="HB71" i="1"/>
  <c r="HA71" i="1"/>
  <c r="GO71" i="1"/>
  <c r="HT75" i="1"/>
  <c r="HR75" i="1"/>
  <c r="HM75" i="1"/>
  <c r="HB75" i="1"/>
  <c r="GO75" i="1"/>
  <c r="GH103" i="1"/>
  <c r="GH102" i="1"/>
  <c r="GH84" i="1"/>
  <c r="GH85" i="1"/>
  <c r="GH83" i="1"/>
  <c r="GH86" i="1"/>
  <c r="GH87" i="1"/>
  <c r="HU87" i="1" s="1"/>
  <c r="GH88" i="1"/>
  <c r="GH82" i="1"/>
  <c r="GH104" i="1"/>
  <c r="GH53" i="1"/>
  <c r="HY53" i="1" s="1"/>
  <c r="GH94" i="1"/>
  <c r="GH96" i="1"/>
  <c r="GH93" i="1"/>
  <c r="HG53" i="1" l="1"/>
  <c r="FF53" i="1"/>
  <c r="GI76" i="1"/>
  <c r="HB76" i="1"/>
  <c r="HA85" i="1"/>
  <c r="HB85" i="1"/>
  <c r="GI103" i="1"/>
  <c r="HG103" i="1" s="1"/>
  <c r="HB103" i="1"/>
  <c r="GI93" i="1"/>
  <c r="HG93" i="1" s="1"/>
  <c r="HB93" i="1"/>
  <c r="GI81" i="1"/>
  <c r="HG81" i="1" s="1"/>
  <c r="HB81" i="1"/>
  <c r="GI77" i="1"/>
  <c r="HB77" i="1"/>
  <c r="GI104" i="1"/>
  <c r="HG104" i="1" s="1"/>
  <c r="HB104" i="1"/>
  <c r="HA83" i="1"/>
  <c r="HB83" i="1"/>
  <c r="HA84" i="1"/>
  <c r="HB84" i="1"/>
  <c r="GI102" i="1"/>
  <c r="HG102" i="1" s="1"/>
  <c r="HB102" i="1"/>
  <c r="GI94" i="1"/>
  <c r="HG94" i="1" s="1"/>
  <c r="HB94" i="1"/>
  <c r="GL53" i="1"/>
  <c r="GK53" i="1"/>
  <c r="HM82" i="1"/>
  <c r="GH80" i="1"/>
  <c r="HY80" i="1" s="1"/>
  <c r="GI80" i="1"/>
  <c r="HA86" i="1"/>
  <c r="GI86" i="1"/>
  <c r="HG86" i="1" s="1"/>
  <c r="HA73" i="1"/>
  <c r="HA96" i="1"/>
  <c r="GI96" i="1"/>
  <c r="HG96" i="1" s="1"/>
  <c r="HA88" i="1"/>
  <c r="GI88" i="1"/>
  <c r="HG88" i="1" s="1"/>
  <c r="GI79" i="1"/>
  <c r="HG79" i="1" s="1"/>
  <c r="GH92" i="1"/>
  <c r="GI92" i="1"/>
  <c r="HA87" i="1"/>
  <c r="GI87" i="1"/>
  <c r="HG87" i="1" s="1"/>
  <c r="GP85" i="1"/>
  <c r="GH81" i="1"/>
  <c r="HY81" i="1" s="1"/>
  <c r="GH78" i="1"/>
  <c r="HA92" i="1"/>
  <c r="GH76" i="1"/>
  <c r="GH77" i="1"/>
  <c r="GP84" i="1"/>
  <c r="GW79" i="1"/>
  <c r="GP78" i="1"/>
  <c r="HA103" i="1"/>
  <c r="HY93" i="1"/>
  <c r="HY104" i="1"/>
  <c r="HA102" i="1"/>
  <c r="HY72" i="1"/>
  <c r="HY75" i="1"/>
  <c r="HY94" i="1"/>
  <c r="HA93" i="1"/>
  <c r="HU96" i="1"/>
  <c r="HY96" i="1"/>
  <c r="HU73" i="1"/>
  <c r="HY73" i="1"/>
  <c r="HY88" i="1"/>
  <c r="HU88" i="1"/>
  <c r="HA80" i="1"/>
  <c r="HY86" i="1"/>
  <c r="HU86" i="1"/>
  <c r="HG75" i="1"/>
  <c r="HA75" i="1"/>
  <c r="GP72" i="1"/>
  <c r="GJ72" i="1"/>
  <c r="GP53" i="1"/>
  <c r="GJ53" i="1"/>
  <c r="HY71" i="1"/>
  <c r="HY85" i="1"/>
  <c r="HU85" i="1"/>
  <c r="HY102" i="1"/>
  <c r="GK102" i="1"/>
  <c r="HU102" i="1"/>
  <c r="HY103" i="1"/>
  <c r="GK103" i="1"/>
  <c r="HU103" i="1"/>
  <c r="HA94" i="1"/>
  <c r="HA72" i="1"/>
  <c r="HA53" i="1"/>
  <c r="HA104" i="1"/>
  <c r="HY82" i="1"/>
  <c r="HY87" i="1"/>
  <c r="HY83" i="1"/>
  <c r="HY84" i="1"/>
  <c r="HU75" i="1"/>
  <c r="HU93" i="1"/>
  <c r="HU94" i="1"/>
  <c r="HU72" i="1"/>
  <c r="HU53" i="1"/>
  <c r="HU104" i="1"/>
  <c r="GK104" i="1"/>
  <c r="HU82" i="1"/>
  <c r="HU83" i="1"/>
  <c r="HU84" i="1"/>
  <c r="HG76" i="1" l="1"/>
  <c r="FF76" i="1"/>
  <c r="HG77" i="1"/>
  <c r="FF77" i="1"/>
  <c r="GP81" i="1"/>
  <c r="GP102" i="1"/>
  <c r="GP76" i="1"/>
  <c r="GP103" i="1"/>
  <c r="GL76" i="1"/>
  <c r="GP77" i="1"/>
  <c r="GK77" i="1"/>
  <c r="GL94" i="1"/>
  <c r="GK76" i="1"/>
  <c r="GL77" i="1"/>
  <c r="GJ94" i="1"/>
  <c r="GJ104" i="1"/>
  <c r="GP94" i="1"/>
  <c r="GP104" i="1"/>
  <c r="GK93" i="1"/>
  <c r="GL93" i="1"/>
  <c r="GL81" i="1"/>
  <c r="GL80" i="1"/>
  <c r="HG80" i="1"/>
  <c r="GP73" i="1"/>
  <c r="HG73" i="1"/>
  <c r="GP71" i="1"/>
  <c r="HG71" i="1"/>
  <c r="GK94" i="1"/>
  <c r="GK81" i="1"/>
  <c r="GP92" i="1"/>
  <c r="HG92" i="1"/>
  <c r="GP96" i="1"/>
  <c r="GL96" i="1"/>
  <c r="GK96" i="1"/>
  <c r="GJ86" i="1"/>
  <c r="GL86" i="1"/>
  <c r="GK86" i="1"/>
  <c r="GP88" i="1"/>
  <c r="GL88" i="1"/>
  <c r="GK88" i="1"/>
  <c r="GJ87" i="1"/>
  <c r="GL87" i="1"/>
  <c r="GK87" i="1"/>
  <c r="GP79" i="1"/>
  <c r="GL79" i="1"/>
  <c r="GK79" i="1"/>
  <c r="GK80" i="1"/>
  <c r="HY92" i="1"/>
  <c r="GK92" i="1"/>
  <c r="HU92" i="1"/>
  <c r="HU80" i="1"/>
  <c r="GH79" i="1"/>
  <c r="HU79" i="1" s="1"/>
  <c r="GJ88" i="1"/>
  <c r="GJ85" i="1"/>
  <c r="GJ73" i="1"/>
  <c r="GP86" i="1"/>
  <c r="GJ103" i="1"/>
  <c r="HU77" i="1"/>
  <c r="HU81" i="1"/>
  <c r="HA81" i="1"/>
  <c r="HY78" i="1"/>
  <c r="HU78" i="1"/>
  <c r="GJ84" i="1"/>
  <c r="HU76" i="1"/>
  <c r="GJ81" i="1"/>
  <c r="GJ92" i="1"/>
  <c r="HA78" i="1"/>
  <c r="HY76" i="1"/>
  <c r="HY77" i="1"/>
  <c r="GJ76" i="1"/>
  <c r="HA76" i="1"/>
  <c r="HA77" i="1"/>
  <c r="GJ77" i="1"/>
  <c r="GJ96" i="1"/>
  <c r="GP87" i="1"/>
  <c r="GJ78" i="1"/>
  <c r="HA79" i="1"/>
  <c r="GJ102" i="1"/>
  <c r="GJ71" i="1"/>
  <c r="GP82" i="1"/>
  <c r="GJ82" i="1"/>
  <c r="GP80" i="1"/>
  <c r="GJ80" i="1"/>
  <c r="GJ83" i="1"/>
  <c r="GP83" i="1"/>
  <c r="GP75" i="1"/>
  <c r="GJ75" i="1"/>
  <c r="GP93" i="1"/>
  <c r="GJ93" i="1"/>
  <c r="HY79" i="1" l="1"/>
  <c r="GJ79" i="1"/>
  <c r="DM2" i="1" l="1"/>
  <c r="EO96" i="1" l="1"/>
  <c r="EO103" i="1"/>
  <c r="EO104" i="1"/>
  <c r="EO53" i="1"/>
  <c r="EM53" i="1"/>
  <c r="EO94" i="1"/>
  <c r="FQ94" i="1"/>
  <c r="EO77" i="1"/>
  <c r="EO80" i="1"/>
  <c r="EO92" i="1"/>
  <c r="FQ92" i="1"/>
  <c r="EO93" i="1"/>
  <c r="EO76" i="1"/>
  <c r="EO81" i="1"/>
  <c r="EO79" i="1"/>
  <c r="FQ79" i="1"/>
  <c r="EO69" i="1"/>
  <c r="EO70" i="1"/>
  <c r="FQ70" i="1"/>
  <c r="EO74" i="1"/>
  <c r="EO59" i="1"/>
  <c r="EM59" i="1"/>
  <c r="EO66" i="1"/>
  <c r="EO58" i="1"/>
  <c r="EO67" i="1"/>
  <c r="EO56" i="1"/>
  <c r="EO54" i="1"/>
  <c r="EO55" i="1"/>
  <c r="EO57" i="1"/>
  <c r="EO52" i="1"/>
  <c r="EN53" i="1" l="1"/>
  <c r="EN59" i="1"/>
  <c r="FQ67" i="1"/>
  <c r="FQ76" i="1"/>
  <c r="FQ104" i="1"/>
  <c r="FQ96" i="1"/>
  <c r="FQ57" i="1"/>
  <c r="FQ66" i="1"/>
  <c r="FQ69" i="1"/>
  <c r="FQ55" i="1"/>
  <c r="FQ56" i="1"/>
  <c r="FQ59" i="1"/>
  <c r="FQ81" i="1"/>
  <c r="FQ93" i="1"/>
  <c r="FQ80" i="1"/>
  <c r="FQ77" i="1"/>
  <c r="FQ103" i="1"/>
  <c r="FQ54" i="1"/>
  <c r="FQ74" i="1"/>
  <c r="FQ53" i="1"/>
  <c r="DM54" i="1"/>
  <c r="BS67" i="1"/>
  <c r="BS74" i="1"/>
  <c r="BS69" i="1"/>
  <c r="BS76" i="1"/>
  <c r="DM53" i="1"/>
  <c r="ER104" i="1"/>
  <c r="EU104" i="1" s="1"/>
  <c r="ER96" i="1"/>
  <c r="EU96" i="1" s="1"/>
  <c r="BS55" i="1"/>
  <c r="ER59" i="1"/>
  <c r="ER93" i="1"/>
  <c r="EU93" i="1" s="1"/>
  <c r="BS77" i="1"/>
  <c r="ER103" i="1"/>
  <c r="EU103" i="1" s="1"/>
  <c r="DM52" i="1"/>
  <c r="BS54" i="1"/>
  <c r="DM80" i="1"/>
  <c r="ER58" i="1"/>
  <c r="DM59" i="1"/>
  <c r="DM93" i="1"/>
  <c r="DM103" i="1"/>
  <c r="ER53" i="1"/>
  <c r="CK53" i="1" s="1"/>
  <c r="DM76" i="1"/>
  <c r="DM77" i="1"/>
  <c r="DM55" i="1"/>
  <c r="DM74" i="1"/>
  <c r="DM104" i="1"/>
  <c r="EU52" i="1"/>
  <c r="DM66" i="1"/>
  <c r="DM67" i="1"/>
  <c r="DM56" i="1"/>
  <c r="DM94" i="1"/>
  <c r="ER94" i="1"/>
  <c r="EU94" i="1" s="1"/>
  <c r="BS57" i="1"/>
  <c r="DM69" i="1"/>
  <c r="DM92" i="1"/>
  <c r="ER92" i="1"/>
  <c r="EU92" i="1" s="1"/>
  <c r="DM96" i="1"/>
  <c r="DM70" i="1"/>
  <c r="EU70" i="1"/>
  <c r="DM81" i="1"/>
  <c r="DM79" i="1"/>
  <c r="EW52" i="1" l="1"/>
  <c r="EY52" i="1" s="1"/>
  <c r="EW93" i="1"/>
  <c r="EY93" i="1" s="1"/>
  <c r="EW70" i="1"/>
  <c r="EY70" i="1" s="1"/>
  <c r="EW103" i="1"/>
  <c r="EY103" i="1" s="1"/>
  <c r="EW96" i="1"/>
  <c r="EY96" i="1" s="1"/>
  <c r="EW92" i="1"/>
  <c r="EY92" i="1" s="1"/>
  <c r="EW94" i="1"/>
  <c r="EY94" i="1" s="1"/>
  <c r="EW104" i="1"/>
  <c r="EY104" i="1" s="1"/>
  <c r="BT80" i="1"/>
  <c r="BS80" i="1"/>
  <c r="BT81" i="1"/>
  <c r="BS81" i="1"/>
  <c r="BT56" i="1"/>
  <c r="BU56" i="1" s="1"/>
  <c r="BV56" i="1" s="1"/>
  <c r="BS56" i="1"/>
  <c r="BT79" i="1"/>
  <c r="BS79" i="1"/>
  <c r="BT70" i="1"/>
  <c r="BS70" i="1"/>
  <c r="BT52" i="1"/>
  <c r="BU52" i="1" s="1"/>
  <c r="BV52" i="1" s="1"/>
  <c r="BS94" i="1"/>
  <c r="BT94" i="1"/>
  <c r="BU94" i="1" s="1"/>
  <c r="BV94" i="1" s="1"/>
  <c r="BT54" i="1"/>
  <c r="BS96" i="1"/>
  <c r="BT96" i="1"/>
  <c r="BU96" i="1" s="1"/>
  <c r="BV96" i="1" s="1"/>
  <c r="BT74" i="1"/>
  <c r="BS92" i="1"/>
  <c r="BT92" i="1"/>
  <c r="BU92" i="1" s="1"/>
  <c r="BV92" i="1" s="1"/>
  <c r="BS103" i="1"/>
  <c r="BT103" i="1"/>
  <c r="BU103" i="1" s="1"/>
  <c r="BV103" i="1" s="1"/>
  <c r="BS93" i="1"/>
  <c r="BT93" i="1"/>
  <c r="BU93" i="1" s="1"/>
  <c r="BV93" i="1" s="1"/>
  <c r="BS104" i="1"/>
  <c r="BT104" i="1"/>
  <c r="BU104" i="1" s="1"/>
  <c r="BV104" i="1" s="1"/>
  <c r="BS66" i="1"/>
  <c r="BT66" i="1"/>
  <c r="BU66" i="1" s="1"/>
  <c r="BV66" i="1" s="1"/>
  <c r="BT57" i="1"/>
  <c r="BU57" i="1" s="1"/>
  <c r="BV57" i="1" s="1"/>
  <c r="BT76" i="1"/>
  <c r="BT67" i="1"/>
  <c r="BT77" i="1"/>
  <c r="BT55" i="1"/>
  <c r="BT69" i="1"/>
  <c r="EU58" i="1"/>
  <c r="BU55" i="1" l="1"/>
  <c r="BV55" i="1" s="1"/>
  <c r="BU77" i="1"/>
  <c r="BV77" i="1" s="1"/>
  <c r="BU79" i="1"/>
  <c r="BV79" i="1" s="1"/>
  <c r="BU81" i="1"/>
  <c r="BV81" i="1" s="1"/>
  <c r="BU67" i="1"/>
  <c r="BV67" i="1" s="1"/>
  <c r="BU54" i="1"/>
  <c r="BV54" i="1" s="1"/>
  <c r="BU69" i="1"/>
  <c r="BV69" i="1" s="1"/>
  <c r="BU76" i="1"/>
  <c r="BV76" i="1" s="1"/>
  <c r="BU74" i="1"/>
  <c r="BV74" i="1" s="1"/>
  <c r="BU70" i="1"/>
  <c r="BV70" i="1" s="1"/>
  <c r="BU80" i="1"/>
  <c r="BV80" i="1" s="1"/>
  <c r="EW58" i="1"/>
  <c r="EY58" i="1" s="1"/>
  <c r="BS58" i="1"/>
  <c r="BT58" i="1"/>
  <c r="BU58" i="1" s="1"/>
  <c r="BV58" i="1" s="1"/>
  <c r="CK58" i="1"/>
  <c r="HR92" i="1" l="1"/>
  <c r="HT92" i="1"/>
  <c r="HM92" i="1"/>
  <c r="GL92" i="1"/>
  <c r="GU93" i="1" l="1"/>
  <c r="HT93" i="1"/>
  <c r="HR93" i="1"/>
  <c r="HM93" i="1"/>
  <c r="GU94" i="1" l="1"/>
  <c r="HT94" i="1"/>
  <c r="HR94" i="1"/>
  <c r="HM94" i="1"/>
  <c r="CF21" i="1" l="1"/>
  <c r="CF20" i="1"/>
  <c r="CF24" i="1"/>
  <c r="CF29" i="1"/>
  <c r="CF42" i="1" l="1"/>
  <c r="CF111" i="1" s="1"/>
  <c r="FQ78" i="1" l="1"/>
  <c r="DM78" i="1"/>
  <c r="BT78" i="1" l="1"/>
  <c r="BU78" i="1" s="1"/>
  <c r="BV78" i="1" s="1"/>
  <c r="BS78" i="1"/>
  <c r="HT79" i="1" l="1"/>
  <c r="HR79" i="1"/>
  <c r="HM79" i="1"/>
  <c r="R79" i="1"/>
  <c r="HI40" i="1" l="1"/>
  <c r="AU5" i="1" l="1"/>
  <c r="HT81" i="1" l="1"/>
  <c r="HR81" i="1"/>
  <c r="HM81" i="1"/>
  <c r="HT104" i="1"/>
  <c r="HR104" i="1"/>
  <c r="GL104" i="1"/>
  <c r="HM104" i="1"/>
  <c r="HT80" i="1"/>
  <c r="HR80" i="1"/>
  <c r="HM80" i="1"/>
  <c r="R81" i="1"/>
  <c r="W80" i="1"/>
  <c r="V80" i="1"/>
  <c r="GX55" i="1" l="1"/>
  <c r="HB55" i="1" s="1"/>
  <c r="GX47" i="1" l="1"/>
  <c r="GI47" i="1" l="1"/>
  <c r="HB47" i="1"/>
  <c r="HG47" i="1" l="1"/>
  <c r="FF47" i="1"/>
  <c r="GL47" i="1"/>
  <c r="GK47" i="1"/>
  <c r="EO39" i="1" l="1"/>
  <c r="GU62" i="1" l="1"/>
  <c r="GU61" i="1"/>
  <c r="GU64" i="1"/>
  <c r="GU65" i="1"/>
  <c r="GU68" i="1"/>
  <c r="GV62" i="1"/>
  <c r="GV61" i="1"/>
  <c r="GV64" i="1"/>
  <c r="GV65" i="1"/>
  <c r="GV68" i="1"/>
  <c r="GV63" i="1"/>
  <c r="GH74" i="1" l="1"/>
  <c r="GX52" i="1" l="1"/>
  <c r="HB52" i="1" s="1"/>
  <c r="DM36" i="1" l="1"/>
  <c r="DM28" i="1" l="1"/>
  <c r="BH136" i="1" l="1"/>
  <c r="HJ49" i="1" l="1"/>
  <c r="GX49" i="1"/>
  <c r="HB49" i="1" s="1"/>
  <c r="GO49" i="1"/>
  <c r="GH49" i="1"/>
  <c r="GI49" i="1" l="1"/>
  <c r="HA49" i="1"/>
  <c r="HU49" i="1"/>
  <c r="HG49" i="1" l="1"/>
  <c r="FF49" i="1"/>
  <c r="GP49" i="1"/>
  <c r="GL49" i="1"/>
  <c r="GK49" i="1"/>
  <c r="GJ49" i="1"/>
  <c r="HY49" i="1"/>
  <c r="DM43" i="1"/>
  <c r="DM49" i="1" l="1"/>
  <c r="EO49" i="1"/>
  <c r="CJ49" i="1"/>
  <c r="CH49" i="1"/>
  <c r="BO41" i="1"/>
  <c r="BO42" i="1"/>
  <c r="BO49" i="1"/>
  <c r="BO43" i="1"/>
  <c r="BQ43" i="1" s="1"/>
  <c r="BQ49" i="1" l="1"/>
  <c r="BT49" i="1" s="1"/>
  <c r="BU49" i="1" s="1"/>
  <c r="BV49" i="1" s="1"/>
  <c r="BP49" i="1"/>
  <c r="BS49" i="1" s="1"/>
  <c r="U49" i="1"/>
  <c r="Y49" i="1"/>
  <c r="S49" i="1"/>
  <c r="T49" i="1"/>
  <c r="CK49" i="1" l="1"/>
  <c r="V49" i="1"/>
  <c r="HT49" i="1"/>
  <c r="HR49" i="1"/>
  <c r="HM49" i="1"/>
  <c r="R49" i="1"/>
  <c r="AM49" i="1"/>
  <c r="W49" i="1"/>
  <c r="EN46" i="1" l="1"/>
  <c r="FQ46" i="1"/>
  <c r="DM46" i="1"/>
  <c r="AL115" i="1" l="1"/>
  <c r="AF115" i="1" s="1"/>
  <c r="W115" i="1" s="1"/>
  <c r="X116" i="1" s="1"/>
  <c r="R78" i="1" l="1"/>
  <c r="HR78" i="1"/>
  <c r="HT78" i="1"/>
  <c r="HM78" i="1"/>
  <c r="U53" i="1"/>
  <c r="T53" i="1"/>
  <c r="S53" i="1"/>
  <c r="U59" i="1"/>
  <c r="T59" i="1"/>
  <c r="S59" i="1"/>
  <c r="U70" i="1"/>
  <c r="T70" i="1"/>
  <c r="S70" i="1"/>
  <c r="U67" i="1"/>
  <c r="T67" i="1"/>
  <c r="S67" i="1"/>
  <c r="U103" i="1"/>
  <c r="T103" i="1"/>
  <c r="U69" i="1"/>
  <c r="T102" i="1"/>
  <c r="Y102" i="1"/>
  <c r="Y103" i="1"/>
  <c r="Y67" i="1"/>
  <c r="Y70" i="1"/>
  <c r="Y74" i="1"/>
  <c r="Y53" i="1"/>
  <c r="Y59" i="1"/>
  <c r="Y46" i="1"/>
  <c r="Y42" i="1"/>
  <c r="Y66" i="1" l="1"/>
  <c r="U74" i="1" l="1"/>
  <c r="U66" i="1"/>
  <c r="T74" i="1"/>
  <c r="T66" i="1"/>
  <c r="S74" i="1"/>
  <c r="S66" i="1"/>
  <c r="DM29" i="1" l="1"/>
  <c r="CG39" i="1" l="1"/>
  <c r="CJ39" i="1" l="1"/>
  <c r="CH43" i="1"/>
  <c r="CH24" i="1"/>
  <c r="CH25" i="1"/>
  <c r="CH21" i="1"/>
  <c r="CH13" i="1"/>
  <c r="CH16" i="1"/>
  <c r="CH15" i="1"/>
  <c r="CH18" i="1"/>
  <c r="CH36" i="1"/>
  <c r="CH14" i="1"/>
  <c r="CH23" i="1"/>
  <c r="CH38" i="1"/>
  <c r="CH46" i="1"/>
  <c r="CH37" i="1"/>
  <c r="CH41" i="1"/>
  <c r="CH50" i="1"/>
  <c r="CH42" i="1"/>
  <c r="CH20" i="1"/>
  <c r="CH19" i="1"/>
  <c r="CH17" i="1"/>
  <c r="CH34" i="1"/>
  <c r="CH45" i="1"/>
  <c r="CH44" i="1"/>
  <c r="DM45" i="1"/>
  <c r="DM44" i="1"/>
  <c r="GX40" i="1"/>
  <c r="GI40" i="1" s="1"/>
  <c r="FF40" i="1" s="1"/>
  <c r="GX70" i="1"/>
  <c r="GX58" i="1"/>
  <c r="HB58" i="1" s="1"/>
  <c r="GX69" i="1"/>
  <c r="GX67" i="1"/>
  <c r="HB67" i="1" s="1"/>
  <c r="GX66" i="1"/>
  <c r="HB66" i="1" s="1"/>
  <c r="HI44" i="1"/>
  <c r="HI43" i="1"/>
  <c r="EM86" i="1"/>
  <c r="EM88" i="1"/>
  <c r="EM87" i="1"/>
  <c r="EM85" i="1"/>
  <c r="EM84" i="1"/>
  <c r="EM83" i="1"/>
  <c r="EM82" i="1"/>
  <c r="EM73" i="1"/>
  <c r="EM72" i="1"/>
  <c r="EM71" i="1"/>
  <c r="EM75" i="1"/>
  <c r="HY47" i="1"/>
  <c r="GI63" i="1"/>
  <c r="GI68" i="1"/>
  <c r="GP59" i="1"/>
  <c r="HI42" i="1"/>
  <c r="EO62" i="1"/>
  <c r="EM62" i="1"/>
  <c r="EO61" i="1"/>
  <c r="EM61" i="1"/>
  <c r="EO64" i="1"/>
  <c r="EM64" i="1"/>
  <c r="EO65" i="1"/>
  <c r="EM65" i="1"/>
  <c r="EO68" i="1"/>
  <c r="EM68" i="1"/>
  <c r="EO63" i="1"/>
  <c r="EM63" i="1"/>
  <c r="HJ16" i="1"/>
  <c r="HJ15" i="1"/>
  <c r="HD2" i="1"/>
  <c r="HJ2" i="1" s="1"/>
  <c r="HT62" i="1"/>
  <c r="HT61" i="1"/>
  <c r="HT64" i="1"/>
  <c r="HT65" i="1"/>
  <c r="HT68" i="1"/>
  <c r="HT63" i="1"/>
  <c r="GH65" i="1"/>
  <c r="FQ25" i="1"/>
  <c r="ER25" i="1"/>
  <c r="GW69" i="1"/>
  <c r="GH69" i="1" s="1"/>
  <c r="GH61" i="1"/>
  <c r="GH62" i="1"/>
  <c r="GH64" i="1"/>
  <c r="GH63" i="1"/>
  <c r="GH68" i="1"/>
  <c r="GH59" i="1"/>
  <c r="HU59" i="1" s="1"/>
  <c r="GH58" i="1"/>
  <c r="GH70" i="1"/>
  <c r="HU70" i="1" s="1"/>
  <c r="GH66" i="1"/>
  <c r="HB61" i="1"/>
  <c r="HB62" i="1"/>
  <c r="HB64" i="1"/>
  <c r="HB63" i="1"/>
  <c r="HB68" i="1"/>
  <c r="GU63" i="1"/>
  <c r="GH67" i="1"/>
  <c r="BP50" i="1"/>
  <c r="BO39" i="1"/>
  <c r="EM40" i="1"/>
  <c r="BQ3" i="1"/>
  <c r="BT3" i="1" s="1"/>
  <c r="BU3" i="1" s="1"/>
  <c r="BV3" i="1" s="1"/>
  <c r="BQ10" i="1"/>
  <c r="BT10" i="1" s="1"/>
  <c r="BU10" i="1" s="1"/>
  <c r="BV10" i="1" s="1"/>
  <c r="BQ8" i="1"/>
  <c r="BT8" i="1" s="1"/>
  <c r="BU8" i="1" s="1"/>
  <c r="BV8" i="1" s="1"/>
  <c r="BQ9" i="1"/>
  <c r="BT9" i="1" s="1"/>
  <c r="BU9" i="1" s="1"/>
  <c r="BV9" i="1" s="1"/>
  <c r="BQ5" i="1"/>
  <c r="BT5" i="1" s="1"/>
  <c r="BU5" i="1" s="1"/>
  <c r="BV5" i="1" s="1"/>
  <c r="BQ6" i="1"/>
  <c r="BT6" i="1" s="1"/>
  <c r="BU6" i="1" s="1"/>
  <c r="BV6" i="1" s="1"/>
  <c r="BQ7" i="1"/>
  <c r="BT7" i="1" s="1"/>
  <c r="BU7" i="1" s="1"/>
  <c r="BV7" i="1" s="1"/>
  <c r="BQ4" i="1"/>
  <c r="BT4" i="1" s="1"/>
  <c r="BU4" i="1" s="1"/>
  <c r="BV4" i="1" s="1"/>
  <c r="BQ12" i="1"/>
  <c r="BT12" i="1" s="1"/>
  <c r="BQ19" i="1"/>
  <c r="BT19" i="1" s="1"/>
  <c r="BQ11" i="1"/>
  <c r="BT11" i="1" s="1"/>
  <c r="BQ14" i="1"/>
  <c r="BT14" i="1" s="1"/>
  <c r="BU14" i="1" s="1"/>
  <c r="BV14" i="1" s="1"/>
  <c r="BQ18" i="1"/>
  <c r="BT18" i="1" s="1"/>
  <c r="BQ24" i="1"/>
  <c r="BT24" i="1" s="1"/>
  <c r="BQ20" i="1"/>
  <c r="BT20" i="1" s="1"/>
  <c r="BQ21" i="1"/>
  <c r="BT21" i="1" s="1"/>
  <c r="BU21" i="1" s="1"/>
  <c r="BV21" i="1" s="1"/>
  <c r="BQ17" i="1"/>
  <c r="BT17" i="1" s="1"/>
  <c r="BQ15" i="1"/>
  <c r="BT15" i="1" s="1"/>
  <c r="BQ16" i="1"/>
  <c r="BT16" i="1" s="1"/>
  <c r="BQ13" i="1"/>
  <c r="BT13" i="1" s="1"/>
  <c r="BQ29" i="1"/>
  <c r="BT29" i="1" s="1"/>
  <c r="BQ22" i="1"/>
  <c r="BT22" i="1" s="1"/>
  <c r="BQ33" i="1"/>
  <c r="BT33" i="1" s="1"/>
  <c r="BQ32" i="1"/>
  <c r="BT32" i="1" s="1"/>
  <c r="BU32" i="1" s="1"/>
  <c r="BV32" i="1" s="1"/>
  <c r="BQ28" i="1"/>
  <c r="BT28" i="1" s="1"/>
  <c r="BQ34" i="1"/>
  <c r="BQ25" i="1"/>
  <c r="BT25" i="1" s="1"/>
  <c r="BU25" i="1" s="1"/>
  <c r="BV25" i="1" s="1"/>
  <c r="BQ36" i="1"/>
  <c r="BT36" i="1" s="1"/>
  <c r="BQ38" i="1"/>
  <c r="BT38" i="1" s="1"/>
  <c r="BQ23" i="1"/>
  <c r="BT23" i="1" s="1"/>
  <c r="BQ26" i="1"/>
  <c r="BT26" i="1" s="1"/>
  <c r="BQ27" i="1"/>
  <c r="BT27" i="1" s="1"/>
  <c r="BQ40" i="1"/>
  <c r="BT40" i="1" s="1"/>
  <c r="BQ35" i="1"/>
  <c r="BT35" i="1" s="1"/>
  <c r="BQ37" i="1"/>
  <c r="BT37" i="1" s="1"/>
  <c r="BQ30" i="1"/>
  <c r="BT30" i="1" s="1"/>
  <c r="BU30" i="1" s="1"/>
  <c r="BV30" i="1" s="1"/>
  <c r="BQ31" i="1"/>
  <c r="BT31" i="1" s="1"/>
  <c r="BT43" i="1"/>
  <c r="BU43" i="1" s="1"/>
  <c r="BV43" i="1" s="1"/>
  <c r="BT44" i="1"/>
  <c r="BU44" i="1" s="1"/>
  <c r="BV44" i="1" s="1"/>
  <c r="BQ47" i="1"/>
  <c r="BQ41" i="1"/>
  <c r="BT41" i="1" s="1"/>
  <c r="BU41" i="1" s="1"/>
  <c r="BV41" i="1" s="1"/>
  <c r="BQ42" i="1"/>
  <c r="BT42" i="1" s="1"/>
  <c r="BU42" i="1" s="1"/>
  <c r="BV42" i="1" s="1"/>
  <c r="BQ46" i="1"/>
  <c r="BT46" i="1" s="1"/>
  <c r="BU46" i="1" s="1"/>
  <c r="BV46" i="1" s="1"/>
  <c r="BQ45" i="1"/>
  <c r="BT45" i="1" s="1"/>
  <c r="BU45" i="1" s="1"/>
  <c r="BV45" i="1" s="1"/>
  <c r="BQ60" i="1"/>
  <c r="BQ2" i="1"/>
  <c r="BT2" i="1" s="1"/>
  <c r="BU2" i="1" s="1"/>
  <c r="BV2" i="1" s="1"/>
  <c r="BP2" i="1"/>
  <c r="BP3" i="1"/>
  <c r="BP10" i="1"/>
  <c r="BP8" i="1"/>
  <c r="BP9" i="1"/>
  <c r="BP5" i="1"/>
  <c r="BP6" i="1"/>
  <c r="BP7" i="1"/>
  <c r="BP4" i="1"/>
  <c r="BP12" i="1"/>
  <c r="BP19" i="1"/>
  <c r="BP11" i="1"/>
  <c r="BP14" i="1"/>
  <c r="BS14" i="1" s="1"/>
  <c r="BP18" i="1"/>
  <c r="BS18" i="1" s="1"/>
  <c r="BP24" i="1"/>
  <c r="BS24" i="1" s="1"/>
  <c r="BP20" i="1"/>
  <c r="BS20" i="1" s="1"/>
  <c r="BP21" i="1"/>
  <c r="BS21" i="1" s="1"/>
  <c r="BP17" i="1"/>
  <c r="BS17" i="1" s="1"/>
  <c r="BP15" i="1"/>
  <c r="BS15" i="1" s="1"/>
  <c r="BP16" i="1"/>
  <c r="BS16" i="1" s="1"/>
  <c r="BP13" i="1"/>
  <c r="BS13" i="1" s="1"/>
  <c r="BP29" i="1"/>
  <c r="BS29" i="1" s="1"/>
  <c r="BP22" i="1"/>
  <c r="BP33" i="1"/>
  <c r="BP32" i="1"/>
  <c r="BP28" i="1"/>
  <c r="BS28" i="1" s="1"/>
  <c r="BP34" i="1"/>
  <c r="BP25" i="1"/>
  <c r="BS25" i="1" s="1"/>
  <c r="BP36" i="1"/>
  <c r="BP38" i="1"/>
  <c r="BP23" i="1"/>
  <c r="BS23" i="1" s="1"/>
  <c r="BP26" i="1"/>
  <c r="BS26" i="1" s="1"/>
  <c r="BP27" i="1"/>
  <c r="BS27" i="1" s="1"/>
  <c r="BP40" i="1"/>
  <c r="BP35" i="1"/>
  <c r="BS35" i="1" s="1"/>
  <c r="BP37" i="1"/>
  <c r="BP30" i="1"/>
  <c r="BS30" i="1" s="1"/>
  <c r="BP31" i="1"/>
  <c r="BP43" i="1"/>
  <c r="BP44" i="1"/>
  <c r="BP41" i="1"/>
  <c r="BP42" i="1"/>
  <c r="BP46" i="1"/>
  <c r="BP45" i="1"/>
  <c r="BP60" i="1"/>
  <c r="GH57" i="1"/>
  <c r="HU57" i="1" s="1"/>
  <c r="HK122" i="1"/>
  <c r="HI121" i="1"/>
  <c r="HH121" i="1"/>
  <c r="HK120" i="1"/>
  <c r="HK119" i="1"/>
  <c r="HL118" i="1" s="1"/>
  <c r="HI118" i="1"/>
  <c r="HH118" i="1"/>
  <c r="HK117" i="1"/>
  <c r="HK116" i="1"/>
  <c r="HI115" i="1"/>
  <c r="HH115" i="1"/>
  <c r="HW112" i="1"/>
  <c r="HV112" i="1"/>
  <c r="HS112" i="1"/>
  <c r="HP112" i="1"/>
  <c r="HF112" i="1"/>
  <c r="GZ112" i="1"/>
  <c r="GY112" i="1"/>
  <c r="AE112" i="1"/>
  <c r="GZ108" i="1"/>
  <c r="GY108" i="1"/>
  <c r="JD102" i="1"/>
  <c r="JD65" i="1"/>
  <c r="HR65" i="1"/>
  <c r="HJ65" i="1"/>
  <c r="HM65" i="1" s="1"/>
  <c r="JD87" i="1"/>
  <c r="JD88" i="1"/>
  <c r="JD86" i="1"/>
  <c r="JD85" i="1"/>
  <c r="JD84" i="1"/>
  <c r="JD82" i="1"/>
  <c r="JD83" i="1"/>
  <c r="JD75" i="1"/>
  <c r="JD73" i="1"/>
  <c r="JD71" i="1"/>
  <c r="JD72" i="1"/>
  <c r="JD61" i="1"/>
  <c r="HR61" i="1"/>
  <c r="HJ61" i="1"/>
  <c r="HM61" i="1" s="1"/>
  <c r="JD62" i="1"/>
  <c r="HR62" i="1"/>
  <c r="HJ62" i="1"/>
  <c r="HM62" i="1" s="1"/>
  <c r="JD64" i="1"/>
  <c r="HR64" i="1"/>
  <c r="HJ64" i="1"/>
  <c r="HM64" i="1" s="1"/>
  <c r="JD63" i="1"/>
  <c r="HR63" i="1"/>
  <c r="HJ63" i="1"/>
  <c r="HM63" i="1" s="1"/>
  <c r="JD68" i="1"/>
  <c r="HR68" i="1"/>
  <c r="HJ68" i="1"/>
  <c r="HM68" i="1" s="1"/>
  <c r="HJ59" i="1"/>
  <c r="HA59" i="1"/>
  <c r="GV59" i="1"/>
  <c r="GO59" i="1"/>
  <c r="JD70" i="1"/>
  <c r="HJ70" i="1"/>
  <c r="GV70" i="1"/>
  <c r="GO70" i="1"/>
  <c r="HJ66" i="1"/>
  <c r="GV66" i="1"/>
  <c r="GO66" i="1"/>
  <c r="HJ67" i="1"/>
  <c r="GO67" i="1"/>
  <c r="AR67" i="1"/>
  <c r="AQ67" i="1"/>
  <c r="AP67" i="1"/>
  <c r="AO67" i="1"/>
  <c r="AN67" i="1"/>
  <c r="JD103" i="1"/>
  <c r="HJ58" i="1"/>
  <c r="GV58" i="1"/>
  <c r="GO58" i="1"/>
  <c r="R58" i="1"/>
  <c r="Y58" i="1"/>
  <c r="U58" i="1"/>
  <c r="T58" i="1"/>
  <c r="S58" i="1"/>
  <c r="HJ69" i="1"/>
  <c r="GV69" i="1"/>
  <c r="GO69" i="1"/>
  <c r="Y69" i="1"/>
  <c r="HJ74" i="1"/>
  <c r="GX74" i="1"/>
  <c r="GV74" i="1"/>
  <c r="GO74" i="1"/>
  <c r="R74" i="1"/>
  <c r="HJ56" i="1"/>
  <c r="GX56" i="1"/>
  <c r="GV56" i="1"/>
  <c r="GO56" i="1"/>
  <c r="GH56" i="1"/>
  <c r="AU56" i="1"/>
  <c r="Y56" i="1"/>
  <c r="U56" i="1"/>
  <c r="T56" i="1"/>
  <c r="HE55" i="1"/>
  <c r="GV55" i="1"/>
  <c r="GO55" i="1"/>
  <c r="GH55" i="1"/>
  <c r="Y55" i="1"/>
  <c r="U55" i="1"/>
  <c r="T55" i="1"/>
  <c r="S55" i="1"/>
  <c r="HJ51" i="1"/>
  <c r="GX51" i="1"/>
  <c r="GR51" i="1"/>
  <c r="GR112" i="1" s="1"/>
  <c r="GM51" i="1"/>
  <c r="GO51" i="1" s="1"/>
  <c r="EO51" i="1"/>
  <c r="AM51" i="1"/>
  <c r="Y51" i="1"/>
  <c r="S51" i="1"/>
  <c r="R51" i="1"/>
  <c r="U51" i="1"/>
  <c r="HE54" i="1"/>
  <c r="GX54" i="1"/>
  <c r="HB54" i="1" s="1"/>
  <c r="GW54" i="1"/>
  <c r="GH54" i="1" s="1"/>
  <c r="GV54" i="1"/>
  <c r="GO54" i="1"/>
  <c r="Y54" i="1"/>
  <c r="S54" i="1"/>
  <c r="HJ60" i="1"/>
  <c r="GX60" i="1"/>
  <c r="GW60" i="1"/>
  <c r="GH60" i="1" s="1"/>
  <c r="HU60" i="1" s="1"/>
  <c r="GV60" i="1"/>
  <c r="GO60" i="1"/>
  <c r="EO60" i="1"/>
  <c r="EM60" i="1"/>
  <c r="Y60" i="1"/>
  <c r="U60" i="1"/>
  <c r="T60" i="1"/>
  <c r="S60" i="1"/>
  <c r="HE52" i="1"/>
  <c r="HA52" i="1"/>
  <c r="GV52" i="1"/>
  <c r="GO52" i="1"/>
  <c r="Y52" i="1"/>
  <c r="U52" i="1"/>
  <c r="T52" i="1"/>
  <c r="S52" i="1"/>
  <c r="HE57" i="1"/>
  <c r="GX57" i="1"/>
  <c r="HB57" i="1" s="1"/>
  <c r="GV57" i="1"/>
  <c r="GO57" i="1"/>
  <c r="AO57" i="1"/>
  <c r="Y57" i="1"/>
  <c r="U57" i="1"/>
  <c r="T57" i="1"/>
  <c r="S57" i="1"/>
  <c r="HD45" i="1"/>
  <c r="HJ45" i="1" s="1"/>
  <c r="GX45" i="1"/>
  <c r="GV45" i="1"/>
  <c r="GO45" i="1"/>
  <c r="EO45" i="1"/>
  <c r="CG45" i="1"/>
  <c r="AU45" i="1"/>
  <c r="AF45" i="1"/>
  <c r="AD45" i="1" s="1"/>
  <c r="Y45" i="1"/>
  <c r="U45" i="1"/>
  <c r="T45" i="1"/>
  <c r="HJ46" i="1"/>
  <c r="GX46" i="1"/>
  <c r="GV46" i="1"/>
  <c r="GV22" i="1"/>
  <c r="GV12" i="1"/>
  <c r="GV32" i="1"/>
  <c r="GV35" i="1"/>
  <c r="GV40" i="1"/>
  <c r="GV36" i="1"/>
  <c r="GV11" i="1"/>
  <c r="GV34" i="1"/>
  <c r="GV38" i="1"/>
  <c r="GV30" i="1"/>
  <c r="GV28" i="1"/>
  <c r="GV17" i="1"/>
  <c r="GV19" i="1"/>
  <c r="GV20" i="1"/>
  <c r="GV31" i="1"/>
  <c r="GV48" i="1"/>
  <c r="GV47" i="1"/>
  <c r="GV37" i="1"/>
  <c r="GV41" i="1"/>
  <c r="GV23" i="1"/>
  <c r="GV14" i="1"/>
  <c r="GV39" i="1"/>
  <c r="GV18" i="1"/>
  <c r="GV15" i="1"/>
  <c r="GV16" i="1"/>
  <c r="GV13" i="1"/>
  <c r="GV21" i="1"/>
  <c r="GV25" i="1"/>
  <c r="GV50" i="1"/>
  <c r="GV24" i="1"/>
  <c r="GV44" i="1"/>
  <c r="GV42" i="1"/>
  <c r="GV29" i="1"/>
  <c r="GV26" i="1"/>
  <c r="GV27" i="1"/>
  <c r="GV33" i="1"/>
  <c r="GO46" i="1"/>
  <c r="GH46" i="1"/>
  <c r="EO46" i="1"/>
  <c r="CG46" i="1"/>
  <c r="AP46" i="1"/>
  <c r="U46" i="1"/>
  <c r="T46" i="1"/>
  <c r="S46" i="1"/>
  <c r="HJ42" i="1"/>
  <c r="GX42" i="1"/>
  <c r="GO42" i="1"/>
  <c r="GH42" i="1"/>
  <c r="EO42" i="1"/>
  <c r="CG42" i="1"/>
  <c r="AQ42" i="1"/>
  <c r="U42" i="1"/>
  <c r="T42" i="1"/>
  <c r="S42" i="1"/>
  <c r="HJ41" i="1"/>
  <c r="GX41" i="1"/>
  <c r="HB41" i="1" s="1"/>
  <c r="GO41" i="1"/>
  <c r="GH41" i="1"/>
  <c r="CG41" i="1"/>
  <c r="AU41" i="1"/>
  <c r="Y41" i="1"/>
  <c r="S41" i="1"/>
  <c r="T41" i="1"/>
  <c r="HJ47" i="1"/>
  <c r="HA47" i="1"/>
  <c r="GO47" i="1"/>
  <c r="GH47" i="1"/>
  <c r="EO47" i="1"/>
  <c r="EM47" i="1"/>
  <c r="Y47" i="1"/>
  <c r="U47" i="1"/>
  <c r="T47" i="1"/>
  <c r="S47" i="1"/>
  <c r="HJ48" i="1"/>
  <c r="GX48" i="1"/>
  <c r="HB48" i="1" s="1"/>
  <c r="GO48" i="1"/>
  <c r="GH48" i="1"/>
  <c r="EO48" i="1"/>
  <c r="FQ48" i="1"/>
  <c r="W48" i="1"/>
  <c r="Y48" i="1"/>
  <c r="S48" i="1"/>
  <c r="R48" i="1"/>
  <c r="HJ44" i="1"/>
  <c r="GX44" i="1"/>
  <c r="HB44" i="1" s="1"/>
  <c r="GO44" i="1"/>
  <c r="GH44" i="1"/>
  <c r="EO44" i="1"/>
  <c r="CG44" i="1"/>
  <c r="Y44" i="1"/>
  <c r="U44" i="1"/>
  <c r="T44" i="1"/>
  <c r="S44" i="1"/>
  <c r="HT43" i="1"/>
  <c r="HR43" i="1"/>
  <c r="HJ43" i="1"/>
  <c r="HM43" i="1" s="1"/>
  <c r="GX43" i="1"/>
  <c r="GO43" i="1"/>
  <c r="GH43" i="1"/>
  <c r="CG43" i="1"/>
  <c r="AQ43" i="1"/>
  <c r="AP43" i="1"/>
  <c r="Y43" i="1"/>
  <c r="W43" i="1"/>
  <c r="V43" i="1"/>
  <c r="U43" i="1"/>
  <c r="T43" i="1"/>
  <c r="S43" i="1"/>
  <c r="R43" i="1"/>
  <c r="HJ31" i="1"/>
  <c r="GX31" i="1"/>
  <c r="GO31" i="1"/>
  <c r="GH31" i="1"/>
  <c r="GP31" i="1" s="1"/>
  <c r="EO31" i="1"/>
  <c r="EX31" i="1"/>
  <c r="EY31" i="1" s="1"/>
  <c r="CG31" i="1"/>
  <c r="AU31" i="1"/>
  <c r="AR31" i="1"/>
  <c r="AQ31" i="1"/>
  <c r="AP31" i="1"/>
  <c r="AO31" i="1"/>
  <c r="HJ30" i="1"/>
  <c r="GX30" i="1"/>
  <c r="GO30" i="1"/>
  <c r="GH30" i="1"/>
  <c r="GP30" i="1" s="1"/>
  <c r="EO30" i="1"/>
  <c r="EX30" i="1"/>
  <c r="EY30" i="1" s="1"/>
  <c r="CG30" i="1"/>
  <c r="AU30" i="1"/>
  <c r="AR30" i="1"/>
  <c r="AQ30" i="1"/>
  <c r="AM30" i="1"/>
  <c r="V30" i="1"/>
  <c r="T30" i="1"/>
  <c r="S30" i="1"/>
  <c r="R30" i="1"/>
  <c r="HE37" i="1"/>
  <c r="GX37" i="1"/>
  <c r="HB37" i="1" s="1"/>
  <c r="GO37" i="1"/>
  <c r="EO37" i="1"/>
  <c r="EX37" i="1"/>
  <c r="EY37" i="1" s="1"/>
  <c r="CG37" i="1"/>
  <c r="AU37" i="1"/>
  <c r="Y37" i="1"/>
  <c r="U37" i="1"/>
  <c r="T37" i="1"/>
  <c r="S37" i="1"/>
  <c r="HE35" i="1"/>
  <c r="GX35" i="1"/>
  <c r="GO35" i="1"/>
  <c r="GH35" i="1"/>
  <c r="EO35" i="1"/>
  <c r="FQ35" i="1"/>
  <c r="EX35" i="1"/>
  <c r="EY35" i="1" s="1"/>
  <c r="CG35" i="1"/>
  <c r="V35" i="1"/>
  <c r="U35" i="1"/>
  <c r="T35" i="1"/>
  <c r="HJ40" i="1"/>
  <c r="GW40" i="1"/>
  <c r="GO40" i="1"/>
  <c r="EO40" i="1"/>
  <c r="EX40" i="1"/>
  <c r="EY40" i="1" s="1"/>
  <c r="U40" i="1"/>
  <c r="AF40" i="1"/>
  <c r="R40" i="1"/>
  <c r="AU40" i="1"/>
  <c r="HJ39" i="1"/>
  <c r="GX39" i="1"/>
  <c r="GO39" i="1"/>
  <c r="AU39" i="1"/>
  <c r="AM39" i="1"/>
  <c r="Y39" i="1"/>
  <c r="X39" i="1"/>
  <c r="U39" i="1"/>
  <c r="T39" i="1"/>
  <c r="S39" i="1"/>
  <c r="HJ50" i="1"/>
  <c r="GX50" i="1"/>
  <c r="GO50" i="1"/>
  <c r="EO50" i="1"/>
  <c r="EX50" i="1"/>
  <c r="EY50" i="1" s="1"/>
  <c r="CG50" i="1"/>
  <c r="AU50" i="1"/>
  <c r="HT50" i="1"/>
  <c r="Y50" i="1"/>
  <c r="U50" i="1"/>
  <c r="T50" i="1"/>
  <c r="HJ27" i="1"/>
  <c r="GX27" i="1"/>
  <c r="GO27" i="1"/>
  <c r="GH27" i="1"/>
  <c r="GP27" i="1" s="1"/>
  <c r="EX27" i="1"/>
  <c r="EY27" i="1" s="1"/>
  <c r="DM27" i="1"/>
  <c r="CG27" i="1"/>
  <c r="BM27" i="1"/>
  <c r="AU27" i="1"/>
  <c r="HJ26" i="1"/>
  <c r="GX26" i="1"/>
  <c r="GO26" i="1"/>
  <c r="GH26" i="1"/>
  <c r="GP26" i="1" s="1"/>
  <c r="EX26" i="1"/>
  <c r="EY26" i="1" s="1"/>
  <c r="DM26" i="1"/>
  <c r="CG26" i="1"/>
  <c r="BM26" i="1"/>
  <c r="AU26" i="1"/>
  <c r="HT26" i="1"/>
  <c r="T26" i="1"/>
  <c r="S26" i="1"/>
  <c r="HJ23" i="1"/>
  <c r="GX23" i="1"/>
  <c r="HB23" i="1" s="1"/>
  <c r="GO23" i="1"/>
  <c r="GH23" i="1"/>
  <c r="GP23" i="1" s="1"/>
  <c r="ER23" i="1"/>
  <c r="EX23" i="1"/>
  <c r="EY23" i="1" s="1"/>
  <c r="DM23" i="1"/>
  <c r="CG23" i="1"/>
  <c r="BM23" i="1"/>
  <c r="AU23" i="1"/>
  <c r="HR23" i="1"/>
  <c r="Y23" i="1"/>
  <c r="U23" i="1"/>
  <c r="T23" i="1"/>
  <c r="S23" i="1"/>
  <c r="HJ38" i="1"/>
  <c r="GX38" i="1"/>
  <c r="HB38" i="1" s="1"/>
  <c r="GO38" i="1"/>
  <c r="GH38" i="1"/>
  <c r="EO38" i="1"/>
  <c r="EX38" i="1"/>
  <c r="EY38" i="1" s="1"/>
  <c r="AU38" i="1"/>
  <c r="Y38" i="1"/>
  <c r="U38" i="1"/>
  <c r="T38" i="1"/>
  <c r="S38" i="1"/>
  <c r="HE36" i="1"/>
  <c r="GX36" i="1"/>
  <c r="GW36" i="1"/>
  <c r="GH36" i="1" s="1"/>
  <c r="GO36" i="1"/>
  <c r="EO36" i="1"/>
  <c r="EX36" i="1"/>
  <c r="EY36" i="1" s="1"/>
  <c r="CJ36" i="1"/>
  <c r="AU36" i="1"/>
  <c r="Y36" i="1"/>
  <c r="U36" i="1"/>
  <c r="T36" i="1"/>
  <c r="S36" i="1"/>
  <c r="HJ25" i="1"/>
  <c r="GX25" i="1"/>
  <c r="GO25" i="1"/>
  <c r="GH25" i="1"/>
  <c r="GP25" i="1" s="1"/>
  <c r="EO25" i="1"/>
  <c r="DM25" i="1"/>
  <c r="CG25" i="1"/>
  <c r="BM25" i="1"/>
  <c r="AU25" i="1"/>
  <c r="Y25" i="1"/>
  <c r="U25" i="1"/>
  <c r="T25" i="1"/>
  <c r="HJ34" i="1"/>
  <c r="GX34" i="1"/>
  <c r="GO34" i="1"/>
  <c r="GH34" i="1"/>
  <c r="GP34" i="1" s="1"/>
  <c r="EO34" i="1"/>
  <c r="EX34" i="1"/>
  <c r="EY34" i="1" s="1"/>
  <c r="DM34" i="1"/>
  <c r="CG34" i="1"/>
  <c r="BM34" i="1"/>
  <c r="AU34" i="1"/>
  <c r="HR34" i="1"/>
  <c r="Y34" i="1"/>
  <c r="U34" i="1"/>
  <c r="T34" i="1"/>
  <c r="S34" i="1"/>
  <c r="HJ28" i="1"/>
  <c r="GX28" i="1"/>
  <c r="GI28" i="1" s="1"/>
  <c r="FF28" i="1" s="1"/>
  <c r="GO28" i="1"/>
  <c r="GH28" i="1"/>
  <c r="GP28" i="1" s="1"/>
  <c r="EO28" i="1"/>
  <c r="EX28" i="1"/>
  <c r="EY28" i="1" s="1"/>
  <c r="CG28" i="1"/>
  <c r="BM28" i="1"/>
  <c r="U28" i="1"/>
  <c r="R28" i="1"/>
  <c r="Y28" i="1"/>
  <c r="HJ32" i="1"/>
  <c r="GX32" i="1"/>
  <c r="GO32" i="1"/>
  <c r="GH32" i="1"/>
  <c r="EO32" i="1"/>
  <c r="EX32" i="1"/>
  <c r="EY32" i="1" s="1"/>
  <c r="DM32" i="1"/>
  <c r="CG32" i="1"/>
  <c r="BM32" i="1"/>
  <c r="AU32" i="1"/>
  <c r="Y32" i="1"/>
  <c r="U32" i="1"/>
  <c r="T32" i="1"/>
  <c r="HJ33" i="1"/>
  <c r="GX33" i="1"/>
  <c r="GO33" i="1"/>
  <c r="GH33" i="1"/>
  <c r="GP33" i="1" s="1"/>
  <c r="EO33" i="1"/>
  <c r="EX33" i="1"/>
  <c r="EY33" i="1" s="1"/>
  <c r="DM33" i="1"/>
  <c r="CG33" i="1"/>
  <c r="BM33" i="1"/>
  <c r="AU33" i="1"/>
  <c r="Y33" i="1"/>
  <c r="U33" i="1"/>
  <c r="T33" i="1"/>
  <c r="S33" i="1"/>
  <c r="HJ22" i="1"/>
  <c r="GX22" i="1"/>
  <c r="GO22" i="1"/>
  <c r="EO22" i="1"/>
  <c r="EX22" i="1"/>
  <c r="EY22" i="1" s="1"/>
  <c r="DM22" i="1"/>
  <c r="CG22" i="1"/>
  <c r="AU22" i="1"/>
  <c r="Y22" i="1"/>
  <c r="U22" i="1"/>
  <c r="T22" i="1"/>
  <c r="S22" i="1"/>
  <c r="HJ29" i="1"/>
  <c r="GX29" i="1"/>
  <c r="GI29" i="1" s="1"/>
  <c r="FF29" i="1" s="1"/>
  <c r="GO29" i="1"/>
  <c r="GH29" i="1"/>
  <c r="GP29" i="1" s="1"/>
  <c r="EO29" i="1"/>
  <c r="EX29" i="1"/>
  <c r="EY29" i="1" s="1"/>
  <c r="CG29" i="1"/>
  <c r="BM29" i="1"/>
  <c r="AU29" i="1"/>
  <c r="HT29" i="1"/>
  <c r="Y29" i="1"/>
  <c r="U29" i="1"/>
  <c r="T29" i="1"/>
  <c r="S29" i="1"/>
  <c r="HJ13" i="1"/>
  <c r="HT13" i="1"/>
  <c r="GX13" i="1"/>
  <c r="GO13" i="1"/>
  <c r="GP13" i="1"/>
  <c r="FQ13" i="1"/>
  <c r="EX13" i="1"/>
  <c r="EY13" i="1" s="1"/>
  <c r="DM13" i="1"/>
  <c r="CG13" i="1"/>
  <c r="AU13" i="1"/>
  <c r="Y13" i="1"/>
  <c r="U13" i="1"/>
  <c r="T13" i="1"/>
  <c r="GX16" i="1"/>
  <c r="HB16" i="1" s="1"/>
  <c r="GO16" i="1"/>
  <c r="GP16" i="1"/>
  <c r="FQ16" i="1"/>
  <c r="EX16" i="1"/>
  <c r="EY16" i="1" s="1"/>
  <c r="DM16" i="1"/>
  <c r="CG16" i="1"/>
  <c r="GX15" i="1"/>
  <c r="GO15" i="1"/>
  <c r="FQ15" i="1"/>
  <c r="EX15" i="1"/>
  <c r="EY15" i="1" s="1"/>
  <c r="DM15" i="1"/>
  <c r="CG15" i="1"/>
  <c r="AU15" i="1"/>
  <c r="T15" i="1"/>
  <c r="HJ17" i="1"/>
  <c r="GX17" i="1"/>
  <c r="HB17" i="1" s="1"/>
  <c r="GO17" i="1"/>
  <c r="GP17" i="1"/>
  <c r="EX17" i="1"/>
  <c r="EY17" i="1" s="1"/>
  <c r="DM17" i="1"/>
  <c r="CG17" i="1"/>
  <c r="AU17" i="1"/>
  <c r="AR17" i="1"/>
  <c r="Y17" i="1"/>
  <c r="U17" i="1"/>
  <c r="T17" i="1"/>
  <c r="S17" i="1"/>
  <c r="HD21" i="1"/>
  <c r="HJ21" i="1" s="1"/>
  <c r="GX21" i="1"/>
  <c r="GO21" i="1"/>
  <c r="EO21" i="1"/>
  <c r="EX21" i="1"/>
  <c r="EY21" i="1" s="1"/>
  <c r="DM21" i="1"/>
  <c r="CG21" i="1"/>
  <c r="AT21" i="1"/>
  <c r="V21" i="1"/>
  <c r="Y21" i="1"/>
  <c r="U21" i="1"/>
  <c r="T21" i="1"/>
  <c r="S21" i="1"/>
  <c r="HD20" i="1"/>
  <c r="HJ20" i="1" s="1"/>
  <c r="GX20" i="1"/>
  <c r="GO20" i="1"/>
  <c r="GP20" i="1"/>
  <c r="EO20" i="1"/>
  <c r="EX20" i="1"/>
  <c r="EY20" i="1" s="1"/>
  <c r="DM20" i="1"/>
  <c r="CG20" i="1"/>
  <c r="AU20" i="1"/>
  <c r="AM20" i="1"/>
  <c r="Y20" i="1"/>
  <c r="U20" i="1"/>
  <c r="T20" i="1"/>
  <c r="S20" i="1"/>
  <c r="HJ24" i="1"/>
  <c r="GX24" i="1"/>
  <c r="GI24" i="1" s="1"/>
  <c r="FF24" i="1" s="1"/>
  <c r="GO24" i="1"/>
  <c r="GH24" i="1"/>
  <c r="GP24" i="1" s="1"/>
  <c r="FQ24" i="1"/>
  <c r="EO24" i="1"/>
  <c r="EX24" i="1"/>
  <c r="EY24" i="1" s="1"/>
  <c r="DM24" i="1"/>
  <c r="CG24" i="1"/>
  <c r="BM24" i="1"/>
  <c r="U24" i="1"/>
  <c r="Y24" i="1"/>
  <c r="HJ18" i="1"/>
  <c r="GX18" i="1"/>
  <c r="HB18" i="1" s="1"/>
  <c r="GO18" i="1"/>
  <c r="GP18" i="1"/>
  <c r="EO18" i="1"/>
  <c r="EX18" i="1"/>
  <c r="EY18" i="1" s="1"/>
  <c r="DM18" i="1"/>
  <c r="CG18" i="1"/>
  <c r="AU18" i="1"/>
  <c r="AO18" i="1"/>
  <c r="Y18" i="1"/>
  <c r="U18" i="1"/>
  <c r="T18" i="1"/>
  <c r="S18" i="1"/>
  <c r="HJ14" i="1"/>
  <c r="GX14" i="1"/>
  <c r="GO14" i="1"/>
  <c r="GP14" i="1"/>
  <c r="FQ14" i="1"/>
  <c r="EX14" i="1"/>
  <c r="EY14" i="1" s="1"/>
  <c r="DM14" i="1"/>
  <c r="CG14" i="1"/>
  <c r="AU14" i="1"/>
  <c r="Y14" i="1"/>
  <c r="U14" i="1"/>
  <c r="T14" i="1"/>
  <c r="S14" i="1"/>
  <c r="HJ11" i="1"/>
  <c r="GX11" i="1"/>
  <c r="GO11" i="1"/>
  <c r="GP11" i="1"/>
  <c r="FQ11" i="1"/>
  <c r="EX11" i="1"/>
  <c r="EY11" i="1" s="1"/>
  <c r="DM11" i="1"/>
  <c r="CG11" i="1"/>
  <c r="AU11" i="1"/>
  <c r="W11" i="1"/>
  <c r="Y11" i="1"/>
  <c r="U11" i="1"/>
  <c r="T11" i="1"/>
  <c r="S11" i="1"/>
  <c r="HD19" i="1"/>
  <c r="HJ19" i="1" s="1"/>
  <c r="GX19" i="1"/>
  <c r="GO19" i="1"/>
  <c r="GP19" i="1"/>
  <c r="FQ19" i="1"/>
  <c r="EX19" i="1"/>
  <c r="EY19" i="1" s="1"/>
  <c r="DM19" i="1"/>
  <c r="CG19" i="1"/>
  <c r="AU19" i="1"/>
  <c r="AS19" i="1"/>
  <c r="HT19" i="1"/>
  <c r="Y19" i="1"/>
  <c r="U19" i="1"/>
  <c r="T19" i="1"/>
  <c r="S19" i="1"/>
  <c r="HD12" i="1"/>
  <c r="HJ12" i="1" s="1"/>
  <c r="GX12" i="1"/>
  <c r="HB12" i="1" s="1"/>
  <c r="GO12" i="1"/>
  <c r="GP12" i="1"/>
  <c r="EX12" i="1"/>
  <c r="EY12" i="1" s="1"/>
  <c r="DM12" i="1"/>
  <c r="CG12" i="1"/>
  <c r="AU12" i="1"/>
  <c r="AM12" i="1"/>
  <c r="Y12" i="1"/>
  <c r="U12" i="1"/>
  <c r="T12" i="1"/>
  <c r="S12" i="1"/>
  <c r="HJ4" i="1"/>
  <c r="GX4" i="1"/>
  <c r="HB4" i="1" s="1"/>
  <c r="GV4" i="1"/>
  <c r="GP4" i="1"/>
  <c r="GO4" i="1"/>
  <c r="FQ4" i="1"/>
  <c r="DM4" i="1"/>
  <c r="AU4" i="1"/>
  <c r="HR4" i="1"/>
  <c r="Y4" i="1"/>
  <c r="U4" i="1"/>
  <c r="T4" i="1"/>
  <c r="HJ7" i="1"/>
  <c r="GX7" i="1"/>
  <c r="HB7" i="1" s="1"/>
  <c r="GV7" i="1"/>
  <c r="GP7" i="1"/>
  <c r="GO7" i="1"/>
  <c r="FQ7" i="1"/>
  <c r="DM7" i="1"/>
  <c r="AU7" i="1"/>
  <c r="AM7" i="1"/>
  <c r="HJ6" i="1"/>
  <c r="GX6" i="1"/>
  <c r="GV6" i="1"/>
  <c r="GP6" i="1"/>
  <c r="GO6" i="1"/>
  <c r="FQ6" i="1"/>
  <c r="DM6" i="1"/>
  <c r="AU6" i="1"/>
  <c r="T6" i="1"/>
  <c r="S6" i="1"/>
  <c r="HJ5" i="1"/>
  <c r="GX5" i="1"/>
  <c r="HB5" i="1" s="1"/>
  <c r="GV5" i="1"/>
  <c r="GP5" i="1"/>
  <c r="GO5" i="1"/>
  <c r="FQ5" i="1"/>
  <c r="DM5" i="1"/>
  <c r="Y5" i="1"/>
  <c r="U5" i="1"/>
  <c r="T5" i="1"/>
  <c r="HD9" i="1"/>
  <c r="HJ9" i="1" s="1"/>
  <c r="GX9" i="1"/>
  <c r="HB9" i="1" s="1"/>
  <c r="GV9" i="1"/>
  <c r="GP9" i="1"/>
  <c r="GO9" i="1"/>
  <c r="FQ9" i="1"/>
  <c r="DM9" i="1"/>
  <c r="AU9" i="1"/>
  <c r="AS9" i="1"/>
  <c r="HR9" i="1"/>
  <c r="Y9" i="1"/>
  <c r="U9" i="1"/>
  <c r="T9" i="1"/>
  <c r="S9" i="1"/>
  <c r="HD8" i="1"/>
  <c r="HJ8" i="1" s="1"/>
  <c r="GX8" i="1"/>
  <c r="HB8" i="1" s="1"/>
  <c r="GV8" i="1"/>
  <c r="GP8" i="1"/>
  <c r="GO8" i="1"/>
  <c r="FQ8" i="1"/>
  <c r="DM8" i="1"/>
  <c r="HD10" i="1"/>
  <c r="GX10" i="1"/>
  <c r="GV10" i="1"/>
  <c r="GP10" i="1"/>
  <c r="GO10" i="1"/>
  <c r="FQ10" i="1"/>
  <c r="DM10" i="1"/>
  <c r="U10" i="1"/>
  <c r="Y10" i="1"/>
  <c r="HD3" i="1"/>
  <c r="GX3" i="1"/>
  <c r="HB3" i="1" s="1"/>
  <c r="GV3" i="1"/>
  <c r="GP3" i="1"/>
  <c r="GO3" i="1"/>
  <c r="FQ3" i="1"/>
  <c r="DM3" i="1"/>
  <c r="AU3" i="1"/>
  <c r="Y3" i="1"/>
  <c r="U3" i="1"/>
  <c r="T3" i="1"/>
  <c r="S3" i="1"/>
  <c r="GX2" i="1"/>
  <c r="GV2" i="1"/>
  <c r="GP2" i="1"/>
  <c r="GO2" i="1"/>
  <c r="FQ2" i="1"/>
  <c r="AU2" i="1"/>
  <c r="Y2" i="1"/>
  <c r="U2" i="1"/>
  <c r="T2" i="1"/>
  <c r="S2" i="1"/>
  <c r="DM31" i="1"/>
  <c r="GP21" i="1"/>
  <c r="U6" i="1"/>
  <c r="DM30" i="1"/>
  <c r="GP15" i="1"/>
  <c r="DM38" i="1"/>
  <c r="GP22" i="1"/>
  <c r="FQ51" i="1"/>
  <c r="BU27" i="1" l="1"/>
  <c r="BV27" i="1" s="1"/>
  <c r="BU13" i="1"/>
  <c r="BV13" i="1" s="1"/>
  <c r="BU37" i="1"/>
  <c r="BV37" i="1" s="1"/>
  <c r="BU26" i="1"/>
  <c r="BV26" i="1" s="1"/>
  <c r="BU33" i="1"/>
  <c r="BV33" i="1" s="1"/>
  <c r="BU16" i="1"/>
  <c r="BV16" i="1" s="1"/>
  <c r="BU20" i="1"/>
  <c r="BV20" i="1" s="1"/>
  <c r="BU11" i="1"/>
  <c r="BV11" i="1" s="1"/>
  <c r="BU36" i="1"/>
  <c r="BV36" i="1" s="1"/>
  <c r="BU35" i="1"/>
  <c r="BV35" i="1" s="1"/>
  <c r="BU23" i="1"/>
  <c r="BV23" i="1" s="1"/>
  <c r="BU22" i="1"/>
  <c r="BV22" i="1" s="1"/>
  <c r="BU15" i="1"/>
  <c r="BV15" i="1" s="1"/>
  <c r="BU24" i="1"/>
  <c r="BV24" i="1" s="1"/>
  <c r="BU19" i="1"/>
  <c r="BV19" i="1" s="1"/>
  <c r="BU31" i="1"/>
  <c r="BV31" i="1" s="1"/>
  <c r="BU40" i="1"/>
  <c r="BV40" i="1" s="1"/>
  <c r="BU38" i="1"/>
  <c r="BV38" i="1" s="1"/>
  <c r="BU28" i="1"/>
  <c r="BV28" i="1" s="1"/>
  <c r="BU29" i="1"/>
  <c r="BV29" i="1" s="1"/>
  <c r="BU17" i="1"/>
  <c r="BV17" i="1" s="1"/>
  <c r="BU18" i="1"/>
  <c r="BV18" i="1" s="1"/>
  <c r="BU12" i="1"/>
  <c r="BV12" i="1" s="1"/>
  <c r="HG68" i="1"/>
  <c r="FF68" i="1"/>
  <c r="HG63" i="1"/>
  <c r="FF63" i="1"/>
  <c r="EN47" i="1"/>
  <c r="EN60" i="1"/>
  <c r="EN40" i="1"/>
  <c r="EN68" i="1"/>
  <c r="EN64" i="1"/>
  <c r="EN62" i="1"/>
  <c r="EN71" i="1"/>
  <c r="EN83" i="1"/>
  <c r="EN88" i="1"/>
  <c r="EN72" i="1"/>
  <c r="EN84" i="1"/>
  <c r="EN86" i="1"/>
  <c r="EN73" i="1"/>
  <c r="EN85" i="1"/>
  <c r="EN75" i="1"/>
  <c r="EN82" i="1"/>
  <c r="EN87" i="1"/>
  <c r="ER63" i="1"/>
  <c r="EU63" i="1" s="1"/>
  <c r="EW63" i="1" s="1"/>
  <c r="EY63" i="1" s="1"/>
  <c r="EN63" i="1"/>
  <c r="FQ61" i="1"/>
  <c r="EN61" i="1"/>
  <c r="ER65" i="1"/>
  <c r="EU65" i="1" s="1"/>
  <c r="EW65" i="1" s="1"/>
  <c r="EN65" i="1"/>
  <c r="ER47" i="1"/>
  <c r="EU47" i="1" s="1"/>
  <c r="HI108" i="1"/>
  <c r="AU21" i="1"/>
  <c r="AT111" i="1"/>
  <c r="AS111" i="1"/>
  <c r="AD40" i="1"/>
  <c r="AF111" i="1"/>
  <c r="CK36" i="1"/>
  <c r="CJ111" i="1"/>
  <c r="BM111" i="1"/>
  <c r="FQ40" i="1"/>
  <c r="CH111" i="1"/>
  <c r="BT34" i="1"/>
  <c r="BU34" i="1" s="1"/>
  <c r="BV34" i="1" s="1"/>
  <c r="CG111" i="1"/>
  <c r="ER60" i="1"/>
  <c r="EU60" i="1" s="1"/>
  <c r="FQ47" i="1"/>
  <c r="BQ50" i="1"/>
  <c r="BS50" i="1" s="1"/>
  <c r="BP39" i="1"/>
  <c r="BS19" i="1" s="1"/>
  <c r="BQ39" i="1"/>
  <c r="BT39" i="1" s="1"/>
  <c r="BU39" i="1" s="1"/>
  <c r="HJ36" i="1"/>
  <c r="HM36" i="1" s="1"/>
  <c r="HL36" i="1"/>
  <c r="HK36" i="1"/>
  <c r="HB21" i="1"/>
  <c r="GI21" i="1"/>
  <c r="HG21" i="1" s="1"/>
  <c r="HB27" i="1"/>
  <c r="GI27" i="1"/>
  <c r="HG27" i="1" s="1"/>
  <c r="HB35" i="1"/>
  <c r="GI35" i="1"/>
  <c r="HB20" i="1"/>
  <c r="GI20" i="1"/>
  <c r="HG20" i="1" s="1"/>
  <c r="HB25" i="1"/>
  <c r="GI25" i="1"/>
  <c r="HB26" i="1"/>
  <c r="GI26" i="1"/>
  <c r="HB33" i="1"/>
  <c r="GI33" i="1"/>
  <c r="HB22" i="1"/>
  <c r="GI22" i="1"/>
  <c r="HG22" i="1" s="1"/>
  <c r="HB34" i="1"/>
  <c r="GI34" i="1"/>
  <c r="HB32" i="1"/>
  <c r="GI32" i="1"/>
  <c r="HB36" i="1"/>
  <c r="GI36" i="1"/>
  <c r="HB30" i="1"/>
  <c r="GI30" i="1"/>
  <c r="HB31" i="1"/>
  <c r="GI31" i="1"/>
  <c r="HG31" i="1" s="1"/>
  <c r="HJ54" i="1"/>
  <c r="HM54" i="1" s="1"/>
  <c r="HL54" i="1"/>
  <c r="HK54" i="1"/>
  <c r="GI55" i="1"/>
  <c r="HG55" i="1" s="1"/>
  <c r="HL55" i="1"/>
  <c r="HK55" i="1"/>
  <c r="GI74" i="1"/>
  <c r="HB74" i="1"/>
  <c r="HG40" i="1"/>
  <c r="GI69" i="1"/>
  <c r="HB69" i="1"/>
  <c r="HK37" i="1"/>
  <c r="HL37" i="1"/>
  <c r="HA19" i="1"/>
  <c r="HB19" i="1"/>
  <c r="GI15" i="1"/>
  <c r="HG15" i="1" s="1"/>
  <c r="HB15" i="1"/>
  <c r="HG29" i="1"/>
  <c r="HB29" i="1"/>
  <c r="HG28" i="1"/>
  <c r="HB28" i="1"/>
  <c r="GI50" i="1"/>
  <c r="HB50" i="1"/>
  <c r="HB39" i="1"/>
  <c r="HK35" i="1"/>
  <c r="GI46" i="1"/>
  <c r="HB46" i="1"/>
  <c r="HB45" i="1"/>
  <c r="GI60" i="1"/>
  <c r="HB60" i="1"/>
  <c r="GI51" i="1"/>
  <c r="HB51" i="1"/>
  <c r="GI56" i="1"/>
  <c r="HG56" i="1" s="1"/>
  <c r="HB56" i="1"/>
  <c r="GU45" i="1"/>
  <c r="HK45" i="1"/>
  <c r="HL45" i="1"/>
  <c r="HA2" i="1"/>
  <c r="HB2" i="1"/>
  <c r="GI6" i="1"/>
  <c r="HG6" i="1" s="1"/>
  <c r="HB6" i="1"/>
  <c r="GI11" i="1"/>
  <c r="HG11" i="1" s="1"/>
  <c r="HB11" i="1"/>
  <c r="GI43" i="1"/>
  <c r="HB43" i="1"/>
  <c r="HK57" i="1"/>
  <c r="HL57" i="1"/>
  <c r="GI10" i="1"/>
  <c r="HG10" i="1" s="1"/>
  <c r="HB10" i="1"/>
  <c r="HA14" i="1"/>
  <c r="HB14" i="1"/>
  <c r="HG24" i="1"/>
  <c r="HB24" i="1"/>
  <c r="HA13" i="1"/>
  <c r="HB13" i="1"/>
  <c r="GI42" i="1"/>
  <c r="HB42" i="1"/>
  <c r="HL52" i="1"/>
  <c r="HK52" i="1"/>
  <c r="GI70" i="1"/>
  <c r="HB70" i="1"/>
  <c r="FQ50" i="1"/>
  <c r="FQ71" i="1"/>
  <c r="FQ102" i="1"/>
  <c r="FQ87" i="1"/>
  <c r="FQ63" i="1"/>
  <c r="FQ65" i="1"/>
  <c r="FQ72" i="1"/>
  <c r="FQ83" i="1"/>
  <c r="FQ88" i="1"/>
  <c r="FQ60" i="1"/>
  <c r="FQ73" i="1"/>
  <c r="FQ84" i="1"/>
  <c r="FQ86" i="1"/>
  <c r="FQ68" i="1"/>
  <c r="FQ64" i="1"/>
  <c r="FQ62" i="1"/>
  <c r="FQ75" i="1"/>
  <c r="FQ82" i="1"/>
  <c r="FQ85" i="1"/>
  <c r="ER51" i="1"/>
  <c r="ER48" i="1"/>
  <c r="GI54" i="1"/>
  <c r="HA31" i="1"/>
  <c r="HA17" i="1"/>
  <c r="GI17" i="1"/>
  <c r="HG17" i="1" s="1"/>
  <c r="GI37" i="1"/>
  <c r="HA8" i="1"/>
  <c r="GI8" i="1"/>
  <c r="HG8" i="1" s="1"/>
  <c r="GI67" i="1"/>
  <c r="FF67" i="1" s="1"/>
  <c r="HA34" i="1"/>
  <c r="HA41" i="1"/>
  <c r="GI41" i="1"/>
  <c r="HA26" i="1"/>
  <c r="HA33" i="1"/>
  <c r="HA32" i="1"/>
  <c r="HA27" i="1"/>
  <c r="HA35" i="1"/>
  <c r="HA45" i="1"/>
  <c r="GI45" i="1"/>
  <c r="GI58" i="1"/>
  <c r="HA7" i="1"/>
  <c r="GI7" i="1"/>
  <c r="HG7" i="1" s="1"/>
  <c r="HA57" i="1"/>
  <c r="GI57" i="1"/>
  <c r="HG57" i="1" s="1"/>
  <c r="HJ52" i="1"/>
  <c r="HM52" i="1" s="1"/>
  <c r="HA16" i="1"/>
  <c r="GI16" i="1"/>
  <c r="HG16" i="1" s="1"/>
  <c r="GI38" i="1"/>
  <c r="HA44" i="1"/>
  <c r="GI44" i="1"/>
  <c r="GI48" i="1"/>
  <c r="HA66" i="1"/>
  <c r="GI66" i="1"/>
  <c r="DM35" i="1"/>
  <c r="DM71" i="1"/>
  <c r="ER102" i="1"/>
  <c r="EU102" i="1" s="1"/>
  <c r="ER87" i="1"/>
  <c r="EU87" i="1" s="1"/>
  <c r="ER68" i="1"/>
  <c r="EU68" i="1" s="1"/>
  <c r="ER64" i="1"/>
  <c r="EU64" i="1" s="1"/>
  <c r="ER62" i="1"/>
  <c r="EU62" i="1" s="1"/>
  <c r="ER72" i="1"/>
  <c r="EU72" i="1" s="1"/>
  <c r="DM83" i="1"/>
  <c r="DM88" i="1"/>
  <c r="ER73" i="1"/>
  <c r="EU73" i="1" s="1"/>
  <c r="ER84" i="1"/>
  <c r="EU84" i="1" s="1"/>
  <c r="DM86" i="1"/>
  <c r="ER75" i="1"/>
  <c r="EU75" i="1" s="1"/>
  <c r="ER82" i="1"/>
  <c r="EU82" i="1" s="1"/>
  <c r="ER85" i="1"/>
  <c r="EU85" i="1" s="1"/>
  <c r="AF112" i="1"/>
  <c r="AF108" i="1"/>
  <c r="HT103" i="1"/>
  <c r="HR103" i="1"/>
  <c r="HM103" i="1"/>
  <c r="GL103" i="1"/>
  <c r="HT53" i="1"/>
  <c r="HR53" i="1"/>
  <c r="HM53" i="1"/>
  <c r="HR77" i="1"/>
  <c r="HT77" i="1"/>
  <c r="HM77" i="1"/>
  <c r="HT102" i="1"/>
  <c r="HR102" i="1"/>
  <c r="GL102" i="1"/>
  <c r="HM102" i="1"/>
  <c r="HR76" i="1"/>
  <c r="HT76" i="1"/>
  <c r="HM76" i="1"/>
  <c r="AP55" i="1"/>
  <c r="V55" i="1"/>
  <c r="Y26" i="1"/>
  <c r="U26" i="1"/>
  <c r="Y6" i="1"/>
  <c r="HY65" i="1"/>
  <c r="HA58" i="1"/>
  <c r="BS45" i="1"/>
  <c r="BS41" i="1"/>
  <c r="HY64" i="1"/>
  <c r="BS37" i="1"/>
  <c r="BS43" i="1"/>
  <c r="DM50" i="1"/>
  <c r="DM48" i="1"/>
  <c r="HA70" i="1"/>
  <c r="ER83" i="1"/>
  <c r="EU83" i="1" s="1"/>
  <c r="AU35" i="1"/>
  <c r="HK118" i="1"/>
  <c r="R50" i="1"/>
  <c r="HT38" i="1"/>
  <c r="BS11" i="1"/>
  <c r="V103" i="1"/>
  <c r="AM103" i="1"/>
  <c r="W103" i="1"/>
  <c r="R103" i="1"/>
  <c r="HT16" i="1"/>
  <c r="AM16" i="1"/>
  <c r="AM27" i="1"/>
  <c r="AM69" i="1"/>
  <c r="R69" i="1"/>
  <c r="W69" i="1"/>
  <c r="AM53" i="1"/>
  <c r="R53" i="1"/>
  <c r="W53" i="1"/>
  <c r="V53" i="1"/>
  <c r="AM102" i="1"/>
  <c r="V67" i="1"/>
  <c r="AM67" i="1"/>
  <c r="R67" i="1"/>
  <c r="W67" i="1"/>
  <c r="HT70" i="1"/>
  <c r="V70" i="1"/>
  <c r="AM70" i="1"/>
  <c r="R70" i="1"/>
  <c r="W70" i="1"/>
  <c r="W59" i="1"/>
  <c r="R59" i="1"/>
  <c r="V59" i="1"/>
  <c r="AM76" i="1"/>
  <c r="R76" i="1"/>
  <c r="AM77" i="1"/>
  <c r="R77" i="1"/>
  <c r="HT74" i="1"/>
  <c r="V74" i="1"/>
  <c r="W74" i="1"/>
  <c r="AM66" i="1"/>
  <c r="R66" i="1"/>
  <c r="V66" i="1"/>
  <c r="W66" i="1"/>
  <c r="HY74" i="1"/>
  <c r="DM62" i="1"/>
  <c r="HY63" i="1"/>
  <c r="T24" i="1"/>
  <c r="S24" i="1"/>
  <c r="AU24" i="1"/>
  <c r="HA36" i="1"/>
  <c r="S40" i="1"/>
  <c r="ER86" i="1"/>
  <c r="EU86" i="1" s="1"/>
  <c r="Y35" i="1"/>
  <c r="DM75" i="1"/>
  <c r="HU63" i="1"/>
  <c r="HI112" i="1"/>
  <c r="S28" i="1"/>
  <c r="HU74" i="1"/>
  <c r="HK121" i="1"/>
  <c r="T28" i="1"/>
  <c r="T40" i="1"/>
  <c r="HB65" i="1"/>
  <c r="S10" i="1"/>
  <c r="AU28" i="1"/>
  <c r="HK115" i="1"/>
  <c r="HA54" i="1"/>
  <c r="T10" i="1"/>
  <c r="AU10" i="1"/>
  <c r="S35" i="1"/>
  <c r="GH45" i="1"/>
  <c r="DM63" i="1"/>
  <c r="HY59" i="1"/>
  <c r="HU64" i="1"/>
  <c r="BS33" i="1"/>
  <c r="DM40" i="1"/>
  <c r="HU65" i="1"/>
  <c r="DM102" i="1"/>
  <c r="BS36" i="1"/>
  <c r="R32" i="1"/>
  <c r="BS44" i="1"/>
  <c r="GJ59" i="1"/>
  <c r="DM68" i="1"/>
  <c r="HA67" i="1"/>
  <c r="HY61" i="1"/>
  <c r="W42" i="1"/>
  <c r="AQ55" i="1"/>
  <c r="AP47" i="1"/>
  <c r="V46" i="1"/>
  <c r="R57" i="1"/>
  <c r="DM65" i="1"/>
  <c r="GN112" i="1"/>
  <c r="AQ52" i="1"/>
  <c r="V24" i="1"/>
  <c r="BS12" i="1"/>
  <c r="HY58" i="1"/>
  <c r="BS34" i="1"/>
  <c r="GM108" i="1"/>
  <c r="R4" i="1"/>
  <c r="GS112" i="1"/>
  <c r="GV112" i="1" s="1"/>
  <c r="R18" i="1"/>
  <c r="HR55" i="1"/>
  <c r="HM47" i="1"/>
  <c r="AN57" i="1"/>
  <c r="AP18" i="1"/>
  <c r="DM60" i="1"/>
  <c r="HA38" i="1"/>
  <c r="R47" i="1"/>
  <c r="HR57" i="1"/>
  <c r="HU62" i="1"/>
  <c r="AP57" i="1"/>
  <c r="HR47" i="1"/>
  <c r="HT46" i="1"/>
  <c r="HR19" i="1"/>
  <c r="AQ46" i="1"/>
  <c r="W46" i="1"/>
  <c r="HR44" i="1"/>
  <c r="AQ57" i="1"/>
  <c r="V18" i="1"/>
  <c r="GM112" i="1"/>
  <c r="HR38" i="1"/>
  <c r="V32" i="1"/>
  <c r="W24" i="1"/>
  <c r="R29" i="1"/>
  <c r="HM26" i="1"/>
  <c r="HM44" i="1"/>
  <c r="HT57" i="1"/>
  <c r="HR59" i="1"/>
  <c r="R46" i="1"/>
  <c r="GR108" i="1"/>
  <c r="AM26" i="1"/>
  <c r="HR20" i="1"/>
  <c r="V20" i="1"/>
  <c r="AP19" i="1"/>
  <c r="AM35" i="1"/>
  <c r="AO55" i="1"/>
  <c r="AM44" i="1"/>
  <c r="HM20" i="1"/>
  <c r="DM85" i="1"/>
  <c r="HT59" i="1"/>
  <c r="HJ57" i="1"/>
  <c r="HM57" i="1" s="1"/>
  <c r="V47" i="1"/>
  <c r="HR46" i="1"/>
  <c r="W47" i="1"/>
  <c r="HT44" i="1"/>
  <c r="W35" i="1"/>
  <c r="R44" i="1"/>
  <c r="HA74" i="1"/>
  <c r="HT47" i="1"/>
  <c r="AM57" i="1"/>
  <c r="HU69" i="1"/>
  <c r="HM38" i="1"/>
  <c r="HU68" i="1"/>
  <c r="HR18" i="1"/>
  <c r="S32" i="1"/>
  <c r="W37" i="1"/>
  <c r="AM37" i="1"/>
  <c r="W29" i="1"/>
  <c r="AM18" i="1"/>
  <c r="BS31" i="1"/>
  <c r="GI19" i="1"/>
  <c r="HG19" i="1" s="1"/>
  <c r="W20" i="1"/>
  <c r="HR32" i="1"/>
  <c r="AM24" i="1"/>
  <c r="W34" i="1"/>
  <c r="AR18" i="1"/>
  <c r="W14" i="1"/>
  <c r="R38" i="1"/>
  <c r="HR24" i="1"/>
  <c r="AO46" i="1"/>
  <c r="AM47" i="1"/>
  <c r="AM46" i="1"/>
  <c r="AQ47" i="1"/>
  <c r="V37" i="1"/>
  <c r="HY60" i="1"/>
  <c r="W57" i="1"/>
  <c r="AO47" i="1"/>
  <c r="R26" i="1"/>
  <c r="AN14" i="1"/>
  <c r="AM19" i="1"/>
  <c r="HT20" i="1"/>
  <c r="W32" i="1"/>
  <c r="AN18" i="1"/>
  <c r="AO44" i="1"/>
  <c r="HR29" i="1"/>
  <c r="HA6" i="1"/>
  <c r="V57" i="1"/>
  <c r="AM38" i="1"/>
  <c r="GI2" i="1"/>
  <c r="R37" i="1"/>
  <c r="HT32" i="1"/>
  <c r="AQ24" i="1"/>
  <c r="HT9" i="1"/>
  <c r="HA28" i="1"/>
  <c r="HM9" i="1"/>
  <c r="V19" i="1"/>
  <c r="AO19" i="1"/>
  <c r="HM32" i="1"/>
  <c r="HM45" i="1"/>
  <c r="HM66" i="1"/>
  <c r="HM42" i="1"/>
  <c r="V42" i="1"/>
  <c r="AR42" i="1"/>
  <c r="AQ12" i="1"/>
  <c r="R42" i="1"/>
  <c r="R36" i="1"/>
  <c r="AM17" i="1"/>
  <c r="HT42" i="1"/>
  <c r="V45" i="1"/>
  <c r="HR42" i="1"/>
  <c r="V50" i="1"/>
  <c r="AP42" i="1"/>
  <c r="AM42" i="1"/>
  <c r="HT54" i="1"/>
  <c r="HM59" i="1"/>
  <c r="HM70" i="1"/>
  <c r="HY68" i="1"/>
  <c r="HY62" i="1"/>
  <c r="HY69" i="1"/>
  <c r="GW51" i="1"/>
  <c r="HA51" i="1" s="1"/>
  <c r="HR41" i="1"/>
  <c r="S50" i="1"/>
  <c r="AR36" i="1"/>
  <c r="HR13" i="1"/>
  <c r="AQ36" i="1"/>
  <c r="HA30" i="1"/>
  <c r="AM10" i="1"/>
  <c r="AL112" i="1"/>
  <c r="DM64" i="1"/>
  <c r="AP36" i="1"/>
  <c r="HT28" i="1"/>
  <c r="AN12" i="1"/>
  <c r="HT41" i="1"/>
  <c r="HA48" i="1"/>
  <c r="AR50" i="1"/>
  <c r="HT36" i="1"/>
  <c r="HU66" i="1"/>
  <c r="BS22" i="1"/>
  <c r="HM18" i="1"/>
  <c r="W41" i="1"/>
  <c r="HU58" i="1"/>
  <c r="HY66" i="1"/>
  <c r="HR17" i="1"/>
  <c r="HM16" i="1"/>
  <c r="HT23" i="1"/>
  <c r="AR56" i="1"/>
  <c r="AO56" i="1"/>
  <c r="AQ56" i="1"/>
  <c r="HT56" i="1"/>
  <c r="V56" i="1"/>
  <c r="W56" i="1"/>
  <c r="AN56" i="1"/>
  <c r="HR69" i="1"/>
  <c r="AP56" i="1"/>
  <c r="AM56" i="1"/>
  <c r="HT51" i="1"/>
  <c r="GI18" i="1"/>
  <c r="HG18" i="1" s="1"/>
  <c r="HA18" i="1"/>
  <c r="S25" i="1"/>
  <c r="R25" i="1"/>
  <c r="HT39" i="1"/>
  <c r="AN39" i="1"/>
  <c r="AP39" i="1"/>
  <c r="HR37" i="1"/>
  <c r="AM31" i="1"/>
  <c r="V51" i="1"/>
  <c r="T51" i="1"/>
  <c r="S56" i="1"/>
  <c r="R56" i="1"/>
  <c r="GN108" i="1"/>
  <c r="HR66" i="1"/>
  <c r="HT66" i="1"/>
  <c r="HR70" i="1"/>
  <c r="W6" i="1"/>
  <c r="HT22" i="1"/>
  <c r="AM22" i="1"/>
  <c r="HT25" i="1"/>
  <c r="HA60" i="1"/>
  <c r="U54" i="1"/>
  <c r="T54" i="1"/>
  <c r="HR51" i="1"/>
  <c r="W51" i="1"/>
  <c r="AN51" i="1"/>
  <c r="AP51" i="1"/>
  <c r="AP22" i="1"/>
  <c r="AO70" i="1"/>
  <c r="HJ35" i="1"/>
  <c r="HM35" i="1" s="1"/>
  <c r="V23" i="1"/>
  <c r="HR56" i="1"/>
  <c r="V39" i="1"/>
  <c r="HT69" i="1"/>
  <c r="AO51" i="1"/>
  <c r="W19" i="1"/>
  <c r="R19" i="1"/>
  <c r="W18" i="1"/>
  <c r="AM11" i="1"/>
  <c r="HA15" i="1"/>
  <c r="R20" i="1"/>
  <c r="R35" i="1"/>
  <c r="HT55" i="1"/>
  <c r="HM56" i="1"/>
  <c r="HM69" i="1"/>
  <c r="HM74" i="1"/>
  <c r="HM67" i="1"/>
  <c r="AM41" i="1"/>
  <c r="GW37" i="1"/>
  <c r="GH37" i="1" s="1"/>
  <c r="W28" i="1"/>
  <c r="HM41" i="1"/>
  <c r="Y40" i="1"/>
  <c r="HR50" i="1"/>
  <c r="AN36" i="1"/>
  <c r="DM41" i="1"/>
  <c r="AP24" i="1"/>
  <c r="V29" i="1"/>
  <c r="R41" i="1"/>
  <c r="AP50" i="1"/>
  <c r="W38" i="1"/>
  <c r="W36" i="1"/>
  <c r="AR12" i="1"/>
  <c r="AM33" i="1"/>
  <c r="R14" i="1"/>
  <c r="V12" i="1"/>
  <c r="HT34" i="1"/>
  <c r="AM32" i="1"/>
  <c r="AR24" i="1"/>
  <c r="AO12" i="1"/>
  <c r="HM50" i="1"/>
  <c r="GI13" i="1"/>
  <c r="HG13" i="1" s="1"/>
  <c r="HR10" i="1"/>
  <c r="R3" i="1"/>
  <c r="R60" i="1"/>
  <c r="AP60" i="1"/>
  <c r="AO54" i="1"/>
  <c r="GS108" i="1"/>
  <c r="W58" i="1"/>
  <c r="V58" i="1"/>
  <c r="W54" i="1"/>
  <c r="V54" i="1"/>
  <c r="HR3" i="1"/>
  <c r="HM58" i="1"/>
  <c r="HR6" i="1"/>
  <c r="AM6" i="1"/>
  <c r="V4" i="1"/>
  <c r="HA12" i="1"/>
  <c r="HA11" i="1"/>
  <c r="HA20" i="1"/>
  <c r="AM21" i="1"/>
  <c r="R21" i="1"/>
  <c r="AN22" i="1"/>
  <c r="W22" i="1"/>
  <c r="V22" i="1"/>
  <c r="HR22" i="1"/>
  <c r="AQ22" i="1"/>
  <c r="HA22" i="1"/>
  <c r="AM25" i="1"/>
  <c r="HA25" i="1"/>
  <c r="AM23" i="1"/>
  <c r="W23" i="1"/>
  <c r="R23" i="1"/>
  <c r="GI23" i="1"/>
  <c r="HA23" i="1"/>
  <c r="GW50" i="1"/>
  <c r="GH50" i="1" s="1"/>
  <c r="AQ39" i="1"/>
  <c r="AO39" i="1"/>
  <c r="AR39" i="1"/>
  <c r="W39" i="1"/>
  <c r="R39" i="1"/>
  <c r="HR35" i="1"/>
  <c r="HL35" i="1"/>
  <c r="HR30" i="1"/>
  <c r="HT30" i="1"/>
  <c r="HM30" i="1"/>
  <c r="HR31" i="1"/>
  <c r="HM31" i="1"/>
  <c r="HT31" i="1"/>
  <c r="V48" i="1"/>
  <c r="U48" i="1"/>
  <c r="AM48" i="1"/>
  <c r="U41" i="1"/>
  <c r="V41" i="1"/>
  <c r="HU55" i="1"/>
  <c r="HY55" i="1"/>
  <c r="HR74" i="1"/>
  <c r="HR67" i="1"/>
  <c r="HT67" i="1"/>
  <c r="GX108" i="1"/>
  <c r="HR58" i="1"/>
  <c r="W60" i="1"/>
  <c r="HR21" i="1"/>
  <c r="AO22" i="1"/>
  <c r="V3" i="1"/>
  <c r="HT58" i="1"/>
  <c r="HJ3" i="1"/>
  <c r="HM3" i="1" s="1"/>
  <c r="W9" i="1"/>
  <c r="R9" i="1"/>
  <c r="AM74" i="1"/>
  <c r="R22" i="1"/>
  <c r="AM54" i="1"/>
  <c r="HM23" i="1"/>
  <c r="AM5" i="1"/>
  <c r="W12" i="1"/>
  <c r="HM24" i="1"/>
  <c r="AQ14" i="1"/>
  <c r="AP12" i="1"/>
  <c r="AM29" i="1"/>
  <c r="HM39" i="1"/>
  <c r="V2" i="1"/>
  <c r="W2" i="1"/>
  <c r="HK2" i="1"/>
  <c r="R2" i="1"/>
  <c r="HT2" i="1"/>
  <c r="HA69" i="1"/>
  <c r="GP47" i="1"/>
  <c r="HU67" i="1"/>
  <c r="HA29" i="1"/>
  <c r="HM34" i="1"/>
  <c r="HY67" i="1"/>
  <c r="HY57" i="1"/>
  <c r="HU47" i="1"/>
  <c r="GJ47" i="1"/>
  <c r="GU2" i="1"/>
  <c r="DM47" i="1"/>
  <c r="AQ19" i="1"/>
  <c r="AR19" i="1"/>
  <c r="R11" i="1"/>
  <c r="V11" i="1"/>
  <c r="HR11" i="1"/>
  <c r="HT11" i="1"/>
  <c r="HM11" i="1"/>
  <c r="AQ18" i="1"/>
  <c r="HT18" i="1"/>
  <c r="HR28" i="1"/>
  <c r="HR36" i="1"/>
  <c r="AO36" i="1"/>
  <c r="ER61" i="1"/>
  <c r="EU61" i="1" s="1"/>
  <c r="DM61" i="1"/>
  <c r="ER71" i="1"/>
  <c r="EU71" i="1" s="1"/>
  <c r="HJ10" i="1"/>
  <c r="HM10" i="1" s="1"/>
  <c r="HR12" i="1"/>
  <c r="HT12" i="1"/>
  <c r="R12" i="1"/>
  <c r="HM12" i="1"/>
  <c r="HJ55" i="1"/>
  <c r="HM55" i="1" s="1"/>
  <c r="HE112" i="1"/>
  <c r="HU56" i="1"/>
  <c r="HY56" i="1"/>
  <c r="W44" i="1"/>
  <c r="DM72" i="1"/>
  <c r="HA3" i="1"/>
  <c r="AR14" i="1"/>
  <c r="AO14" i="1"/>
  <c r="AP14" i="1"/>
  <c r="V14" i="1"/>
  <c r="HR14" i="1"/>
  <c r="HT14" i="1"/>
  <c r="AM14" i="1"/>
  <c r="R24" i="1"/>
  <c r="HT24" i="1"/>
  <c r="HA24" i="1"/>
  <c r="HA21" i="1"/>
  <c r="HT17" i="1"/>
  <c r="W17" i="1"/>
  <c r="V17" i="1"/>
  <c r="AP17" i="1"/>
  <c r="HR16" i="1"/>
  <c r="AM13" i="1"/>
  <c r="W13" i="1"/>
  <c r="V13" i="1"/>
  <c r="V33" i="1"/>
  <c r="HR33" i="1"/>
  <c r="R33" i="1"/>
  <c r="AM28" i="1"/>
  <c r="V28" i="1"/>
  <c r="AQ17" i="1"/>
  <c r="HM28" i="1"/>
  <c r="AM50" i="1"/>
  <c r="AM9" i="1"/>
  <c r="V34" i="1"/>
  <c r="S45" i="1"/>
  <c r="AR38" i="1"/>
  <c r="W50" i="1"/>
  <c r="HR26" i="1"/>
  <c r="AQ38" i="1"/>
  <c r="V9" i="1"/>
  <c r="AM34" i="1"/>
  <c r="HR39" i="1"/>
  <c r="AQ50" i="1"/>
  <c r="GI12" i="1"/>
  <c r="HG12" i="1" s="1"/>
  <c r="V38" i="1"/>
  <c r="HM14" i="1"/>
  <c r="HM22" i="1"/>
  <c r="DM73" i="1"/>
  <c r="HM4" i="1"/>
  <c r="HM29" i="1"/>
  <c r="HM46" i="1"/>
  <c r="GI3" i="1"/>
  <c r="HG3" i="1" s="1"/>
  <c r="CG112" i="1"/>
  <c r="HR8" i="1"/>
  <c r="DM51" i="1"/>
  <c r="V6" i="1"/>
  <c r="HM6" i="1"/>
  <c r="HA42" i="1"/>
  <c r="AM4" i="1"/>
  <c r="W4" i="1"/>
  <c r="HT4" i="1"/>
  <c r="AM8" i="1"/>
  <c r="HT52" i="1"/>
  <c r="HT3" i="1"/>
  <c r="AM3" i="1"/>
  <c r="W3" i="1"/>
  <c r="W55" i="1"/>
  <c r="AR55" i="1"/>
  <c r="R55" i="1"/>
  <c r="HA55" i="1"/>
  <c r="HA56" i="1"/>
  <c r="S4" i="1"/>
  <c r="HM7" i="1"/>
  <c r="HT6" i="1"/>
  <c r="HT8" i="1"/>
  <c r="HT7" i="1"/>
  <c r="HR7" i="1"/>
  <c r="HM25" i="1"/>
  <c r="W25" i="1"/>
  <c r="V25" i="1"/>
  <c r="HR25" i="1"/>
  <c r="HT60" i="1"/>
  <c r="HR60" i="1"/>
  <c r="AQ60" i="1"/>
  <c r="AM60" i="1"/>
  <c r="HM60" i="1"/>
  <c r="AN60" i="1"/>
  <c r="V60" i="1"/>
  <c r="AO60" i="1"/>
  <c r="R54" i="1"/>
  <c r="AQ54" i="1"/>
  <c r="AP54" i="1"/>
  <c r="HR54" i="1"/>
  <c r="HA4" i="1"/>
  <c r="GI4" i="1"/>
  <c r="HG4" i="1" s="1"/>
  <c r="HA46" i="1"/>
  <c r="GI14" i="1"/>
  <c r="HG14" i="1" s="1"/>
  <c r="AM2" i="1"/>
  <c r="V36" i="1"/>
  <c r="T48" i="1"/>
  <c r="HJ37" i="1"/>
  <c r="HM37" i="1" s="1"/>
  <c r="HT37" i="1"/>
  <c r="R6" i="1"/>
  <c r="R34" i="1"/>
  <c r="V26" i="1"/>
  <c r="W26" i="1"/>
  <c r="S13" i="1"/>
  <c r="R13" i="1"/>
  <c r="HA39" i="1"/>
  <c r="GH40" i="1"/>
  <c r="HA40" i="1"/>
  <c r="AR48" i="1"/>
  <c r="AQ48" i="1"/>
  <c r="HR48" i="1"/>
  <c r="HT48" i="1"/>
  <c r="HM48" i="1"/>
  <c r="AN52" i="1"/>
  <c r="R52" i="1"/>
  <c r="AO52" i="1"/>
  <c r="AP52" i="1"/>
  <c r="V52" i="1"/>
  <c r="HR52" i="1"/>
  <c r="W52" i="1"/>
  <c r="AM52" i="1"/>
  <c r="GI9" i="1"/>
  <c r="HG9" i="1" s="1"/>
  <c r="HA9" i="1"/>
  <c r="GX112" i="1"/>
  <c r="S5" i="1"/>
  <c r="R5" i="1"/>
  <c r="HR5" i="1"/>
  <c r="AQ5" i="1"/>
  <c r="HT5" i="1"/>
  <c r="W5" i="1"/>
  <c r="V5" i="1"/>
  <c r="AP5" i="1"/>
  <c r="S15" i="1"/>
  <c r="HR15" i="1"/>
  <c r="HM15" i="1"/>
  <c r="HT15" i="1"/>
  <c r="AM15" i="1"/>
  <c r="BS38" i="1"/>
  <c r="GP32" i="1"/>
  <c r="HM2" i="1"/>
  <c r="HR2" i="1"/>
  <c r="HM8" i="1"/>
  <c r="AR22" i="1"/>
  <c r="HM33" i="1"/>
  <c r="W33" i="1"/>
  <c r="HT33" i="1"/>
  <c r="AM36" i="1"/>
  <c r="V44" i="1"/>
  <c r="HA10" i="1"/>
  <c r="HM17" i="1"/>
  <c r="R17" i="1"/>
  <c r="HT27" i="1"/>
  <c r="HM27" i="1"/>
  <c r="HY54" i="1"/>
  <c r="HU54" i="1"/>
  <c r="GV51" i="1"/>
  <c r="DM87" i="1"/>
  <c r="HM5" i="1"/>
  <c r="HU61" i="1"/>
  <c r="DM84" i="1"/>
  <c r="R10" i="1"/>
  <c r="HT10" i="1"/>
  <c r="HR27" i="1"/>
  <c r="HT35" i="1"/>
  <c r="HA5" i="1"/>
  <c r="GI5" i="1"/>
  <c r="HG5" i="1" s="1"/>
  <c r="HT21" i="1"/>
  <c r="W21" i="1"/>
  <c r="HE108" i="1"/>
  <c r="V10" i="1"/>
  <c r="W10" i="1"/>
  <c r="HM21" i="1"/>
  <c r="HM19" i="1"/>
  <c r="DM42" i="1"/>
  <c r="BS42" i="1"/>
  <c r="HM51" i="1"/>
  <c r="HM13" i="1"/>
  <c r="BS32" i="1"/>
  <c r="ER88" i="1"/>
  <c r="EU88" i="1" s="1"/>
  <c r="DM82" i="1"/>
  <c r="HG37" i="1" l="1"/>
  <c r="FF37" i="1"/>
  <c r="HG54" i="1"/>
  <c r="FF54" i="1"/>
  <c r="HG66" i="1"/>
  <c r="FF66" i="1"/>
  <c r="HG46" i="1"/>
  <c r="FF46" i="1"/>
  <c r="HG50" i="1"/>
  <c r="FF50" i="1"/>
  <c r="HG69" i="1"/>
  <c r="FF69" i="1"/>
  <c r="HG30" i="1"/>
  <c r="FF30" i="1"/>
  <c r="HG32" i="1"/>
  <c r="FF32" i="1"/>
  <c r="HG26" i="1"/>
  <c r="HG44" i="1"/>
  <c r="FF44" i="1"/>
  <c r="HG51" i="1"/>
  <c r="FF51" i="1"/>
  <c r="HG74" i="1"/>
  <c r="FF74" i="1"/>
  <c r="GJ38" i="1"/>
  <c r="FF38" i="1"/>
  <c r="HG58" i="1"/>
  <c r="FF58" i="1"/>
  <c r="HG41" i="1"/>
  <c r="FF41" i="1"/>
  <c r="HG60" i="1"/>
  <c r="FF60" i="1"/>
  <c r="HG23" i="1"/>
  <c r="FF23" i="1"/>
  <c r="HG48" i="1"/>
  <c r="FF48" i="1"/>
  <c r="HG45" i="1"/>
  <c r="FF45" i="1"/>
  <c r="HG70" i="1"/>
  <c r="FF70" i="1"/>
  <c r="HG42" i="1"/>
  <c r="FF42" i="1"/>
  <c r="HG43" i="1"/>
  <c r="FF43" i="1"/>
  <c r="HU36" i="1"/>
  <c r="FF36" i="1"/>
  <c r="HG34" i="1"/>
  <c r="FF34" i="1"/>
  <c r="HG33" i="1"/>
  <c r="FF33" i="1"/>
  <c r="HG25" i="1"/>
  <c r="FF25" i="1"/>
  <c r="HG35" i="1"/>
  <c r="FF35" i="1"/>
  <c r="BV39" i="1"/>
  <c r="AU111" i="1"/>
  <c r="EN111" i="1"/>
  <c r="EW60" i="1"/>
  <c r="EY60" i="1" s="1"/>
  <c r="EY65" i="1"/>
  <c r="EW47" i="1"/>
  <c r="HM40" i="1"/>
  <c r="HK40" i="1"/>
  <c r="EW87" i="1"/>
  <c r="EY87" i="1" s="1"/>
  <c r="EW71" i="1"/>
  <c r="EY71" i="1" s="1"/>
  <c r="AM40" i="1"/>
  <c r="V40" i="1"/>
  <c r="EW86" i="1"/>
  <c r="EY86" i="1" s="1"/>
  <c r="EW83" i="1"/>
  <c r="EY83" i="1" s="1"/>
  <c r="EW85" i="1"/>
  <c r="EY85" i="1" s="1"/>
  <c r="EW75" i="1"/>
  <c r="EY75" i="1" s="1"/>
  <c r="EW84" i="1"/>
  <c r="EY84" i="1" s="1"/>
  <c r="EW62" i="1"/>
  <c r="EY62" i="1" s="1"/>
  <c r="EW68" i="1"/>
  <c r="EY68" i="1" s="1"/>
  <c r="HL40" i="1"/>
  <c r="W40" i="1"/>
  <c r="EW102" i="1"/>
  <c r="EY102" i="1" s="1"/>
  <c r="GU40" i="1"/>
  <c r="HB40" i="1"/>
  <c r="EW88" i="1"/>
  <c r="EY88" i="1" s="1"/>
  <c r="EW61" i="1"/>
  <c r="EY61" i="1" s="1"/>
  <c r="HQ40" i="1"/>
  <c r="HQ108" i="1" s="1"/>
  <c r="EW82" i="1"/>
  <c r="EW73" i="1"/>
  <c r="EY73" i="1" s="1"/>
  <c r="EW72" i="1"/>
  <c r="EY72" i="1" s="1"/>
  <c r="EW64" i="1"/>
  <c r="EY64" i="1" s="1"/>
  <c r="BT60" i="1"/>
  <c r="BU60" i="1" s="1"/>
  <c r="BV60" i="1" s="1"/>
  <c r="AD111" i="1"/>
  <c r="AR111" i="1"/>
  <c r="AN111" i="1"/>
  <c r="AP111" i="1"/>
  <c r="BT47" i="1"/>
  <c r="BU47" i="1" s="1"/>
  <c r="BV47" i="1" s="1"/>
  <c r="BQ111" i="1"/>
  <c r="AO111" i="1"/>
  <c r="AQ111" i="1"/>
  <c r="BT50" i="1"/>
  <c r="BU50" i="1" s="1"/>
  <c r="BV50" i="1" s="1"/>
  <c r="BS71" i="1"/>
  <c r="BT71" i="1"/>
  <c r="BU71" i="1" s="1"/>
  <c r="BV71" i="1" s="1"/>
  <c r="BS88" i="1"/>
  <c r="BT88" i="1"/>
  <c r="BU88" i="1" s="1"/>
  <c r="BV88" i="1" s="1"/>
  <c r="BS82" i="1"/>
  <c r="BT82" i="1"/>
  <c r="BU82" i="1" s="1"/>
  <c r="BV82" i="1" s="1"/>
  <c r="BS65" i="1"/>
  <c r="BT65" i="1"/>
  <c r="BU65" i="1" s="1"/>
  <c r="BV65" i="1" s="1"/>
  <c r="BS73" i="1"/>
  <c r="BT73" i="1"/>
  <c r="BU73" i="1" s="1"/>
  <c r="BV73" i="1" s="1"/>
  <c r="BS62" i="1"/>
  <c r="BT62" i="1"/>
  <c r="BU62" i="1" s="1"/>
  <c r="BV62" i="1" s="1"/>
  <c r="BS68" i="1"/>
  <c r="BT68" i="1"/>
  <c r="BU68" i="1" s="1"/>
  <c r="BV68" i="1" s="1"/>
  <c r="BS87" i="1"/>
  <c r="BT87" i="1"/>
  <c r="BU87" i="1" s="1"/>
  <c r="BV87" i="1" s="1"/>
  <c r="HY50" i="1"/>
  <c r="BS83" i="1"/>
  <c r="BT83" i="1"/>
  <c r="BU83" i="1" s="1"/>
  <c r="BV83" i="1" s="1"/>
  <c r="BS85" i="1"/>
  <c r="BT85" i="1"/>
  <c r="BU85" i="1" s="1"/>
  <c r="BV85" i="1" s="1"/>
  <c r="BS75" i="1"/>
  <c r="BT75" i="1"/>
  <c r="BU75" i="1" s="1"/>
  <c r="BV75" i="1" s="1"/>
  <c r="BS63" i="1"/>
  <c r="BT63" i="1"/>
  <c r="BU63" i="1" s="1"/>
  <c r="BV63" i="1" s="1"/>
  <c r="BS84" i="1"/>
  <c r="BT84" i="1"/>
  <c r="BU84" i="1" s="1"/>
  <c r="BV84" i="1" s="1"/>
  <c r="BS72" i="1"/>
  <c r="BT72" i="1"/>
  <c r="BU72" i="1" s="1"/>
  <c r="BV72" i="1" s="1"/>
  <c r="BS64" i="1"/>
  <c r="BT64" i="1"/>
  <c r="BU64" i="1" s="1"/>
  <c r="BV64" i="1" s="1"/>
  <c r="BS102" i="1"/>
  <c r="BT102" i="1"/>
  <c r="BU102" i="1" s="1"/>
  <c r="BV102" i="1" s="1"/>
  <c r="BS61" i="1"/>
  <c r="BT61" i="1"/>
  <c r="BU61" i="1" s="1"/>
  <c r="BV61" i="1" s="1"/>
  <c r="GJ11" i="1"/>
  <c r="GP74" i="1"/>
  <c r="BS86" i="1"/>
  <c r="BT86" i="1"/>
  <c r="BU86" i="1" s="1"/>
  <c r="BV86" i="1" s="1"/>
  <c r="GJ15" i="1"/>
  <c r="HG36" i="1"/>
  <c r="HU15" i="1"/>
  <c r="HY15" i="1"/>
  <c r="HY6" i="1"/>
  <c r="HU10" i="1"/>
  <c r="GJ74" i="1"/>
  <c r="GP43" i="1"/>
  <c r="HU11" i="1"/>
  <c r="HY11" i="1"/>
  <c r="HU28" i="1"/>
  <c r="GK46" i="1"/>
  <c r="GJ6" i="1"/>
  <c r="GJ10" i="1"/>
  <c r="GJ24" i="1"/>
  <c r="GJ55" i="1"/>
  <c r="HU6" i="1"/>
  <c r="HY10" i="1"/>
  <c r="HU24" i="1"/>
  <c r="GK69" i="1"/>
  <c r="GL29" i="1"/>
  <c r="GK74" i="1"/>
  <c r="GK29" i="1"/>
  <c r="GK40" i="1"/>
  <c r="GL15" i="1"/>
  <c r="GK51" i="1"/>
  <c r="GK43" i="1"/>
  <c r="HY24" i="1"/>
  <c r="GK50" i="1"/>
  <c r="GL10" i="1"/>
  <c r="GL50" i="1"/>
  <c r="GK60" i="1"/>
  <c r="GL11" i="1"/>
  <c r="GK56" i="1"/>
  <c r="GL60" i="1"/>
  <c r="GL56" i="1"/>
  <c r="GK15" i="1"/>
  <c r="GP51" i="1"/>
  <c r="GL51" i="1"/>
  <c r="GH51" i="1"/>
  <c r="GJ51" i="1" s="1"/>
  <c r="HY51" i="1"/>
  <c r="HU51" i="1"/>
  <c r="GK55" i="1"/>
  <c r="GP66" i="1"/>
  <c r="GK70" i="1"/>
  <c r="GK10" i="1"/>
  <c r="GK24" i="1"/>
  <c r="GK6" i="1"/>
  <c r="GK42" i="1"/>
  <c r="GK28" i="1"/>
  <c r="HY70" i="1"/>
  <c r="GL24" i="1"/>
  <c r="GL42" i="1"/>
  <c r="GL28" i="1"/>
  <c r="GP38" i="1"/>
  <c r="HG38" i="1"/>
  <c r="GJ67" i="1"/>
  <c r="HG67" i="1"/>
  <c r="GL46" i="1"/>
  <c r="GL55" i="1"/>
  <c r="GL6" i="1"/>
  <c r="GL40" i="1"/>
  <c r="GL70" i="1"/>
  <c r="GL43" i="1"/>
  <c r="GL74" i="1"/>
  <c r="GL69" i="1"/>
  <c r="GK11" i="1"/>
  <c r="HY38" i="1"/>
  <c r="GL12" i="1"/>
  <c r="GK12" i="1"/>
  <c r="GK23" i="1"/>
  <c r="GL23" i="1"/>
  <c r="HU20" i="1"/>
  <c r="GK20" i="1"/>
  <c r="GL20" i="1"/>
  <c r="GL19" i="1"/>
  <c r="GK19" i="1"/>
  <c r="HU38" i="1"/>
  <c r="GL38" i="1"/>
  <c r="GK38" i="1"/>
  <c r="GL7" i="1"/>
  <c r="GK7" i="1"/>
  <c r="GL32" i="1"/>
  <c r="GK32" i="1"/>
  <c r="GL30" i="1"/>
  <c r="GK30" i="1"/>
  <c r="GP67" i="1"/>
  <c r="GL67" i="1"/>
  <c r="GK67" i="1"/>
  <c r="GL35" i="1"/>
  <c r="GK35" i="1"/>
  <c r="HU18" i="1"/>
  <c r="GL18" i="1"/>
  <c r="GK18" i="1"/>
  <c r="GP48" i="1"/>
  <c r="GL48" i="1"/>
  <c r="GK48" i="1"/>
  <c r="HY25" i="1"/>
  <c r="GL25" i="1"/>
  <c r="GK25" i="1"/>
  <c r="GK26" i="1"/>
  <c r="GL26" i="1"/>
  <c r="HY34" i="1"/>
  <c r="GK34" i="1"/>
  <c r="GL34" i="1"/>
  <c r="GL8" i="1"/>
  <c r="GK8" i="1"/>
  <c r="HY17" i="1"/>
  <c r="GL17" i="1"/>
  <c r="GK17" i="1"/>
  <c r="GL54" i="1"/>
  <c r="GK54" i="1"/>
  <c r="GL9" i="1"/>
  <c r="GK9" i="1"/>
  <c r="GL21" i="1"/>
  <c r="GK21" i="1"/>
  <c r="GK22" i="1"/>
  <c r="GL22" i="1"/>
  <c r="GJ44" i="1"/>
  <c r="GL44" i="1"/>
  <c r="GK44" i="1"/>
  <c r="HU16" i="1"/>
  <c r="GL16" i="1"/>
  <c r="GK16" i="1"/>
  <c r="GK57" i="1"/>
  <c r="GL57" i="1"/>
  <c r="GP58" i="1"/>
  <c r="GL58" i="1"/>
  <c r="GK58" i="1"/>
  <c r="GL27" i="1"/>
  <c r="GK27" i="1"/>
  <c r="GJ33" i="1"/>
  <c r="GL33" i="1"/>
  <c r="GK33" i="1"/>
  <c r="GL36" i="1"/>
  <c r="GK36" i="1"/>
  <c r="GK14" i="1"/>
  <c r="GL14" i="1"/>
  <c r="GL3" i="1"/>
  <c r="GK3" i="1"/>
  <c r="GL5" i="1"/>
  <c r="GK5" i="1"/>
  <c r="GL4" i="1"/>
  <c r="GK4" i="1"/>
  <c r="GL13" i="1"/>
  <c r="GK13" i="1"/>
  <c r="GL66" i="1"/>
  <c r="GK66" i="1"/>
  <c r="GL45" i="1"/>
  <c r="GK45" i="1"/>
  <c r="HY41" i="1"/>
  <c r="GK41" i="1"/>
  <c r="GL41" i="1"/>
  <c r="HU37" i="1"/>
  <c r="GL37" i="1"/>
  <c r="GK37" i="1"/>
  <c r="GL31" i="1"/>
  <c r="GK31" i="1"/>
  <c r="Y15" i="1"/>
  <c r="U15" i="1"/>
  <c r="GJ28" i="1"/>
  <c r="HY28" i="1"/>
  <c r="HM108" i="1"/>
  <c r="HJ108" i="1"/>
  <c r="GJ58" i="1"/>
  <c r="GJ70" i="1"/>
  <c r="GP70" i="1"/>
  <c r="HY48" i="1"/>
  <c r="GJ48" i="1"/>
  <c r="HU48" i="1"/>
  <c r="HU30" i="1"/>
  <c r="HY30" i="1"/>
  <c r="GJ30" i="1"/>
  <c r="CK39" i="1"/>
  <c r="HT45" i="1"/>
  <c r="HT108" i="1" s="1"/>
  <c r="HR45" i="1"/>
  <c r="HR108" i="1" s="1"/>
  <c r="R45" i="1"/>
  <c r="AM45" i="1"/>
  <c r="BS39" i="1"/>
  <c r="U30" i="1"/>
  <c r="Y30" i="1"/>
  <c r="BS40" i="1"/>
  <c r="AD114" i="1"/>
  <c r="W45" i="1"/>
  <c r="HM112" i="1"/>
  <c r="HU43" i="1"/>
  <c r="HY43" i="1"/>
  <c r="BS60" i="1"/>
  <c r="BS47" i="1"/>
  <c r="HG2" i="1"/>
  <c r="BS46" i="1"/>
  <c r="GJ23" i="1"/>
  <c r="GJ40" i="1"/>
  <c r="HY40" i="1"/>
  <c r="GP40" i="1"/>
  <c r="HY37" i="1"/>
  <c r="GP37" i="1"/>
  <c r="GP55" i="1"/>
  <c r="GJ37" i="1"/>
  <c r="GW108" i="1"/>
  <c r="GJ32" i="1"/>
  <c r="HU2" i="1"/>
  <c r="GV108" i="1"/>
  <c r="GJ7" i="1"/>
  <c r="GJ50" i="1"/>
  <c r="HY20" i="1"/>
  <c r="GJ20" i="1"/>
  <c r="HU23" i="1"/>
  <c r="HY23" i="1"/>
  <c r="GJ17" i="1"/>
  <c r="GW112" i="1"/>
  <c r="GK2" i="1"/>
  <c r="GJ66" i="1"/>
  <c r="GP60" i="1"/>
  <c r="GJ60" i="1"/>
  <c r="HA37" i="1"/>
  <c r="HY36" i="1"/>
  <c r="HU33" i="1"/>
  <c r="HJ112" i="1"/>
  <c r="GP57" i="1"/>
  <c r="GJ57" i="1"/>
  <c r="GJ34" i="1"/>
  <c r="GP36" i="1"/>
  <c r="GJ19" i="1"/>
  <c r="HY16" i="1"/>
  <c r="HY19" i="1"/>
  <c r="HU17" i="1"/>
  <c r="GL2" i="1"/>
  <c r="HY2" i="1"/>
  <c r="GJ2" i="1"/>
  <c r="GJ16" i="1"/>
  <c r="HU27" i="1"/>
  <c r="HY27" i="1"/>
  <c r="HU13" i="1"/>
  <c r="GJ27" i="1"/>
  <c r="GO112" i="1"/>
  <c r="GJ18" i="1"/>
  <c r="HY33" i="1"/>
  <c r="HU26" i="1"/>
  <c r="HU32" i="1"/>
  <c r="HY32" i="1"/>
  <c r="HU19" i="1"/>
  <c r="HA50" i="1"/>
  <c r="HY18" i="1"/>
  <c r="HU34" i="1"/>
  <c r="GP44" i="1"/>
  <c r="HU35" i="1"/>
  <c r="HY7" i="1"/>
  <c r="HU41" i="1"/>
  <c r="HU8" i="1"/>
  <c r="GJ25" i="1"/>
  <c r="HY13" i="1"/>
  <c r="GJ13" i="1"/>
  <c r="GJ26" i="1"/>
  <c r="HY26" i="1"/>
  <c r="HY22" i="1"/>
  <c r="HU22" i="1"/>
  <c r="GJ22" i="1"/>
  <c r="HY35" i="1"/>
  <c r="GP35" i="1"/>
  <c r="GJ35" i="1"/>
  <c r="GP50" i="1"/>
  <c r="HU50" i="1"/>
  <c r="HU25" i="1"/>
  <c r="HY8" i="1"/>
  <c r="HU29" i="1"/>
  <c r="GJ29" i="1"/>
  <c r="HY29" i="1"/>
  <c r="GJ69" i="1"/>
  <c r="GP69" i="1"/>
  <c r="HY44" i="1"/>
  <c r="HU44" i="1"/>
  <c r="GP41" i="1"/>
  <c r="HU7" i="1"/>
  <c r="GJ41" i="1"/>
  <c r="GJ12" i="1"/>
  <c r="HU12" i="1"/>
  <c r="HY12" i="1"/>
  <c r="GJ54" i="1"/>
  <c r="GP54" i="1"/>
  <c r="GJ36" i="1"/>
  <c r="GJ8" i="1"/>
  <c r="GJ21" i="1"/>
  <c r="HY21" i="1"/>
  <c r="HU21" i="1"/>
  <c r="GJ31" i="1"/>
  <c r="HY31" i="1"/>
  <c r="HU31" i="1"/>
  <c r="GJ3" i="1"/>
  <c r="HY3" i="1"/>
  <c r="HU3" i="1"/>
  <c r="HY4" i="1"/>
  <c r="HU4" i="1"/>
  <c r="GJ4" i="1"/>
  <c r="HY14" i="1"/>
  <c r="HU14" i="1"/>
  <c r="GJ14" i="1"/>
  <c r="GP56" i="1"/>
  <c r="GJ56" i="1"/>
  <c r="HU42" i="1"/>
  <c r="GJ42" i="1"/>
  <c r="HY42" i="1"/>
  <c r="GP42" i="1"/>
  <c r="HU46" i="1"/>
  <c r="HY46" i="1"/>
  <c r="GJ46" i="1"/>
  <c r="GP46" i="1"/>
  <c r="HY45" i="1"/>
  <c r="HU45" i="1"/>
  <c r="GP45" i="1"/>
  <c r="HU9" i="1"/>
  <c r="HY9" i="1"/>
  <c r="GJ9" i="1"/>
  <c r="HY5" i="1"/>
  <c r="GJ5" i="1"/>
  <c r="HU5" i="1"/>
  <c r="AM111" i="1" l="1"/>
  <c r="BV111" i="1"/>
  <c r="BU111" i="1"/>
  <c r="EY82" i="1"/>
  <c r="EY47" i="1"/>
  <c r="EW111" i="1"/>
  <c r="HQ112" i="1"/>
  <c r="HR112" i="1" s="1"/>
  <c r="HU40" i="1"/>
  <c r="BT111" i="1"/>
  <c r="CK111" i="1"/>
  <c r="W30" i="1"/>
  <c r="V15" i="1"/>
  <c r="R15" i="1"/>
  <c r="W15" i="1"/>
  <c r="X115" i="1" s="1"/>
  <c r="AM112" i="1"/>
  <c r="G115" i="1"/>
  <c r="HB112" i="1"/>
  <c r="T113" i="1"/>
  <c r="AF113" i="1"/>
  <c r="AE113" i="1"/>
  <c r="HL112" i="1"/>
  <c r="GU112" i="1"/>
  <c r="BS52" i="1"/>
  <c r="BS111" i="1" s="1"/>
  <c r="HA108" i="1"/>
  <c r="HA112" i="1"/>
  <c r="EY111" i="1" l="1"/>
  <c r="HT112" i="1"/>
  <c r="HX52" i="1"/>
  <c r="GI52" i="1" l="1"/>
  <c r="FF52" i="1" s="1"/>
  <c r="GH52" i="1"/>
  <c r="HU52" i="1" l="1"/>
  <c r="GL52" i="1"/>
  <c r="GP52" i="1"/>
  <c r="GJ52" i="1"/>
  <c r="HY52" i="1"/>
  <c r="GK52" i="1"/>
  <c r="HG52" i="1"/>
  <c r="HX39" i="1" l="1"/>
  <c r="GI39" i="1" l="1"/>
  <c r="HX108" i="1"/>
  <c r="GH39" i="1"/>
  <c r="HX112" i="1"/>
  <c r="FF39" i="1" l="1"/>
  <c r="FF26" i="1"/>
  <c r="GH112" i="1"/>
  <c r="GH108" i="1"/>
  <c r="HU39" i="1"/>
  <c r="HU108" i="1" s="1"/>
  <c r="GI112" i="1"/>
  <c r="GK39" i="1"/>
  <c r="GL39" i="1"/>
  <c r="GP39" i="1"/>
  <c r="GI108" i="1"/>
  <c r="GJ39" i="1"/>
  <c r="HY39" i="1"/>
  <c r="HG39" i="1"/>
  <c r="HG108" i="1" s="1"/>
  <c r="HY108" i="1" l="1"/>
  <c r="HY112" i="1"/>
  <c r="GI116" i="1"/>
  <c r="GI115" i="1"/>
  <c r="GK112" i="1"/>
  <c r="GL112" i="1"/>
  <c r="GJ108" i="1"/>
  <c r="GJ112" i="1"/>
  <c r="GR113" i="1"/>
  <c r="GI117" i="1" l="1"/>
  <c r="C206" i="1"/>
  <c r="C207" i="1"/>
  <c r="B205" i="1"/>
  <c r="B210" i="1"/>
  <c r="C210" i="1"/>
  <c r="C203" i="1"/>
  <c r="B209" i="1"/>
  <c r="B204" i="1"/>
  <c r="C204" i="1"/>
  <c r="C208" i="1"/>
  <c r="B202" i="1"/>
  <c r="B207" i="1"/>
  <c r="C205" i="1"/>
  <c r="C209" i="1"/>
  <c r="C202" i="1"/>
  <c r="B206" i="1"/>
  <c r="B203" i="1"/>
  <c r="B208" i="1"/>
  <c r="HL108" i="1"/>
  <c r="HH112" i="1"/>
  <c r="C128" i="1"/>
  <c r="H132" i="1"/>
  <c r="E135" i="1"/>
  <c r="H127" i="1"/>
  <c r="F133" i="1"/>
  <c r="D137" i="1"/>
  <c r="F131" i="1"/>
  <c r="H133" i="1"/>
  <c r="E137" i="1"/>
  <c r="I131" i="1"/>
  <c r="F134" i="1"/>
  <c r="I136" i="1"/>
  <c r="I130" i="1"/>
  <c r="J135" i="1"/>
  <c r="D131" i="1"/>
  <c r="E133" i="1"/>
  <c r="C137" i="1"/>
  <c r="E131" i="1"/>
  <c r="D134" i="1"/>
  <c r="I137" i="1"/>
  <c r="I128" i="1"/>
  <c r="E134" i="1"/>
  <c r="F127" i="1"/>
  <c r="F132" i="1"/>
  <c r="D135" i="1"/>
  <c r="D136" i="1"/>
  <c r="E130" i="1"/>
  <c r="H136" i="1"/>
  <c r="D130" i="1"/>
  <c r="F136" i="1"/>
  <c r="J133" i="1"/>
  <c r="G133" i="1"/>
  <c r="J130" i="1"/>
  <c r="H131" i="1"/>
  <c r="C134" i="1"/>
  <c r="H137" i="1"/>
  <c r="D132" i="1"/>
  <c r="I134" i="1"/>
  <c r="E127" i="1"/>
  <c r="E132" i="1"/>
  <c r="C135" i="1"/>
  <c r="C131" i="1"/>
  <c r="D133" i="1"/>
  <c r="I135" i="1"/>
  <c r="G136" i="1"/>
  <c r="J127" i="1"/>
  <c r="C136" i="1"/>
  <c r="C132" i="1"/>
  <c r="H134" i="1"/>
  <c r="D127" i="1"/>
  <c r="I132" i="1"/>
  <c r="F135" i="1"/>
  <c r="E128" i="1"/>
  <c r="C133" i="1"/>
  <c r="H135" i="1"/>
  <c r="G131" i="1"/>
  <c r="I133" i="1"/>
  <c r="F137" i="1"/>
  <c r="G132" i="1"/>
  <c r="J131" i="1"/>
  <c r="G135" i="1"/>
  <c r="J132" i="1"/>
  <c r="G130" i="1"/>
  <c r="E136" i="1"/>
  <c r="F130" i="1"/>
  <c r="C127" i="1"/>
  <c r="H130" i="1"/>
  <c r="C130" i="1"/>
  <c r="I127" i="1"/>
  <c r="J128" i="1"/>
  <c r="J137" i="1"/>
  <c r="J134" i="1"/>
  <c r="J136" i="1"/>
  <c r="G137" i="1"/>
  <c r="G134" i="1"/>
  <c r="G127" i="1"/>
  <c r="E216" i="1"/>
  <c r="C219" i="1"/>
  <c r="D216" i="1"/>
  <c r="F218" i="1"/>
  <c r="O140" i="1"/>
  <c r="E219" i="1"/>
  <c r="F217" i="1"/>
  <c r="HD127" i="1"/>
  <c r="C217" i="1"/>
  <c r="O143" i="1"/>
  <c r="F216" i="1"/>
  <c r="D219" i="1"/>
  <c r="E217" i="1"/>
  <c r="C215" i="1"/>
  <c r="D218" i="1"/>
  <c r="D215" i="1"/>
  <c r="O141" i="1"/>
  <c r="B215" i="1"/>
  <c r="D217" i="1"/>
  <c r="O139" i="1"/>
  <c r="C218" i="1"/>
  <c r="B216" i="1"/>
  <c r="B219" i="1"/>
  <c r="C216" i="1"/>
  <c r="E218" i="1"/>
  <c r="F215" i="1"/>
  <c r="B218" i="1"/>
  <c r="E215" i="1"/>
  <c r="O142" i="1"/>
  <c r="B217" i="1"/>
  <c r="F219" i="1"/>
  <c r="O138" i="1"/>
  <c r="HD108" i="1"/>
  <c r="HD126" i="1"/>
  <c r="HD112" i="1"/>
  <c r="HD113" i="1" s="1"/>
  <c r="P120" i="1"/>
  <c r="P121" i="1"/>
  <c r="P119" i="1"/>
  <c r="P129" i="1"/>
  <c r="P122" i="1"/>
  <c r="P131" i="1"/>
  <c r="P126" i="1"/>
  <c r="P127" i="1"/>
  <c r="P125" i="1"/>
  <c r="J138" i="1"/>
  <c r="G159" i="1"/>
  <c r="H114" i="1"/>
  <c r="F138" i="1"/>
  <c r="D138" i="1"/>
  <c r="E138" i="1"/>
  <c r="C161" i="1"/>
  <c r="C138" i="1"/>
  <c r="H129" i="1"/>
  <c r="B214" i="1"/>
  <c r="F214" i="1"/>
  <c r="F220" i="1" s="1"/>
  <c r="D129" i="1"/>
  <c r="F129" i="1"/>
  <c r="E214" i="1"/>
  <c r="C214" i="1"/>
  <c r="C220" i="1" s="1"/>
  <c r="M156" i="1"/>
  <c r="C156" i="1"/>
  <c r="E156" i="1"/>
  <c r="E157" i="1"/>
  <c r="M160" i="1"/>
  <c r="M163" i="1"/>
  <c r="I158" i="1"/>
  <c r="K161" i="1"/>
  <c r="E161" i="1"/>
  <c r="G160" i="1"/>
  <c r="G163" i="1"/>
  <c r="I157" i="1"/>
  <c r="M157" i="1"/>
  <c r="E163" i="1"/>
  <c r="K160" i="1"/>
  <c r="M162" i="1"/>
  <c r="K158" i="1"/>
  <c r="I159" i="1"/>
  <c r="I160" i="1"/>
  <c r="C160" i="1"/>
  <c r="HD129" i="1"/>
  <c r="HK129" i="1" s="1"/>
  <c r="HD130" i="1"/>
  <c r="P128" i="1"/>
  <c r="P132" i="1"/>
  <c r="C163" i="1"/>
  <c r="J129" i="1"/>
  <c r="I156" i="1"/>
  <c r="G156" i="1"/>
  <c r="K156" i="1"/>
  <c r="C201" i="1"/>
  <c r="C211" i="1" s="1"/>
  <c r="HH126" i="1"/>
  <c r="HK108" i="1"/>
  <c r="C162" i="1"/>
  <c r="C158" i="1"/>
  <c r="I138" i="1"/>
  <c r="G138" i="1"/>
  <c r="C159" i="1"/>
  <c r="H138" i="1"/>
  <c r="D214" i="1"/>
  <c r="AC144" i="1" s="1"/>
  <c r="G129" i="1"/>
  <c r="C157" i="1"/>
  <c r="E129" i="1"/>
  <c r="E139" i="1"/>
  <c r="E141" i="1" s="1"/>
  <c r="I129" i="1"/>
  <c r="C129" i="1"/>
  <c r="C139" i="1" s="1"/>
  <c r="C141" i="1" s="1"/>
  <c r="B201" i="1"/>
  <c r="B211" i="1" s="1"/>
  <c r="M158" i="1"/>
  <c r="M161" i="1"/>
  <c r="I162" i="1"/>
  <c r="G161" i="1"/>
  <c r="G162" i="1"/>
  <c r="E159" i="1"/>
  <c r="K163" i="1"/>
  <c r="I161" i="1"/>
  <c r="E158" i="1"/>
  <c r="E160" i="1"/>
  <c r="G158" i="1"/>
  <c r="K159" i="1"/>
  <c r="K157" i="1"/>
  <c r="I163" i="1"/>
  <c r="G157" i="1"/>
  <c r="M159" i="1"/>
  <c r="K162" i="1"/>
  <c r="G128" i="1"/>
  <c r="E162" i="1"/>
  <c r="D128" i="1"/>
  <c r="D139" i="1" s="1"/>
  <c r="D141" i="1" s="1"/>
  <c r="HH127" i="1"/>
  <c r="HK127" i="1" s="1"/>
  <c r="F128" i="1"/>
  <c r="F139" i="1" s="1"/>
  <c r="F141" i="1" s="1"/>
  <c r="H128" i="1"/>
  <c r="B220" i="1" l="1"/>
  <c r="G164" i="1"/>
  <c r="H157" i="1" s="1"/>
  <c r="H158" i="1"/>
  <c r="AD144" i="1"/>
  <c r="H161" i="1"/>
  <c r="G139" i="1"/>
  <c r="G141" i="1" s="1"/>
  <c r="O157" i="1"/>
  <c r="P157" i="1" s="1"/>
  <c r="J139" i="1"/>
  <c r="J141" i="1" s="1"/>
  <c r="H139" i="1"/>
  <c r="H141" i="1" s="1"/>
  <c r="E164" i="1"/>
  <c r="F162" i="1" s="1"/>
  <c r="H162" i="1"/>
  <c r="I139" i="1"/>
  <c r="I141" i="1" s="1"/>
  <c r="O144" i="1"/>
  <c r="H163" i="1"/>
  <c r="H159" i="1"/>
  <c r="F159" i="1"/>
  <c r="H160" i="1"/>
  <c r="O162" i="1"/>
  <c r="HH130" i="1"/>
  <c r="HK130" i="1" s="1"/>
  <c r="K164" i="1"/>
  <c r="L156" i="1" s="1"/>
  <c r="O163" i="1"/>
  <c r="O160" i="1"/>
  <c r="P160" i="1" s="1"/>
  <c r="O156" i="1"/>
  <c r="M164" i="1"/>
  <c r="N160" i="1" s="1"/>
  <c r="I164" i="1"/>
  <c r="J158" i="1" s="1"/>
  <c r="HL126" i="1"/>
  <c r="HK112" i="1"/>
  <c r="B139" i="1"/>
  <c r="D220" i="1"/>
  <c r="O158" i="1"/>
  <c r="P158" i="1" s="1"/>
  <c r="H156" i="1"/>
  <c r="H164" i="1" s="1"/>
  <c r="O161" i="1"/>
  <c r="P161" i="1" s="1"/>
  <c r="C164" i="1"/>
  <c r="D160" i="1" s="1"/>
  <c r="E220" i="1"/>
  <c r="O159" i="1"/>
  <c r="P159" i="1" s="1"/>
  <c r="HK126" i="1"/>
  <c r="J160" i="1" l="1"/>
  <c r="F157" i="1"/>
  <c r="F158" i="1"/>
  <c r="D157" i="1"/>
  <c r="P162" i="1"/>
  <c r="F156" i="1"/>
  <c r="P163" i="1"/>
  <c r="F160" i="1"/>
  <c r="F161" i="1"/>
  <c r="F163" i="1"/>
  <c r="J163" i="1"/>
  <c r="L163" i="1"/>
  <c r="N158" i="1"/>
  <c r="L161" i="1"/>
  <c r="L162" i="1"/>
  <c r="D156" i="1"/>
  <c r="J159" i="1"/>
  <c r="N161" i="1"/>
  <c r="D161" i="1"/>
  <c r="J156" i="1"/>
  <c r="N157" i="1"/>
  <c r="J157" i="1"/>
  <c r="J161" i="1"/>
  <c r="N163" i="1"/>
  <c r="D162" i="1"/>
  <c r="D158" i="1"/>
  <c r="L158" i="1"/>
  <c r="N162" i="1"/>
  <c r="L159" i="1"/>
  <c r="N156" i="1"/>
  <c r="N164" i="1" s="1"/>
  <c r="O164" i="1"/>
  <c r="P156" i="1"/>
  <c r="D159" i="1"/>
  <c r="L160" i="1"/>
  <c r="J162" i="1"/>
  <c r="D163" i="1"/>
  <c r="N159" i="1"/>
  <c r="L157" i="1"/>
  <c r="F164" i="1" l="1"/>
  <c r="L164" i="1"/>
  <c r="J164" i="1"/>
  <c r="D164" i="1"/>
</calcChain>
</file>

<file path=xl/comments1.xml><?xml version="1.0" encoding="utf-8"?>
<comments xmlns="http://schemas.openxmlformats.org/spreadsheetml/2006/main">
  <authors>
    <author>Nathalie BLANDINO</author>
  </authors>
  <commentList>
    <comment ref="GH1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2 368 881</t>
        </r>
      </text>
    </comment>
    <comment ref="HC1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X2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AS3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IX3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Z3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V3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28/08/17</t>
        </r>
      </text>
    </comment>
    <comment ref="IT4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01/09/17</t>
        </r>
      </text>
    </comment>
    <comment ref="IT4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07/09/17</t>
        </r>
      </text>
    </comment>
    <comment ref="IS4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terrassements</t>
        </r>
      </text>
    </comment>
    <comment ref="IT4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09/10/17</t>
        </r>
      </text>
    </comment>
    <comment ref="ED4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IX4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GN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assiette défisc</t>
        </r>
      </text>
    </comment>
    <comment ref="IY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partie</t>
        </r>
      </text>
    </comment>
    <comment ref="AL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DW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IQ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CU5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16/12/16</t>
        </r>
      </text>
    </comment>
  </commentList>
</comments>
</file>

<file path=xl/sharedStrings.xml><?xml version="1.0" encoding="utf-8"?>
<sst xmlns="http://schemas.openxmlformats.org/spreadsheetml/2006/main" count="2110" uniqueCount="877">
  <si>
    <t>OPERATION</t>
  </si>
  <si>
    <t>COMMUNE</t>
  </si>
  <si>
    <t>CODE</t>
  </si>
  <si>
    <t>N</t>
  </si>
  <si>
    <t>Structure</t>
  </si>
  <si>
    <t>Arrangeur</t>
  </si>
  <si>
    <t>Convention CAF</t>
  </si>
  <si>
    <t>Arrêté LBU</t>
  </si>
  <si>
    <t>Date Dépôt DRFIP</t>
  </si>
  <si>
    <t>CAO</t>
  </si>
  <si>
    <t>RO</t>
  </si>
  <si>
    <t>OFOI</t>
  </si>
  <si>
    <t>INGEPAR</t>
  </si>
  <si>
    <t>Notaire Terrain</t>
  </si>
  <si>
    <t>Signature Acte</t>
  </si>
  <si>
    <t>LLS</t>
  </si>
  <si>
    <t>LLTS</t>
  </si>
  <si>
    <t>ECART PRP</t>
  </si>
  <si>
    <t>ECART DEFISC</t>
  </si>
  <si>
    <t>BE PRIORISE</t>
  </si>
  <si>
    <t>ECART BE</t>
  </si>
  <si>
    <t>% BE / PRP</t>
  </si>
  <si>
    <t>FONCIER</t>
  </si>
  <si>
    <t>CONSTRUCTION</t>
  </si>
  <si>
    <t>ECART PRÊT</t>
  </si>
  <si>
    <t>ECART LBU y/c CAF</t>
  </si>
  <si>
    <t>ECART LBU/lgt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</si>
  <si>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</si>
  <si>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</si>
  <si>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</si>
  <si>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</si>
  <si>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</si>
  <si>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</si>
  <si>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</si>
  <si>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</si>
  <si>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Tampon</t>
  </si>
  <si>
    <t>PRLC 0139</t>
  </si>
  <si>
    <t>FMA</t>
  </si>
  <si>
    <t>PIVET-VELIN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</si>
  <si>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</si>
  <si>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</si>
  <si>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</si>
  <si>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</si>
  <si>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</si>
  <si>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</si>
  <si>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</si>
  <si>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</si>
  <si>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</si>
  <si>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St Paul</t>
  </si>
  <si>
    <t>PRLC 0140</t>
  </si>
  <si>
    <t>PRLC 0113</t>
  </si>
  <si>
    <t>PRLC 0121</t>
  </si>
  <si>
    <t>Josepha Fontaine</t>
  </si>
  <si>
    <t>PRLC 0122</t>
  </si>
  <si>
    <t>PRLC 0109</t>
  </si>
  <si>
    <t>YFR</t>
  </si>
  <si>
    <t>N opér°</t>
  </si>
  <si>
    <t>N lgt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</si>
  <si>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</si>
  <si>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</si>
  <si>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</si>
  <si>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</si>
  <si>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</si>
  <si>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</si>
  <si>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</si>
  <si>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</si>
  <si>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</si>
  <si>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</si>
  <si>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</si>
  <si>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</si>
  <si>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SF</t>
  </si>
  <si>
    <t>PRP /m² SF</t>
  </si>
  <si>
    <t>Prog</t>
  </si>
  <si>
    <t xml:space="preserve">Avenue Raymond Barre </t>
  </si>
  <si>
    <t>Desiré 2</t>
  </si>
  <si>
    <t xml:space="preserve">Sceau de Salomon </t>
  </si>
  <si>
    <t>Bouton d'Or (Tampon 15e km)</t>
  </si>
  <si>
    <t>Le Cap (BH 228)</t>
  </si>
  <si>
    <t xml:space="preserve">Laurency 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</si>
  <si>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</si>
  <si>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</si>
  <si>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</si>
  <si>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</si>
  <si>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</si>
  <si>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</si>
  <si>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</si>
  <si>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</si>
  <si>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</si>
  <si>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</si>
  <si>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</si>
  <si>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</si>
  <si>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</si>
  <si>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</si>
  <si>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</si>
  <si>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 xml:space="preserve">PRP TTC </t>
  </si>
  <si>
    <t>BE</t>
  </si>
  <si>
    <t xml:space="preserve">PRÊT </t>
  </si>
  <si>
    <t xml:space="preserve">LBU y/c CAF </t>
  </si>
  <si>
    <t xml:space="preserve">LBU / lgt
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</si>
  <si>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</si>
  <si>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</si>
  <si>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</si>
  <si>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</si>
  <si>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</si>
  <si>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</si>
  <si>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</si>
  <si>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</si>
  <si>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</si>
  <si>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</si>
  <si>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BASSIN</t>
  </si>
  <si>
    <t>CA SUD</t>
  </si>
  <si>
    <t>TCO</t>
  </si>
  <si>
    <t>CIVIS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</si>
  <si>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</si>
  <si>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</si>
  <si>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</si>
  <si>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</si>
  <si>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</si>
  <si>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</si>
  <si>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</si>
  <si>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</si>
  <si>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</si>
  <si>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</si>
  <si>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</si>
  <si>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LOGIS 4</t>
  </si>
  <si>
    <t>Dubois</t>
  </si>
  <si>
    <t>ok</t>
  </si>
  <si>
    <t>Priorisation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</si>
  <si>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</si>
  <si>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</si>
  <si>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</si>
  <si>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</si>
  <si>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</si>
  <si>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</si>
  <si>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LS 74</t>
  </si>
  <si>
    <t>Notaire VEFA</t>
  </si>
  <si>
    <t>QUINOT</t>
  </si>
  <si>
    <t>LS 75</t>
  </si>
  <si>
    <t>FONDS PROPRES CONSTRUCTION</t>
  </si>
  <si>
    <t>FANFAN</t>
  </si>
  <si>
    <t>LS 76</t>
  </si>
  <si>
    <t>DUBOIS</t>
  </si>
  <si>
    <t>BARET/GILLOT</t>
  </si>
  <si>
    <t>LOGIS 5</t>
  </si>
  <si>
    <t>BBL</t>
  </si>
  <si>
    <t>LS 73</t>
  </si>
  <si>
    <t>DOMBEYA 3</t>
  </si>
  <si>
    <t>MAREL</t>
  </si>
  <si>
    <t>LS 77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</si>
  <si>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</si>
  <si>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</si>
  <si>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</si>
  <si>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</si>
  <si>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</si>
  <si>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</si>
  <si>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</si>
  <si>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PRÊT 1 %</t>
  </si>
  <si>
    <t>AUTRES SUBVENTIONS</t>
  </si>
  <si>
    <t>PRLC 0160</t>
  </si>
  <si>
    <t>PRLC 0156</t>
  </si>
  <si>
    <t>St Louis</t>
  </si>
  <si>
    <t>PRLC 0153</t>
  </si>
  <si>
    <t>PRLC 0155</t>
  </si>
  <si>
    <t>PRP GLOBAL</t>
  </si>
  <si>
    <t>% LBU / PRP</t>
  </si>
  <si>
    <t>SO</t>
  </si>
  <si>
    <t>CESSION FONCIERE</t>
  </si>
  <si>
    <t>Contrat de prêt</t>
  </si>
  <si>
    <t xml:space="preserve"> </t>
  </si>
  <si>
    <t>GPA</t>
  </si>
  <si>
    <t>Tvx</t>
  </si>
  <si>
    <t>APD</t>
  </si>
  <si>
    <t>AO</t>
  </si>
  <si>
    <t>PRO</t>
  </si>
  <si>
    <t>Transmission garanties à CDC</t>
  </si>
  <si>
    <t>CR + CASUD = 19/12/13
CG = 15/01/14
Commune = 15/01/14</t>
  </si>
  <si>
    <t>SRI</t>
  </si>
  <si>
    <t>NLE</t>
  </si>
  <si>
    <t>DBE</t>
  </si>
  <si>
    <t>BELLANGER</t>
  </si>
  <si>
    <t>Loyer max</t>
  </si>
  <si>
    <t>Loyer d'équilibre</t>
  </si>
  <si>
    <t>% AIDES PUBLIQUES</t>
  </si>
  <si>
    <t xml:space="preserve">PRP TTC  </t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</si>
  <si>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</si>
  <si>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</si>
  <si>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</si>
  <si>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</si>
  <si>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</si>
  <si>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</si>
  <si>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</si>
  <si>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</si>
  <si>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</si>
  <si>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</si>
  <si>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</si>
  <si>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</si>
  <si>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PRLC 0161</t>
  </si>
  <si>
    <t>PC</t>
  </si>
  <si>
    <t>CAF</t>
  </si>
  <si>
    <t xml:space="preserve">CR + CASUD = 19/12/13
CG = 15/01/14
CM = OK - mank attest° affichage
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</si>
  <si>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</si>
  <si>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</si>
  <si>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</si>
  <si>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</si>
  <si>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</si>
  <si>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</si>
  <si>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</si>
  <si>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</si>
  <si>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</si>
  <si>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</si>
  <si>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</si>
  <si>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</si>
  <si>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</si>
  <si>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</si>
  <si>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</si>
  <si>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</si>
  <si>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</si>
  <si>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</si>
  <si>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</si>
  <si>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</si>
  <si>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</si>
  <si>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t>LS 12</t>
  </si>
  <si>
    <t>LS 5</t>
  </si>
  <si>
    <t>LOGIS 1</t>
  </si>
  <si>
    <t>LOGIS 2</t>
  </si>
  <si>
    <t>LS 55</t>
  </si>
  <si>
    <t>LOGIS 3</t>
  </si>
  <si>
    <t>LS 20</t>
  </si>
  <si>
    <t>LS 19</t>
  </si>
  <si>
    <t>LS 44</t>
  </si>
  <si>
    <t>LS 11</t>
  </si>
  <si>
    <t>LS 56</t>
  </si>
  <si>
    <t>LS 4</t>
  </si>
  <si>
    <t>LS 97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</si>
  <si>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</si>
  <si>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LS 101</t>
  </si>
  <si>
    <t>DENSITE</t>
  </si>
  <si>
    <t>IONIQUE 4</t>
  </si>
  <si>
    <t>PRIX VEFA HT</t>
  </si>
  <si>
    <t>PRIX AMENAGE/ LGT</t>
  </si>
  <si>
    <t>PRLC 0166</t>
  </si>
  <si>
    <t>ESQ</t>
  </si>
  <si>
    <t>SNC DORIQUE</t>
  </si>
  <si>
    <t>?</t>
  </si>
  <si>
    <t>LS 79</t>
  </si>
  <si>
    <t>INTERINVEST</t>
  </si>
  <si>
    <t>Ilot 6.2</t>
  </si>
  <si>
    <t>DCE</t>
  </si>
  <si>
    <t>patrimoine</t>
  </si>
  <si>
    <t>PRLC 0129</t>
  </si>
  <si>
    <t>PRLC 0157</t>
  </si>
  <si>
    <t>PRLC 0173</t>
  </si>
  <si>
    <t>PRLC 0167</t>
  </si>
  <si>
    <t>PRLC 0174</t>
  </si>
  <si>
    <t>Dde dossier Ass</t>
  </si>
  <si>
    <t>Signature VEFA / Placement defisc</t>
  </si>
  <si>
    <t>Travaux</t>
  </si>
  <si>
    <t>OS</t>
  </si>
  <si>
    <t>22/10/2014
cr 24/11/14 - modif à faire</t>
  </si>
  <si>
    <t>Avirons</t>
  </si>
  <si>
    <t>28/10/2014
12/01/15</t>
  </si>
  <si>
    <t>UB4</t>
  </si>
  <si>
    <t>Lacaussade 3</t>
  </si>
  <si>
    <t xml:space="preserve">PRIX BRUT / LGT </t>
  </si>
  <si>
    <t>RPA mixte St Philippe</t>
  </si>
  <si>
    <t>Tx rétrocession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</si>
  <si>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</si>
  <si>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23/01/2015
transmis à DAF 11/03/15</t>
  </si>
  <si>
    <t>Limite validité Ct prêt</t>
  </si>
  <si>
    <t>Phase</t>
  </si>
  <si>
    <t>LOGIS 9</t>
  </si>
  <si>
    <t>PRLC 0176</t>
  </si>
  <si>
    <t>Etat</t>
  </si>
  <si>
    <t>MOUTIEN</t>
  </si>
  <si>
    <t>Paille en Queue</t>
  </si>
  <si>
    <t>Verveine des Indes (Ilôt 5.1)</t>
  </si>
  <si>
    <t>FAHAM (Ilôt 5.6)</t>
  </si>
  <si>
    <t>Z'ambaville (AX 18)</t>
  </si>
  <si>
    <t>CIVIS 25/05/15
Région 12/06/15
Commune 29/06/15
CG 30/06/15</t>
  </si>
  <si>
    <t>EGI</t>
  </si>
  <si>
    <t>LS 118</t>
  </si>
  <si>
    <t>Transmission Ct Prêt à DAF</t>
  </si>
  <si>
    <t>PRLC 0178</t>
  </si>
  <si>
    <t>PRLC 0179</t>
  </si>
  <si>
    <t>OS démarrage</t>
  </si>
  <si>
    <t>Fin GPA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</si>
  <si>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</si>
  <si>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</si>
  <si>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</si>
  <si>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</si>
  <si>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</si>
  <si>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</si>
  <si>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</si>
  <si>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</si>
  <si>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</si>
  <si>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</si>
  <si>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</si>
  <si>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</si>
  <si>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</si>
  <si>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Fleurs jaunes (Ilôt 6.1)</t>
  </si>
  <si>
    <t>Archi conseil DEAL</t>
  </si>
  <si>
    <t>CA</t>
  </si>
  <si>
    <t>Clôture DO</t>
  </si>
  <si>
    <t>DAT</t>
  </si>
  <si>
    <t>Avenant global</t>
  </si>
  <si>
    <t>PRLC 0181</t>
  </si>
  <si>
    <t>PRLC 0180</t>
  </si>
  <si>
    <t>Transmission à DAF</t>
  </si>
  <si>
    <t>Ville 18/03/15
Région 17/06/15
CG 30/06/15
CASUD 29/09/15</t>
  </si>
  <si>
    <t>17/02/2014
09/10/14</t>
  </si>
  <si>
    <t>en cours</t>
  </si>
  <si>
    <t>DGD</t>
  </si>
  <si>
    <t>Date limite d'utilisation des fonds</t>
  </si>
  <si>
    <t>à faire</t>
  </si>
  <si>
    <t>CASUD = 02/07/14
CG : OK
Région : OK
Mairie : OK</t>
  </si>
  <si>
    <t>Transmission patrimoine</t>
  </si>
  <si>
    <t>05/03/2014
07/10/14</t>
  </si>
  <si>
    <t>Jules Arlandas (Alamandas)</t>
  </si>
  <si>
    <t>FBR</t>
  </si>
  <si>
    <t>DOE</t>
  </si>
  <si>
    <t>20/03/2014 &amp; 06/11/14
13/10/15</t>
  </si>
  <si>
    <t>x</t>
  </si>
  <si>
    <t>Mairie 02/11/15</t>
  </si>
  <si>
    <t>CONTRÔLE DEAL</t>
  </si>
  <si>
    <t>PARCELLE</t>
  </si>
  <si>
    <t>BX 855</t>
  </si>
  <si>
    <t>RPA Du Parc</t>
  </si>
  <si>
    <t>07/06/2012
06/11/15</t>
  </si>
  <si>
    <t>conv° réserv° 17/09/15
G 09/11/15</t>
  </si>
  <si>
    <t>19/06/2014
18/11/15</t>
  </si>
  <si>
    <t>PRLC 0165</t>
  </si>
  <si>
    <t>RFCT</t>
  </si>
  <si>
    <t>LOGIS 8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</si>
  <si>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</si>
  <si>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</si>
  <si>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</si>
  <si>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</si>
  <si>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</si>
  <si>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</si>
  <si>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</si>
  <si>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</si>
  <si>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</si>
  <si>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</si>
  <si>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</si>
  <si>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</si>
  <si>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</si>
  <si>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>Mail 16/12/15</t>
  </si>
  <si>
    <t xml:space="preserve">Les Platanes </t>
  </si>
  <si>
    <t xml:space="preserve">env DEAL 2015 </t>
  </si>
  <si>
    <t>P1</t>
  </si>
  <si>
    <t>P2</t>
  </si>
  <si>
    <t xml:space="preserve">env DEAL 2014 </t>
  </si>
  <si>
    <t>AS 603</t>
  </si>
  <si>
    <t>BO 206-352</t>
  </si>
  <si>
    <t>AO 433</t>
  </si>
  <si>
    <t>AH 449 à 451</t>
  </si>
  <si>
    <t xml:space="preserve">Hortensias </t>
  </si>
  <si>
    <t>Amata (HE 168)</t>
  </si>
  <si>
    <t>CD 61 Rue Bertaut LLTS</t>
  </si>
  <si>
    <t>AF FONDATIONS</t>
  </si>
  <si>
    <t>16/12/15 Région
20/01/16 CG
25/01/16 Mairie
10/02/16 CASUD</t>
  </si>
  <si>
    <t>TCO 08/01/2016</t>
  </si>
  <si>
    <t>Transmission VEFA à DAF</t>
  </si>
  <si>
    <t>doc jur 30/11/15</t>
  </si>
  <si>
    <t>RDV RO DDAD</t>
  </si>
  <si>
    <t>LYCEE SCHOELCHER</t>
  </si>
  <si>
    <t>REHAB BAT M</t>
  </si>
  <si>
    <t>Pepinière d'entreprises Tranche 2</t>
  </si>
  <si>
    <t>SOBEPRE</t>
  </si>
  <si>
    <t>RHI BC</t>
  </si>
  <si>
    <t>17/11/2015
27/01/16
15/03/16</t>
  </si>
  <si>
    <t>07/12/2015
15/03/16</t>
  </si>
  <si>
    <t xml:space="preserve">PC 95 </t>
  </si>
  <si>
    <t xml:space="preserve">PC 97 </t>
  </si>
  <si>
    <t>BH 228</t>
  </si>
  <si>
    <t>CX 671 / 1141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</si>
  <si>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</si>
  <si>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</si>
  <si>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APU</t>
  </si>
  <si>
    <t>acte signé</t>
  </si>
  <si>
    <t>convention paroi clouée OK / notaire doit rédiger une constitution de servitude</t>
  </si>
  <si>
    <t>30/06/2014
08/04/16</t>
  </si>
  <si>
    <t>FVA</t>
  </si>
  <si>
    <t>ADE</t>
  </si>
  <si>
    <t>Jean MOREL (Amaryllis)</t>
  </si>
  <si>
    <t>Max GOBETTI (AUBEPINES)</t>
  </si>
  <si>
    <t>Lié ETHEVE (Poker As 2)</t>
  </si>
  <si>
    <t>Travaux / Expro</t>
  </si>
  <si>
    <t>Assistantes</t>
  </si>
  <si>
    <t xml:space="preserve">Travaux  </t>
  </si>
  <si>
    <t>Lotissement Montvert</t>
  </si>
  <si>
    <t>Etude</t>
  </si>
  <si>
    <t>attente retour conv° garantie par signée CG &amp; transmise au CG 11/05/16</t>
  </si>
  <si>
    <t>16/12/15 Région 
16/12/15 Commune
10/02/16 CIVIS
11/05/16 CG</t>
  </si>
  <si>
    <t>16/10/2014
20/05/2016</t>
  </si>
  <si>
    <t>HONORAIRES</t>
  </si>
  <si>
    <t>NH PROG</t>
  </si>
  <si>
    <t>NH APS</t>
  </si>
  <si>
    <t>NH PC</t>
  </si>
  <si>
    <t>NH APD</t>
  </si>
  <si>
    <t>NH PRO</t>
  </si>
  <si>
    <t>Résiliations marchés</t>
  </si>
  <si>
    <t>CD 61 Rue Bertaut LLS</t>
  </si>
  <si>
    <t>Plaine St Paul</t>
  </si>
  <si>
    <t>Harry PAYET (Les Mimosas)</t>
  </si>
  <si>
    <t>AD 133</t>
  </si>
  <si>
    <t xml:space="preserve">Dakota </t>
  </si>
  <si>
    <t>EK 250</t>
  </si>
  <si>
    <t>Arizona</t>
  </si>
  <si>
    <t>CX 759 p</t>
  </si>
  <si>
    <t>Californie</t>
  </si>
  <si>
    <t>EK 286</t>
  </si>
  <si>
    <t>Faisa</t>
  </si>
  <si>
    <t>PRLC 0184</t>
  </si>
  <si>
    <t>PRLC 0185</t>
  </si>
  <si>
    <t>PRLC 0187</t>
  </si>
  <si>
    <t>PRLC 0186</t>
  </si>
  <si>
    <t>24/6/16 (mail)</t>
  </si>
  <si>
    <t>RTA</t>
  </si>
  <si>
    <t>CAL</t>
  </si>
  <si>
    <t>LOGIS 10</t>
  </si>
  <si>
    <t>ET 909 / 1256</t>
  </si>
  <si>
    <t>LS 119</t>
  </si>
  <si>
    <t>30/06/2014
09/09/16</t>
  </si>
  <si>
    <t>14/09/2016
retour 28/09 pour signature</t>
  </si>
  <si>
    <t>06/10/2016
renvoyé le 04/10/16 à CDC</t>
  </si>
  <si>
    <t>à déposer</t>
  </si>
  <si>
    <t>CUMUL</t>
  </si>
  <si>
    <t>Coco Huet (Parc à Moutons)</t>
  </si>
  <si>
    <t>20/10/2016 y/c certif adressage + plans</t>
  </si>
  <si>
    <t>INDIGO LLS</t>
  </si>
  <si>
    <t>INDIGO LLTS</t>
  </si>
  <si>
    <t>DD783 / 1298</t>
  </si>
  <si>
    <t>PLS</t>
  </si>
  <si>
    <t>EN 1337 p</t>
  </si>
  <si>
    <t>BW 683 p</t>
  </si>
  <si>
    <t>La Possession</t>
  </si>
  <si>
    <t>CESARIA</t>
  </si>
  <si>
    <t>CI 192</t>
  </si>
  <si>
    <t>Bougainvillées</t>
  </si>
  <si>
    <t>Rehab</t>
  </si>
  <si>
    <t>JER</t>
  </si>
  <si>
    <t>BT 607</t>
  </si>
  <si>
    <t>100 marches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</si>
  <si>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</si>
  <si>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</si>
  <si>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</si>
  <si>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</si>
  <si>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</si>
  <si>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</si>
  <si>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</si>
  <si>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</si>
  <si>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</si>
  <si>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</si>
  <si>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</si>
  <si>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</si>
  <si>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</si>
  <si>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</si>
  <si>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</si>
  <si>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</si>
  <si>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</si>
  <si>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</si>
  <si>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</si>
  <si>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</si>
  <si>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</si>
  <si>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</si>
  <si>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Les Orchidées</t>
  </si>
  <si>
    <t>Le Choka Bleu</t>
  </si>
  <si>
    <t>La Cure 2</t>
  </si>
  <si>
    <t>EN 339, 343, 568, 570</t>
  </si>
  <si>
    <t>AP 1535</t>
  </si>
  <si>
    <t>VAF</t>
  </si>
  <si>
    <t>RAS</t>
  </si>
  <si>
    <t>env DEAL 2016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</si>
  <si>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</si>
  <si>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</si>
  <si>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</si>
  <si>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</si>
  <si>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</si>
  <si>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</si>
  <si>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</si>
  <si>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</si>
  <si>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</si>
  <si>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</si>
  <si>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</si>
  <si>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</si>
  <si>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</si>
  <si>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</si>
  <si>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</si>
  <si>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</si>
  <si>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</si>
  <si>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</si>
  <si>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</si>
  <si>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</si>
  <si>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</si>
  <si>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</si>
  <si>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</si>
  <si>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</si>
  <si>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</si>
  <si>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</si>
  <si>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lots à vendre : CA EPFR début 2017
LES : mise en demeure adressée à l'acquéreur faute de quoi classement du dossier</t>
  </si>
  <si>
    <t>abandon servitude EP - si débordement on avisera</t>
  </si>
  <si>
    <t>coordonnées des propriétaires limitrophes transmis à APU
courriers faits par BJE aux riverains pour une rencontre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</si>
  <si>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</si>
  <si>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</si>
  <si>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</si>
  <si>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</si>
  <si>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</si>
  <si>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PROBLEME</t>
  </si>
  <si>
    <t>NH VEFA</t>
  </si>
  <si>
    <t>NH OS</t>
  </si>
  <si>
    <t>avec OS</t>
  </si>
  <si>
    <t>OET</t>
  </si>
  <si>
    <t>Baux</t>
  </si>
  <si>
    <t>NH Fondations</t>
  </si>
  <si>
    <t>NH R+1</t>
  </si>
  <si>
    <t>IONIQUE 5</t>
  </si>
  <si>
    <t>PRLC 0163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</si>
  <si>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</si>
  <si>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24/02/2016
06/09/2016</t>
  </si>
  <si>
    <t>12/01/2017 mail
30/01/2017 papier</t>
  </si>
  <si>
    <t>env DEAL 2017</t>
  </si>
  <si>
    <t>LLS / LLTS</t>
  </si>
  <si>
    <t>30/08/2016
01/02/17</t>
  </si>
  <si>
    <t>PHBB</t>
  </si>
  <si>
    <t>INDIGO Tranche 1</t>
  </si>
  <si>
    <t>pas de réseau EU</t>
  </si>
  <si>
    <t>réserves à lever</t>
  </si>
  <si>
    <t>attente notification de la réception</t>
  </si>
  <si>
    <t>manque 4 entreprises</t>
  </si>
  <si>
    <t>3 réserves à lever</t>
  </si>
  <si>
    <t>notifiés le 20/06/2016</t>
  </si>
  <si>
    <t>Envoi papier : 23/12/16 (pièces complémentaires envoyées entre le 30/01 et le 09/02)</t>
  </si>
  <si>
    <t>14/09/2016
21/02/16</t>
  </si>
  <si>
    <t>23/12/2016
21/02/17</t>
  </si>
  <si>
    <t>14/12/2016
21/02/17</t>
  </si>
  <si>
    <t>dossier envoyé 22/02/17</t>
  </si>
  <si>
    <t>sans P2</t>
  </si>
  <si>
    <t>ENV 2017</t>
  </si>
  <si>
    <t>37/38 000 000 €</t>
  </si>
  <si>
    <t>13/12/2016
23/02/17</t>
  </si>
  <si>
    <t>13/12/2016
24/02/17</t>
  </si>
  <si>
    <t xml:space="preserve">OK </t>
  </si>
  <si>
    <t>sauf Peinture</t>
  </si>
  <si>
    <t>demande 05/12/16</t>
  </si>
  <si>
    <t>12/12/2016
28/02/17</t>
  </si>
  <si>
    <t>Année Inauguration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</si>
  <si>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</si>
  <si>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IMPREVUS AU DEMARRAGE</t>
  </si>
  <si>
    <t>22/12/2016
22/03/17</t>
  </si>
  <si>
    <t>NH HDE</t>
  </si>
  <si>
    <t>-</t>
  </si>
  <si>
    <t>MAIL 03/04/17</t>
  </si>
  <si>
    <t>MAIL 04/04/2017</t>
  </si>
  <si>
    <t>LIMITE AF FONDATIONS</t>
  </si>
  <si>
    <t>ACHEVEMENT VEFA</t>
  </si>
  <si>
    <t>PRLC 0193</t>
  </si>
  <si>
    <t>PRLC 0194</t>
  </si>
  <si>
    <t>PRLC 0195</t>
  </si>
  <si>
    <t>Type Habitat</t>
  </si>
  <si>
    <t>MDV</t>
  </si>
  <si>
    <t>collectif</t>
  </si>
  <si>
    <t>vente des lots à faire : signature SICA en mai 2017
voie à rétrocéder à l'issue du contentieux</t>
  </si>
  <si>
    <t>servitude PERRAU à mettre en place
rétrocession zone N à faire</t>
  </si>
  <si>
    <t>30/08/2016
01/02/17
06/04/17</t>
  </si>
  <si>
    <t>Opale (ILOT 9)</t>
  </si>
  <si>
    <t>S terrain</t>
  </si>
  <si>
    <t>PRLC 0197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</si>
  <si>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</si>
  <si>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t>PRLC 0191</t>
  </si>
  <si>
    <t>Amgt / CO</t>
  </si>
  <si>
    <t>ESQ ==&gt; APD</t>
  </si>
  <si>
    <t>Fin études/AO</t>
  </si>
  <si>
    <t>Clôture défisc</t>
  </si>
  <si>
    <t>REPARTITION TRAVAUX NEUFS &amp; REHABILITATION</t>
  </si>
  <si>
    <t>H2</t>
  </si>
  <si>
    <t>05/10/2016
28/02/17</t>
  </si>
  <si>
    <t>NH HDA</t>
  </si>
  <si>
    <t>notifiés en mai</t>
  </si>
  <si>
    <t>Bras de la Plaine</t>
  </si>
  <si>
    <t xml:space="preserve">                                                                                           </t>
  </si>
  <si>
    <t>1e partie envoyée à OFOI le 08/02/17
dernière partie envoyée à OFOI le 14/06/2017</t>
  </si>
  <si>
    <t>déposé DRFIP 16/06/17</t>
  </si>
  <si>
    <t>CG 12/01/17
Commune 18/01/17
CIVIS 18/01/17
Région 19/06/17</t>
  </si>
  <si>
    <t>ok
Région 19/06/17</t>
  </si>
  <si>
    <t>CG 12/01/17
Commune 18/01/17
CIVIS 18/01/17
Région 22/06/17</t>
  </si>
  <si>
    <t>Commune 21/12/16
CG 12/01/17
Région 19/06/17
CASUD 29/06/17</t>
  </si>
  <si>
    <t>Commune 05/05/17
Région 13/12/16
CASUD 29/06/17
CG 12/01/17</t>
  </si>
  <si>
    <t>CG 29/03/17
Région 28/06/17
CASUD 29/06/2017</t>
  </si>
  <si>
    <t>Commune 16/11/16
Région 13/12/16
CASUD 29/06/2017
CDC 21/06/17</t>
  </si>
  <si>
    <t>NH CLOISONS</t>
  </si>
  <si>
    <t>SAFER</t>
  </si>
  <si>
    <t>TURPIN</t>
  </si>
  <si>
    <t>PRLC 0192</t>
  </si>
  <si>
    <t>Foyer de Charité</t>
  </si>
  <si>
    <t>PRLC 0198</t>
  </si>
  <si>
    <t>PRLC 0199</t>
  </si>
  <si>
    <t>PRLC 0200</t>
  </si>
  <si>
    <t>PRLC 0201</t>
  </si>
  <si>
    <t>voie intérieure à rétrocéder
récupérer DOE
faire le DA : FVA s'en occupe</t>
  </si>
  <si>
    <t>AV 120</t>
  </si>
  <si>
    <t>AT 222/223/224</t>
  </si>
  <si>
    <t>Rapport de fin d'opération</t>
  </si>
  <si>
    <t>19/07/2017
05/09/17</t>
  </si>
  <si>
    <t>terrain acheté
projet de bornage transmis à FBR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</si>
  <si>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</si>
  <si>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</si>
  <si>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t>Amata (HE 168) LLTS</t>
  </si>
  <si>
    <t>dossier chez OFOI 08/03/2017</t>
  </si>
  <si>
    <t>dossier transmis à OFOI 05/09/16</t>
  </si>
  <si>
    <t>Dépôt DDA définitif</t>
  </si>
  <si>
    <t>CH 162</t>
  </si>
  <si>
    <t>SITA</t>
  </si>
  <si>
    <t>élément transmis à OFOI 03/10/17</t>
  </si>
  <si>
    <t xml:space="preserve">AT 222/223/224
compromis AT 222 signé - PD obtenu / bornage 05/10/17
en attente du topo / bornage
empiètement sur AT 224
</t>
  </si>
  <si>
    <t xml:space="preserve">
attente protocole DD 1298 pour prendre possession des lieux
lancer procédure expulsion bungalow</t>
  </si>
  <si>
    <t xml:space="preserve">acheté 25/11/15
DA ER fait
convention de prise de possession anticipée reçue, à signer  / attention aux enrobés
OST à évacuer
AEP coupée
</t>
  </si>
  <si>
    <t xml:space="preserve">rétrocession voirie Mairie : dossier transmis à commune
lots à commercialiser : dépôt de pièces à faire chez notaire
vérifier avec notaire s'il faut afficher le PA modif
notaire prépare cession de la CH 505 à M. RIVIERE
</t>
  </si>
  <si>
    <t>servitude EP à faire : délib CM transmise au notaire qui doit faire un projet de servitude
rétrocéder voirie : BJE doit faire DA / DOE transmis à Commune</t>
  </si>
  <si>
    <t>rétrocession voirie Mairie à faire / DA en attente validation par Commune
DOE transmis à commune</t>
  </si>
  <si>
    <t>Mairie 09/10/17
CG 17/10/17</t>
  </si>
  <si>
    <t>OCTAVIE LLTS</t>
  </si>
  <si>
    <t>OCTAVIE LLS</t>
  </si>
  <si>
    <t>ES 15/10/17
CG 19/10/17</t>
  </si>
  <si>
    <t>GGO</t>
  </si>
  <si>
    <t>VEFA</t>
  </si>
  <si>
    <t>EM 628 p</t>
  </si>
  <si>
    <t>topo complémentaire en cours sur riverains
bornage à fournir par le propriétaire
CPV en cours</t>
  </si>
  <si>
    <t>AH 893 / AH 975</t>
  </si>
  <si>
    <t>regrouper pièces pour lancer consultation MOE - topo en cours
étudier scénario raccordement EU / ANC
CPV en cours de rédaction
manque évaluation domaines TCO</t>
  </si>
  <si>
    <t>Lotissement FOURRAGERES</t>
  </si>
  <si>
    <t>BENJAMIN HOAREAU</t>
  </si>
  <si>
    <t>BX 1057,1055</t>
  </si>
  <si>
    <t>GEORGER</t>
  </si>
  <si>
    <t>BX 176</t>
  </si>
  <si>
    <t>BY 759-760</t>
  </si>
  <si>
    <t>BX 420</t>
  </si>
  <si>
    <t>GORBATCHEV</t>
  </si>
  <si>
    <t>BY 284</t>
  </si>
  <si>
    <t>Mairie 04/12/17
CG 17/10/17</t>
  </si>
  <si>
    <t>topo complémentaire en cours sur riverains
bornage à fournir par le propriétaire
CPV signé - prend fin au 31/12/18</t>
  </si>
  <si>
    <t>Avenant EPFR signé
Convention avec riverain signée</t>
  </si>
  <si>
    <t>avenant 1 EPFR  signé - acquisition à mai 2018</t>
  </si>
  <si>
    <t>manque terrain communal à acheter en mai 2018 : veiller à ce que les abonnements soient résiliés</t>
  </si>
  <si>
    <t xml:space="preserve">une promesse d'échange Commune / Evêché sera signée : conditionne l'accès - DA doit être publié pour pouvoir faire l'échange - demander à la commune de récupérer l'emprise des voies dès que possible / il faut une délibération CM - travaux à démarrer en février 2018
EPFR a acheté le terrain 07/11/17
</t>
  </si>
  <si>
    <t>bornage signé mais remis en cause / servitude de tréfonds SAPHIR
prorogation EPFR jusqu'au 11/09/2019 : avenant à recevoir</t>
  </si>
  <si>
    <t>compromis vente signé prend fin fin mars 2017 / à proroger à mi 2018 - manque signature Commune</t>
  </si>
  <si>
    <t xml:space="preserve">acte signé 30/11/15
voie à détacher : en cours
</t>
  </si>
  <si>
    <t>terrains achetés
PA obtenu</t>
  </si>
  <si>
    <t>BJE récupère les pièces avec FBR
attente tableau des ventes de FBR
Rétrocession du chemin de l'amitié à faire
attente conformité des lots</t>
  </si>
  <si>
    <t xml:space="preserve"> servitude EP OK / échange de lot à faire
DA  en cours pour les lots
manque les pièces PA
rétrocession des 3 rues à faire mais appartiennent à INGEPAR / DA à faire par BJE
1 des lots est occupé</t>
  </si>
  <si>
    <t xml:space="preserve">
1 LOT sous compromis
Obtenir conformité Mairie</t>
  </si>
  <si>
    <t xml:space="preserve">rétrocession voirie Mairie à faire : solliciter la Commune
</t>
  </si>
  <si>
    <t>10/07/2017
11/12/17</t>
  </si>
  <si>
    <t>NH ESQ</t>
  </si>
  <si>
    <t>COCO TURPIN</t>
  </si>
  <si>
    <t>CH 483 / 102</t>
  </si>
  <si>
    <t>REHAB</t>
  </si>
  <si>
    <t>Kakis</t>
  </si>
  <si>
    <t>ECART Arrêté DEAL / OS</t>
  </si>
  <si>
    <t>ANNEE DEMARRAGE</t>
  </si>
  <si>
    <t xml:space="preserve">CANNELLE </t>
  </si>
  <si>
    <t xml:space="preserve">PAPYRUS </t>
  </si>
  <si>
    <t>MMA</t>
  </si>
  <si>
    <t>PRLC 0204</t>
  </si>
  <si>
    <t>CPV DAMOUR OK
manque CPV sur CH 102</t>
  </si>
  <si>
    <t xml:space="preserve">AX 24p / 25 / 429p / 28 / 27p
actualisation topo en cours
zone RHI
</t>
  </si>
  <si>
    <t>envoi Lydie 29/01/18</t>
  </si>
  <si>
    <t>sem 12/02 : T5</t>
  </si>
  <si>
    <t>CREDIT IMPOT</t>
  </si>
  <si>
    <t xml:space="preserve">Taux conformité DCE au CRATE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</si>
  <si>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</si>
  <si>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Marché MOE notifié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</si>
  <si>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</si>
  <si>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</si>
  <si>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</si>
  <si>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</si>
  <si>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</si>
  <si>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</si>
  <si>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NH CAO</t>
  </si>
  <si>
    <t>NH DAT</t>
  </si>
  <si>
    <t>NH RDC</t>
  </si>
  <si>
    <t>Bilan final</t>
  </si>
  <si>
    <t>OS ESQ - prévu</t>
  </si>
  <si>
    <t>OS ESQ - Réalisé</t>
  </si>
  <si>
    <t>ECART (j)</t>
  </si>
  <si>
    <t>OS PRO - prévu</t>
  </si>
  <si>
    <t>OS PRO - Réalisé</t>
  </si>
  <si>
    <t>OS DCE - prévu</t>
  </si>
  <si>
    <t>OS DCE - Réalisé</t>
  </si>
  <si>
    <t>Signature Marché Travaux - Prévu</t>
  </si>
  <si>
    <t>Signature Marché Travaux - Réalisé</t>
  </si>
  <si>
    <t>Date OS Prévu</t>
  </si>
  <si>
    <t xml:space="preserve">Ecart 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</si>
  <si>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</si>
  <si>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</si>
  <si>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</si>
  <si>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</si>
  <si>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</si>
  <si>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</si>
  <si>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Charpente / Couv - Prévu</t>
  </si>
  <si>
    <t>Charpente / Couv - Réalisé</t>
  </si>
  <si>
    <t>Clos - Prévu</t>
  </si>
  <si>
    <t>Clos -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</si>
  <si>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</si>
  <si>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</si>
  <si>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</si>
  <si>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</si>
  <si>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</si>
  <si>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</si>
  <si>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</si>
  <si>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Fonds propres au démarrage</t>
  </si>
  <si>
    <t>Fonds propres actualisés</t>
  </si>
  <si>
    <t>RO successifs</t>
  </si>
  <si>
    <t>Problémes chantier</t>
  </si>
  <si>
    <t>Observations générales</t>
  </si>
  <si>
    <t>FMA / FHO</t>
  </si>
  <si>
    <t>FMA / YFR</t>
  </si>
  <si>
    <t>décalage de programmation</t>
  </si>
  <si>
    <t>SFE / AGA / FVA</t>
  </si>
  <si>
    <t xml:space="preserve">problématique juridique INTERINVEST qui a mis beaucoup de temps à se solutionner
retard SBIM / AMEDEE
convention MOD EDF très tardive
</t>
  </si>
  <si>
    <t>JMO / NBL / FBR</t>
  </si>
  <si>
    <t>JMO / FBR</t>
  </si>
  <si>
    <t>JMO / AGA / FVA</t>
  </si>
  <si>
    <t>SFE / APU</t>
  </si>
  <si>
    <t>passage en crédit d'impôt</t>
  </si>
  <si>
    <t>info/ difficultés de terrassement dû à la nature du sol rencontré (courrier LASETRA) /retard galvanisation charpente+ 45 jours</t>
  </si>
  <si>
    <t>INFO / arrêt de chantier du 20/02/17 au 17/04/2017 suite pb d'avoisinant (bornage et mur)/retard galvanisation charpente</t>
  </si>
  <si>
    <t>JDC / NBL / MFL / ADE</t>
  </si>
  <si>
    <t>purge délai recours en cours</t>
  </si>
  <si>
    <t>MFL / ADE</t>
  </si>
  <si>
    <t xml:space="preserve">Fourragères </t>
  </si>
  <si>
    <t>offres à analyser mais entreprises n'ont pas fait de visite</t>
  </si>
  <si>
    <t>AO à lancer sem 22/01 / voir pour modifier pièces concernant visite obligatoire</t>
  </si>
  <si>
    <t>PRO à recevoir en 02/18 - PC modif à déposer</t>
  </si>
  <si>
    <t>DIAG reçu / valider pgr travaux / revue de projet 20/02</t>
  </si>
  <si>
    <t>APS à analyser / PC à déposer 10/02/18 au plus tard</t>
  </si>
  <si>
    <t>PC à déposer 10/02/18 au plus tard</t>
  </si>
  <si>
    <t>analyse MOE à faire par FBR / faire mail à ASI</t>
  </si>
  <si>
    <t>PC à déposer 10/02/18 au plus tard / attente données hydrétudes</t>
  </si>
  <si>
    <t>Lot Cloison : SPB par CPR
Lot Etanchéité : RSOP par Corail
Lot Sol souple : RSOP par Corail
Lot peinture : RSOP par Marine Peinture
Soit 4 lots sur 15 lots = 26 %</t>
  </si>
  <si>
    <t>Lot Men Ext
Lot Cloisons
Lot Bardage
Lot Bardage
soit 4 lots sur 14 = 29%
4 RO</t>
  </si>
  <si>
    <t xml:space="preserve">Lot Charpente : BCCM par CMOI
Lot Peinture/Sol : RSOP par Corail
Lot Etanchéité : RVD par Corail
Lot ECS : Sunzil par Gaia 
Soit 4 lots / 14 lots  =  28 % </t>
  </si>
  <si>
    <t>Lot VRD
Lot Men Ext
Soit 2 lots sur 15 soit 13%
3 RO</t>
  </si>
  <si>
    <t>Lot VRD - SATP par Austral TP
Lot Cloisons - SPB par 3PPLUS
Lot Elec : DTS par EES
Soit 3 lots sur 14 = 21%
3 RO</t>
  </si>
  <si>
    <t>Lot Men Ext : APOI
Lot Metallerie : CSMD par M Metallerie
Lot Elec : Filea Elec par Mon ti caze Eclaire
Soit 3 lots sur 14 = 21%
5 RO</t>
  </si>
  <si>
    <t>Lot 4 Menuiserie - PVC 400 par Sofaal
Lot Metallerie : Technipose par Pumalu
soit 2 lots sur 16 = 12%
3 RO</t>
  </si>
  <si>
    <t>OPC :  L'hospitalier par Fromentin
Lot Etanchéité :
Lot Peinture :
Lot Cloison : Plaquiste réunion par Plaquiste.com
Menui Alu : FAOI par Technipose
Menui Alu : Technipose par Soremir
Lot Elect : I2E par Megawatt
Soit  6 lots sur 22 = 27 %</t>
  </si>
  <si>
    <t>Lot Couverture : BCCM par GMF
soit 1 lot sur 14
2 RO</t>
  </si>
  <si>
    <t>Lot 1.1 SATP
Lot 9 ERSEC 
Soit 2 lots sur 15 = 13%
3 RO</t>
  </si>
  <si>
    <t>Lot GO : Dunite btp par CH2D
Lot Métallerie : Sodure par Espace alu
Soit 2 sur 14 lots = 14%
4 RO</t>
  </si>
  <si>
    <t>Lot Bardage : EEC par MJF
Lot Charpente : EEC par MJF
Lot Elect : I2E par IEB
Lot Plomb : Sarhane par Ersec
Lot Plomb : Ersec par CSO
Soit 5 lot sur 14 = 35%
2 RO</t>
  </si>
  <si>
    <t>Résiliation ABR 21/08/13 - attribution EKCB 04/02/14 
Résiliation SATP 20/03/14 - attribution TPL 19/09/14 
Résiliation CSMD 16/05/14 - attribution EKCB 20/07/14 
Résiliation IJAP 20/06/14 - attribution M Peinture 03/12/14 
Résiliation APOI 16/06/15 - attribution SOREMIR 04/09/15
Lot Elec : DTS par Idem
 soit 6 lots sur 15 soit 40%
3 RO</t>
  </si>
  <si>
    <t>Lot Peinture : LSR par Marine Peinture
Lot ECS : Ersec par Gaia
Lot Plomb : Ersec par PSVR
Lot Cloison : CIOI par Austral Placo
Lot Charpente : CSMD par HJP
Lot Metallerie : CSMD par HJP
Lot Revetement Dur : PSOI par TPMIB
Soit 7 lots sur 15 soit 45 %
2 RO</t>
  </si>
  <si>
    <t>Lot Men Ext
Lot Charpente
Lot ECS
Soit 3 sur 17 lots = 17 %
2 RO</t>
  </si>
  <si>
    <t>Lot Elec : DTS par Rayroux
Soit 1 lot sur 16
3 RO</t>
  </si>
  <si>
    <t>Lot Cloison : PRE par DROZ
 soit 1 sur 15</t>
  </si>
  <si>
    <t>Lot élec : Eneris par Espace Soleil
Soit 1 sur 15
4 RO</t>
  </si>
  <si>
    <t>Lot Menui Ext :PVC 400 par Sofaal
soit 1 sur 15
1  RO</t>
  </si>
  <si>
    <t>Transmission à DAF
Garantie CR</t>
  </si>
  <si>
    <t>Transmission à DAF
Garantie EPCI</t>
  </si>
  <si>
    <t>Transmission à DAF
Garantie CM</t>
  </si>
  <si>
    <t>Transmission à DAF
Garantie CG</t>
  </si>
  <si>
    <t>Lot désamiantage</t>
  </si>
  <si>
    <t>AO lancé 13/02 - réception offres 13/03</t>
  </si>
  <si>
    <t>négo en cours</t>
  </si>
  <si>
    <t>réunion démarrage 01/03/18</t>
  </si>
  <si>
    <t>lancement AO sem 26/02 - voir avec TGI pour enlever toiture du DCE</t>
  </si>
  <si>
    <t>résilier SIB (perte agrément) / se positionner sur demande de DLC
pas de nouvelles de l'AMO déchets : faire une MD huissier
courrier refus offre technique DLC à envoyer
O'SUD Peinture pas à jour attestation fiscale</t>
  </si>
  <si>
    <t>contrat de prêt à recevoir en février 2018 / délib garantie CM 24/02 / VEFA à signer fin fév 18 au + tard</t>
  </si>
  <si>
    <t>lancer AO</t>
  </si>
  <si>
    <t>retard études : gestion mitoyens / signature convention
retard rendu DCE (changement chargé d'affaire INTEGRALE)</t>
  </si>
  <si>
    <t>retard lancement AO : pb ramassage ordures ménagères
faire la demande de prêt</t>
  </si>
  <si>
    <t>courrier de MAP financière / technique faite au promoteur</t>
  </si>
  <si>
    <t>attente schéma directeur EP pour lever réserve BCT sur évacuation EP = réunion Boyer 24/02
attente DCE indice 2
analyser offres désamiantage</t>
  </si>
  <si>
    <t>caler réunion validation PRO semaine 26/02</t>
  </si>
  <si>
    <t>IMPREVUS ACTUALISES</t>
  </si>
  <si>
    <t>Retard livraison VEFA (mois)</t>
  </si>
  <si>
    <t>Date réception prévue initialement</t>
  </si>
  <si>
    <t>PRP CA</t>
  </si>
  <si>
    <t>lancer désamiantage / étude hydraulique à réaliser pour confirmation hyp SEGC
perte de temps sur la phase DCE pour consolider étude hydraulique</t>
  </si>
  <si>
    <t>Date Agrément DRFIP</t>
  </si>
  <si>
    <t>Agrément définitif</t>
  </si>
  <si>
    <t>RPA MERCURY (Terrain DAMOUR)</t>
  </si>
  <si>
    <t>OK</t>
  </si>
  <si>
    <t>11/12/2017
01/03/18</t>
  </si>
  <si>
    <t>Date RDC Patrimoine</t>
  </si>
  <si>
    <t>montage technico financier complexe / reprise d'études MOE à la demande du Maire / recherche de solutions pour minimiser les fonds propres (négociation foncière avec un propriétaire foncier pour réalisation de lots à batir en dation)
nombreux retards de paiement de la DAF (JM Plomberie, gros oeuvre)</t>
  </si>
  <si>
    <t>JFO / BBL / FHO / AGA / APU</t>
  </si>
  <si>
    <r>
      <t xml:space="preserve">Lot carrelage : EEPC par 
Lot plomberie : Attitude Plomb par 
Lot ECS : DYELL par 
Lot Charpente : Sorlier par JP Hoarau
Lot Charpente : JP Hoarau par CMOI
</t>
    </r>
    <r>
      <rPr>
        <b/>
        <sz val="8"/>
        <color indexed="8"/>
        <rFont val="Verdana"/>
        <family val="2"/>
      </rPr>
      <t>Soit 5 sur 15 lots  = 33 %</t>
    </r>
    <r>
      <rPr>
        <sz val="8"/>
        <color indexed="8"/>
        <rFont val="Verdana"/>
        <family val="2"/>
      </rPr>
      <t xml:space="preserve">
</t>
    </r>
  </si>
  <si>
    <t>faisaibilité à 23 logements mixte - à la demande de la Mairie réalisation d'une RPA et de moins de logements
beaucoup de RO</t>
  </si>
  <si>
    <t>DATE LIMITE DAT DEFISC</t>
  </si>
  <si>
    <t>PRÊT CREDIT D'IMPOT (PM)</t>
  </si>
  <si>
    <t xml:space="preserve">envoyé </t>
  </si>
  <si>
    <t>envoyé</t>
  </si>
  <si>
    <t>BY 759 SITA</t>
  </si>
  <si>
    <t>EM 628 p
CPV avec TURPIN signé + clause substit EPFR
bornage à compléter - manque procurations / DA en cours de finalisation pour EM 629
EPFR délibère en mars/avril
minoration foncière CIVIS</t>
  </si>
  <si>
    <t>courrier à faire à la Mairie pour un portage / CPV signé achevé 31/03/18</t>
  </si>
  <si>
    <t>envoi à l'arrangeur 07/03/18</t>
  </si>
  <si>
    <t>dossier envoyé Arrangeur 09/11/17</t>
  </si>
  <si>
    <t>envoyé arrangeur 12/10/17</t>
  </si>
  <si>
    <t>envoi arrangeur 21/02/18</t>
  </si>
  <si>
    <t xml:space="preserve">dossier envoyé </t>
  </si>
  <si>
    <t>Budget clôture validé DAF</t>
  </si>
  <si>
    <t>problématique foncière non anticipée et propre à la vente en VEFA défisc
changements de RO
avancement SMOI</t>
  </si>
  <si>
    <t>problématique foncière non anticipée et propre à la vente en VEFA défisc
changements de RO
délai paiement entreprises</t>
  </si>
  <si>
    <t xml:space="preserve">aléa mouvement de terrain grevant la parcelle après maîtrise foncière, à lever auprès du BRGM 
sécurisation du site proximité école
</t>
  </si>
  <si>
    <t xml:space="preserve">attente des garanties= retard OS
janvier 2018 : DAF ne paie pas entreprises qui n'ont plus de fournitures (ex : 3 situations LASETRA pas payées au 26/01/18)
</t>
  </si>
  <si>
    <t>manque  DOE Métallerie</t>
  </si>
  <si>
    <t>14/03/2018
18/04/18</t>
  </si>
  <si>
    <t>EN 303-305</t>
  </si>
  <si>
    <t>Lot Charpente Couverture : Trait Carré par HJP
Lot Gros-œuvre : Robert Construction par CH2D
Lot Men Ext :APOI par Espace Alu
Lot électricité : Electric Services par
Lot Gros-Œuvre : CH2D par DRMS
Lot OPC
Lot plomberie : Fluides OI par
Soit 7 lots sur 14 = 50%
3 RO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</si>
  <si>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DE SIGOYER</t>
    </r>
  </si>
  <si>
    <t>attente rendu étude Mairie sur voie qui doit fixer les emprises</t>
  </si>
  <si>
    <t>PPA</t>
  </si>
  <si>
    <t xml:space="preserve">courrier envoyé à la Mairie sur prix du foncier : pas de réponse
étendre réflexion à CX 191, propriété EPFR </t>
  </si>
  <si>
    <t>BD 2997</t>
  </si>
  <si>
    <t>réétudier opé avec FRAFU à la demande de la DEAL
voir si PLU a évolué
faire simul FRAFU</t>
  </si>
  <si>
    <t>BJE voit si foncier toujours dispo
Programme Mairie / DEAL :
- RDC commercial
- 50 % PLS
- 50 % LLS/LLTS</t>
  </si>
  <si>
    <t>BJE passe en direct avec le vendeur
évolution PLU : 1 étage supplémentaire</t>
  </si>
  <si>
    <t>compromise existant entre Mme BERTAUD et le promoteur ==&gt; relancer vendeur pour voir ce qu'il en est</t>
  </si>
  <si>
    <t>Terrain ELISA (ex VEFA ELISA)</t>
  </si>
  <si>
    <t xml:space="preserve">CPV CH 102 à signer
topo à compléter
CH 102 hors QPV
</t>
  </si>
  <si>
    <t>IL 194-195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</si>
  <si>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PAPAYE</t>
    </r>
  </si>
  <si>
    <t>faire proposition au promoteur de T1 étudiants LLTS si GL OK
demander dérogation préfet</t>
  </si>
  <si>
    <r>
      <t xml:space="preserve">négo en cours
en attente jugement succession puis signer un CPV
courrier Mairie sur portage EPFR fait
Programme mixte voulu : LLS  LLTS / MDV / Lots libres = </t>
    </r>
    <r>
      <rPr>
        <b/>
        <sz val="11"/>
        <color rgb="FFFF0000"/>
        <rFont val="Calibri"/>
        <family val="2"/>
        <scheme val="minor"/>
      </rPr>
      <t>en attente typologie GL</t>
    </r>
  </si>
  <si>
    <t>envoi Arrangeur 18/04/18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</si>
  <si>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</si>
  <si>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>08/03/2018
06/06/2018</t>
  </si>
  <si>
    <t>APS</t>
  </si>
  <si>
    <t>Fin préfinancement (24 mois)</t>
  </si>
  <si>
    <t>Début préfinancement (date contrat de prêt)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</si>
  <si>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AJP</t>
    </r>
  </si>
  <si>
    <t>19/04/2018
11/06/18</t>
  </si>
  <si>
    <t>OK sauf RFCT</t>
  </si>
  <si>
    <t>Mois de loyers avant 1e échéance</t>
  </si>
  <si>
    <t>1e échéance prêt (12 mois après fin préfinancement)</t>
  </si>
  <si>
    <t>Montant échéance annuelle</t>
  </si>
  <si>
    <t>Montant des loyers perçus avant 1e échéance</t>
  </si>
  <si>
    <t>Perte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</si>
  <si>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GTOI Tampon</t>
    </r>
  </si>
  <si>
    <t>envoi OFOI 22/06/18</t>
  </si>
  <si>
    <t>Prix Achat TTC</t>
  </si>
  <si>
    <t>SF VEFA</t>
  </si>
  <si>
    <t>SHAB VEFA</t>
  </si>
  <si>
    <t>Frais financiers clôture</t>
  </si>
  <si>
    <t>raccordement EU à 400 mL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</si>
  <si>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GTOI Roland Garros</t>
    </r>
  </si>
  <si>
    <t>Date inauguration initiale</t>
  </si>
  <si>
    <t>Retard Inauguration (m)</t>
  </si>
  <si>
    <t>avancement PERSM problématique
mur soutènement arrière</t>
  </si>
  <si>
    <t>SMOI : 1 mois retard 
mur voisin : 1,5 mois retard</t>
  </si>
  <si>
    <t>Date réception recalée</t>
  </si>
  <si>
    <t>Retard réception (m)</t>
  </si>
  <si>
    <t>Lot Men Ext</t>
  </si>
  <si>
    <t>Lot plomberie 
Lot peinture, étanchéité</t>
  </si>
  <si>
    <t>Lot cloisons
Lot carrelage</t>
  </si>
  <si>
    <t>équipement local refoulement par CASUD à partir du 05/02 (1 mois travaux)</t>
  </si>
  <si>
    <t xml:space="preserve">Lot GO </t>
  </si>
  <si>
    <t>Lot étanchéité</t>
  </si>
  <si>
    <t xml:space="preserve">Lot carrelage </t>
  </si>
  <si>
    <r>
      <t xml:space="preserve">1 mois de retard sur VRD (rattrapable)
</t>
    </r>
    <r>
      <rPr>
        <sz val="11"/>
        <color rgb="FFFF0000"/>
        <rFont val="Verdana"/>
        <family val="2"/>
      </rPr>
      <t xml:space="preserve">pb effectif Gros Œuvre
retards de paiement SODEGIS
</t>
    </r>
    <r>
      <rPr>
        <sz val="11"/>
        <rFont val="Verdana"/>
        <family val="2"/>
      </rPr>
      <t>pb avancement  plaquiste</t>
    </r>
  </si>
  <si>
    <t>retards de paiement SODEGIS</t>
  </si>
  <si>
    <t>partie</t>
  </si>
  <si>
    <t>COLTRAV : pb avancement sous-traitant
J2S : pb avancement - 20 j pénalités
SMOI : pénalités
4 j intempéries</t>
  </si>
  <si>
    <t>% TS / PRP</t>
  </si>
  <si>
    <t>80659
31 478 FRAFU</t>
  </si>
  <si>
    <t>Date EDLE</t>
  </si>
  <si>
    <t>7 &amp; 08/08</t>
  </si>
  <si>
    <t>20 &amp; 21/08</t>
  </si>
  <si>
    <t xml:space="preserve">Date inauguration </t>
  </si>
  <si>
    <t>bâche à poser pour sécurité incendie, avant inauguration
retards SBIM, AMEDEE</t>
  </si>
  <si>
    <t>intempéries = 23 j
sécurisation du site proximité école</t>
  </si>
  <si>
    <t>TS Correspondant à des imprévus chantier (hors résiliation)</t>
  </si>
  <si>
    <t>info/ difficultés de terrassement dû à la nature du sol rencontré (courrier LASETRA) /retard galvanisation charpente+ 45 jours
transmission CONSUEL 24/07/18</t>
  </si>
  <si>
    <t>je ne l'ai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</si>
</sst>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0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\ _€"/>
    <numFmt numFmtId="166" formatCode="_-* #,##0\ _€_-;\-* #,##0\ _€_-;_-* &quot;-&quot;??\ _€_-;_-@_-"/>
    <numFmt numFmtId="167" formatCode="#,##0.00\ &quot;€&quot;"/>
    <numFmt numFmtId="168" formatCode="_(* #,##0.00_);_(* \(#,##0.00\);_(* &quot;-&quot;??_);_(@_)"/>
    <numFmt numFmtId="169" formatCode="[$-40C]mmmm\-yy;@"/>
    <numFmt numFmtId="170" formatCode="[$-40C]mmm\-yy;@"/>
    <numFmt numFmtId="171" formatCode="&quot;NH PROG&quot;\ 0%"/>
    <numFmt numFmtId="172" formatCode="&quot;NH APS&quot;\ 0%"/>
    <numFmt numFmtId="173" formatCode="&quot;NH PC&quot;\ 0%"/>
    <numFmt numFmtId="174" formatCode="&quot;NH APD&quot;\ 0%"/>
    <numFmt numFmtId="175" formatCode="&quot;NH PRO&quot;\ 0%"/>
    <numFmt numFmtId="176" formatCode="0.0"/>
    <numFmt numFmtId="177" formatCode="&quot;NH VEFA&quot;\ 0%"/>
    <numFmt numFmtId="178" formatCode="&quot;NH OS&quot;\ 0%"/>
    <numFmt numFmtId="179" formatCode="&quot;NH Fondations&quot;\ 0%"/>
    <numFmt numFmtId="180" formatCode="&quot;NH R+1&quot;\ 0%"/>
    <numFmt numFmtId="181" formatCode="&quot;NH HDE&quot;\ 0%"/>
    <numFmt numFmtId="182" formatCode="&quot;NH HDA&quot;\ 0%"/>
    <numFmt numFmtId="183" formatCode="#,##0.00\ _€"/>
    <numFmt numFmtId="184" formatCode="&quot;NH Cloisons&quot;\ 0%"/>
    <numFmt numFmtId="185" formatCode="&quot;NH ESQ&quot;\ 0%"/>
    <numFmt numFmtId="186" formatCode="&quot;NH CAO&quot;\ 0%"/>
    <numFmt numFmtId="187" formatCode="&quot;NH DAT&quot;\ 0%"/>
    <numFmt numFmtId="188" formatCode="&quot;NH RDC&quot;\ 0%"/>
    <numFmt numFmtId="189" formatCode="&quot;NH bilan&quot;\ 0%"/>
    <numFmt numFmtId="190" formatCode="#,##0.0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1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b/>
      <sz val="12"/>
      <color indexed="9"/>
      <name val="Verdana"/>
      <family val="2"/>
    </font>
    <font>
      <b/>
      <i/>
      <sz val="12"/>
      <color indexed="9"/>
      <name val="Verdana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sz val="10"/>
      <color theme="1"/>
      <name val="Calibri"/>
      <family val="2"/>
      <scheme val="minor"/>
    </font>
    <font>
      <b/>
      <sz val="12"/>
      <color rgb="FFFF0000"/>
      <name val="Verdana"/>
      <family val="2"/>
    </font>
    <font>
      <b/>
      <i/>
      <sz val="12"/>
      <color rgb="FFFF0000"/>
      <name val="Verdana"/>
      <family val="2"/>
    </font>
    <font>
      <i/>
      <sz val="12"/>
      <color rgb="FFFF0000"/>
      <name val="Verdana"/>
      <family val="2"/>
    </font>
    <font>
      <sz val="12"/>
      <color rgb="FFFF0000"/>
      <name val="Verdana"/>
      <family val="2"/>
    </font>
    <font>
      <sz val="10"/>
      <name val="Arial"/>
      <family val="2"/>
    </font>
    <font>
      <i/>
      <sz val="11"/>
      <name val="Calibri"/>
      <family val="2"/>
      <scheme val="minor"/>
    </font>
    <font>
      <b/>
      <sz val="12"/>
      <name val="Verdana"/>
      <family val="2"/>
    </font>
    <font>
      <sz val="11"/>
      <color indexed="8"/>
      <name val="Calibri"/>
      <family val="2"/>
      <scheme val="minor"/>
    </font>
    <font>
      <sz val="11"/>
      <color rgb="FFFF0000"/>
      <name val="Verdana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gray0625">
        <bgColor theme="0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lightGray">
        <bgColor rgb="FFC6EFCE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99FF"/>
        <bgColor indexed="64"/>
      </patternFill>
    </fill>
    <fill>
      <patternFill patternType="gray125">
        <bgColor theme="5" tint="0.39997558519241921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gray125">
        <bgColor theme="1" tint="0.34998626667073579"/>
      </patternFill>
    </fill>
    <fill>
      <patternFill patternType="solid">
        <fgColor rgb="FF7030A0"/>
        <bgColor indexed="64"/>
      </patternFill>
    </fill>
    <fill>
      <patternFill patternType="gray0625">
        <bgColor rgb="FF00B0F0"/>
      </patternFill>
    </fill>
    <fill>
      <patternFill patternType="gray0625">
        <bgColor theme="1" tint="0.499984740745262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  <fill>
      <patternFill patternType="solid">
        <fgColor rgb="FFCAC0D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theme="1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</borders>
  <cellStyleXfs count="2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12" fillId="0" borderId="0"/>
    <xf numFmtId="0" fontId="16" fillId="0" borderId="0"/>
    <xf numFmtId="168" fontId="12" fillId="0" borderId="0" applyFont="0" applyFill="0" applyBorder="0" applyAlignment="0" applyProtection="0"/>
    <xf numFmtId="0" fontId="12" fillId="0" borderId="0"/>
    <xf numFmtId="0" fontId="12" fillId="0" borderId="0">
      <alignment vertical="center"/>
    </xf>
    <xf numFmtId="0" fontId="25" fillId="0" borderId="0"/>
    <xf numFmtId="9" fontId="26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 applyNumberFormat="0" applyBorder="0" applyProtection="0"/>
    <xf numFmtId="0" fontId="29" fillId="0" borderId="0" applyNumberFormat="0" applyBorder="0" applyProtection="0"/>
    <xf numFmtId="0" fontId="43" fillId="0" borderId="0">
      <alignment vertical="center"/>
    </xf>
  </cellStyleXfs>
  <cellXfs count="869">
    <xf numFmtId="0" fontId="0" fillId="0" borderId="0" xfId="0"/>
    <xf numFmtId="0" fontId="5" fillId="4" borderId="1" xfId="5" applyFont="1" applyBorder="1" applyAlignment="1">
      <alignment horizontal="center" vertical="center" wrapText="1"/>
    </xf>
    <xf numFmtId="0" fontId="8" fillId="8" borderId="0" xfId="5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8" fillId="11" borderId="1" xfId="1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8" borderId="1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5" fontId="8" fillId="8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165" fontId="0" fillId="19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3" fontId="6" fillId="0" borderId="2" xfId="0" applyNumberFormat="1" applyFont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0" xfId="0" applyNumberFormat="1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22" borderId="1" xfId="5" applyFont="1" applyFill="1" applyBorder="1" applyAlignment="1">
      <alignment horizontal="center" vertical="center"/>
    </xf>
    <xf numFmtId="0" fontId="8" fillId="17" borderId="1" xfId="7" applyFont="1" applyFill="1" applyBorder="1" applyAlignment="1">
      <alignment horizontal="center" vertical="center" wrapText="1"/>
    </xf>
    <xf numFmtId="165" fontId="0" fillId="24" borderId="1" xfId="0" applyNumberFormat="1" applyFont="1" applyFill="1" applyBorder="1" applyAlignment="1">
      <alignment horizontal="center" vertical="center"/>
    </xf>
    <xf numFmtId="165" fontId="8" fillId="24" borderId="1" xfId="0" applyNumberFormat="1" applyFont="1" applyFill="1" applyBorder="1" applyAlignment="1">
      <alignment horizontal="center" vertical="center"/>
    </xf>
    <xf numFmtId="165" fontId="0" fillId="23" borderId="1" xfId="0" applyNumberFormat="1" applyFont="1" applyFill="1" applyBorder="1" applyAlignment="1">
      <alignment horizontal="center" vertical="center"/>
    </xf>
    <xf numFmtId="9" fontId="8" fillId="11" borderId="1" xfId="2" applyFont="1" applyFill="1" applyBorder="1" applyAlignment="1">
      <alignment horizontal="center" vertical="center" wrapText="1"/>
    </xf>
    <xf numFmtId="43" fontId="8" fillId="25" borderId="1" xfId="1" applyFont="1" applyFill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/>
    <xf numFmtId="9" fontId="0" fillId="0" borderId="0" xfId="2" applyFont="1" applyAlignment="1">
      <alignment horizontal="center"/>
    </xf>
    <xf numFmtId="165" fontId="8" fillId="0" borderId="1" xfId="0" applyNumberFormat="1" applyFont="1" applyBorder="1" applyAlignment="1">
      <alignment horizontal="center" vertical="center"/>
    </xf>
    <xf numFmtId="165" fontId="8" fillId="19" borderId="1" xfId="0" applyNumberFormat="1" applyFont="1" applyFill="1" applyBorder="1" applyAlignment="1">
      <alignment horizontal="center" vertical="center"/>
    </xf>
    <xf numFmtId="4" fontId="0" fillId="27" borderId="7" xfId="0" applyNumberFormat="1" applyFont="1" applyFill="1" applyBorder="1" applyAlignment="1">
      <alignment horizontal="center" vertical="center"/>
    </xf>
    <xf numFmtId="4" fontId="8" fillId="27" borderId="7" xfId="0" applyNumberFormat="1" applyFont="1" applyFill="1" applyBorder="1" applyAlignment="1">
      <alignment horizontal="center" vertical="center"/>
    </xf>
    <xf numFmtId="165" fontId="0" fillId="19" borderId="8" xfId="0" applyNumberFormat="1" applyFont="1" applyFill="1" applyBorder="1" applyAlignment="1">
      <alignment horizontal="center" vertical="center"/>
    </xf>
    <xf numFmtId="9" fontId="0" fillId="19" borderId="8" xfId="2" applyFont="1" applyFill="1" applyBorder="1" applyAlignment="1">
      <alignment horizontal="center" vertical="center"/>
    </xf>
    <xf numFmtId="3" fontId="0" fillId="0" borderId="2" xfId="0" applyNumberFormat="1" applyFont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4" fontId="0" fillId="8" borderId="8" xfId="0" applyNumberFormat="1" applyFont="1" applyFill="1" applyBorder="1" applyAlignment="1">
      <alignment horizontal="center" vertical="center"/>
    </xf>
    <xf numFmtId="4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vertical="center"/>
    </xf>
    <xf numFmtId="3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8" xfId="0" applyNumberFormat="1" applyFont="1" applyFill="1" applyBorder="1" applyAlignment="1">
      <alignment horizontal="center" vertical="center"/>
    </xf>
    <xf numFmtId="0" fontId="0" fillId="14" borderId="8" xfId="0" applyFont="1" applyFill="1" applyBorder="1" applyAlignment="1">
      <alignment horizontal="center" vertical="center"/>
    </xf>
    <xf numFmtId="3" fontId="0" fillId="14" borderId="8" xfId="0" applyNumberFormat="1" applyFont="1" applyFill="1" applyBorder="1" applyAlignment="1">
      <alignment horizontal="center" vertical="center"/>
    </xf>
    <xf numFmtId="43" fontId="8" fillId="11" borderId="8" xfId="1" applyFont="1" applyFill="1" applyBorder="1" applyAlignment="1">
      <alignment horizontal="center" vertical="center" wrapText="1"/>
    </xf>
    <xf numFmtId="165" fontId="0" fillId="11" borderId="8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5" fontId="7" fillId="11" borderId="8" xfId="0" applyNumberFormat="1" applyFont="1" applyFill="1" applyBorder="1" applyAlignment="1">
      <alignment horizontal="center" vertical="center"/>
    </xf>
    <xf numFmtId="165" fontId="8" fillId="11" borderId="8" xfId="0" applyNumberFormat="1" applyFont="1" applyFill="1" applyBorder="1" applyAlignment="1">
      <alignment horizontal="center" vertical="center"/>
    </xf>
    <xf numFmtId="0" fontId="5" fillId="28" borderId="0" xfId="0" applyFont="1" applyFill="1" applyAlignment="1">
      <alignment horizontal="center" vertical="center" wrapText="1"/>
    </xf>
    <xf numFmtId="3" fontId="5" fillId="28" borderId="0" xfId="0" applyNumberFormat="1" applyFont="1" applyFill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41" fontId="0" fillId="8" borderId="8" xfId="0" applyNumberFormat="1" applyFont="1" applyFill="1" applyBorder="1" applyAlignment="1">
      <alignment horizontal="center" vertical="center"/>
    </xf>
    <xf numFmtId="41" fontId="8" fillId="8" borderId="8" xfId="0" applyNumberFormat="1" applyFont="1" applyFill="1" applyBorder="1" applyAlignment="1">
      <alignment horizontal="center" vertical="center"/>
    </xf>
    <xf numFmtId="9" fontId="0" fillId="8" borderId="8" xfId="2" applyFont="1" applyFill="1" applyBorder="1" applyAlignment="1">
      <alignment horizontal="center" vertical="center"/>
    </xf>
    <xf numFmtId="9" fontId="8" fillId="8" borderId="8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5" fontId="8" fillId="19" borderId="8" xfId="0" applyNumberFormat="1" applyFont="1" applyFill="1" applyBorder="1" applyAlignment="1">
      <alignment horizontal="center" vertical="center"/>
    </xf>
    <xf numFmtId="4" fontId="0" fillId="25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165" fontId="0" fillId="12" borderId="8" xfId="0" applyNumberFormat="1" applyFont="1" applyFill="1" applyBorder="1" applyAlignment="1">
      <alignment horizontal="center" vertical="center"/>
    </xf>
    <xf numFmtId="9" fontId="8" fillId="11" borderId="8" xfId="2" applyFont="1" applyFill="1" applyBorder="1" applyAlignment="1">
      <alignment horizontal="center" vertical="center" wrapText="1"/>
    </xf>
    <xf numFmtId="165" fontId="0" fillId="8" borderId="8" xfId="0" applyNumberFormat="1" applyFont="1" applyFill="1" applyBorder="1" applyAlignment="1">
      <alignment horizontal="center" vertical="center"/>
    </xf>
    <xf numFmtId="4" fontId="8" fillId="27" borderId="8" xfId="0" applyNumberFormat="1" applyFont="1" applyFill="1" applyBorder="1" applyAlignment="1">
      <alignment horizontal="center" vertical="center"/>
    </xf>
    <xf numFmtId="165" fontId="0" fillId="23" borderId="8" xfId="0" applyNumberFormat="1" applyFont="1" applyFill="1" applyBorder="1" applyAlignment="1">
      <alignment horizontal="center" vertical="center"/>
    </xf>
    <xf numFmtId="4" fontId="9" fillId="25" borderId="8" xfId="0" applyNumberFormat="1" applyFont="1" applyFill="1" applyBorder="1" applyAlignment="1">
      <alignment horizontal="center" vertical="center"/>
    </xf>
    <xf numFmtId="165" fontId="0" fillId="10" borderId="8" xfId="0" applyNumberFormat="1" applyFont="1" applyFill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65" fontId="0" fillId="24" borderId="8" xfId="0" applyNumberFormat="1" applyFont="1" applyFill="1" applyBorder="1" applyAlignment="1">
      <alignment horizontal="center" vertical="center"/>
    </xf>
    <xf numFmtId="43" fontId="8" fillId="25" borderId="8" xfId="1" applyFont="1" applyFill="1" applyBorder="1" applyAlignment="1">
      <alignment horizontal="center" vertical="center" wrapText="1"/>
    </xf>
    <xf numFmtId="0" fontId="8" fillId="22" borderId="8" xfId="5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/>
    </xf>
    <xf numFmtId="164" fontId="8" fillId="17" borderId="8" xfId="6" applyNumberFormat="1" applyFont="1" applyFill="1" applyBorder="1" applyAlignment="1">
      <alignment horizontal="center" vertical="center"/>
    </xf>
    <xf numFmtId="0" fontId="5" fillId="17" borderId="8" xfId="7" applyFont="1" applyFill="1" applyBorder="1" applyAlignment="1">
      <alignment horizontal="center" vertical="center" wrapText="1"/>
    </xf>
    <xf numFmtId="0" fontId="8" fillId="17" borderId="8" xfId="6" applyFont="1" applyFill="1" applyBorder="1" applyAlignment="1">
      <alignment horizontal="center" vertical="center" wrapText="1"/>
    </xf>
    <xf numFmtId="164" fontId="8" fillId="17" borderId="8" xfId="6" applyNumberFormat="1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9" fontId="0" fillId="0" borderId="0" xfId="2" applyFont="1" applyBorder="1" applyAlignment="1">
      <alignment horizontal="center" vertical="center"/>
    </xf>
    <xf numFmtId="0" fontId="8" fillId="9" borderId="1" xfId="8" applyFont="1" applyFill="1" applyBorder="1" applyAlignment="1">
      <alignment horizontal="center" vertical="center"/>
    </xf>
    <xf numFmtId="164" fontId="8" fillId="9" borderId="1" xfId="8" applyNumberFormat="1" applyFont="1" applyFill="1" applyBorder="1" applyAlignment="1">
      <alignment horizontal="center" vertical="center"/>
    </xf>
    <xf numFmtId="41" fontId="0" fillId="8" borderId="1" xfId="0" applyNumberFormat="1" applyFont="1" applyFill="1" applyBorder="1" applyAlignment="1">
      <alignment horizontal="center" vertical="center"/>
    </xf>
    <xf numFmtId="9" fontId="0" fillId="14" borderId="8" xfId="2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/>
    </xf>
    <xf numFmtId="0" fontId="8" fillId="17" borderId="1" xfId="3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/>
    </xf>
    <xf numFmtId="0" fontId="8" fillId="17" borderId="8" xfId="7" applyFont="1" applyFill="1" applyBorder="1" applyAlignment="1">
      <alignment horizontal="center" vertical="center" wrapText="1"/>
    </xf>
    <xf numFmtId="0" fontId="5" fillId="17" borderId="8" xfId="6" applyFont="1" applyFill="1" applyBorder="1" applyAlignment="1">
      <alignment horizontal="center" vertical="center" wrapText="1"/>
    </xf>
    <xf numFmtId="0" fontId="8" fillId="17" borderId="8" xfId="3" applyFont="1" applyFill="1" applyBorder="1" applyAlignment="1">
      <alignment horizontal="center" vertical="center"/>
    </xf>
    <xf numFmtId="14" fontId="0" fillId="32" borderId="8" xfId="0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/>
    </xf>
    <xf numFmtId="1" fontId="8" fillId="32" borderId="8" xfId="1" applyNumberFormat="1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69" fontId="9" fillId="8" borderId="8" xfId="1" applyNumberFormat="1" applyFont="1" applyFill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/>
    </xf>
    <xf numFmtId="164" fontId="8" fillId="8" borderId="8" xfId="0" applyNumberFormat="1" applyFont="1" applyFill="1" applyBorder="1" applyAlignment="1">
      <alignment horizontal="center" vertical="center"/>
    </xf>
    <xf numFmtId="1" fontId="9" fillId="8" borderId="8" xfId="1" applyNumberFormat="1" applyFont="1" applyFill="1" applyBorder="1" applyAlignment="1">
      <alignment horizontal="center" vertical="center"/>
    </xf>
    <xf numFmtId="1" fontId="0" fillId="32" borderId="8" xfId="0" applyNumberFormat="1" applyFont="1" applyFill="1" applyBorder="1" applyAlignment="1">
      <alignment horizontal="center" vertical="center"/>
    </xf>
    <xf numFmtId="164" fontId="0" fillId="32" borderId="8" xfId="1" applyNumberFormat="1" applyFont="1" applyFill="1" applyBorder="1" applyAlignment="1">
      <alignment horizontal="center" vertical="center"/>
    </xf>
    <xf numFmtId="9" fontId="0" fillId="11" borderId="1" xfId="2" applyFont="1" applyFill="1" applyBorder="1" applyAlignment="1">
      <alignment horizontal="center" vertical="center"/>
    </xf>
    <xf numFmtId="9" fontId="0" fillId="11" borderId="8" xfId="2" applyFont="1" applyFill="1" applyBorder="1" applyAlignment="1">
      <alignment horizontal="center" vertical="center"/>
    </xf>
    <xf numFmtId="10" fontId="0" fillId="29" borderId="8" xfId="2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41" fontId="0" fillId="8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0" fontId="0" fillId="24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0" fontId="5" fillId="0" borderId="0" xfId="1" applyNumberFormat="1" applyFont="1" applyAlignment="1">
      <alignment horizontal="right" vertical="center"/>
    </xf>
    <xf numFmtId="41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18" fillId="13" borderId="0" xfId="0" applyFont="1" applyFill="1" applyAlignment="1">
      <alignment horizontal="center" vertical="center"/>
    </xf>
    <xf numFmtId="0" fontId="5" fillId="8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5" fillId="9" borderId="1" xfId="3" applyFont="1" applyFill="1" applyBorder="1" applyAlignment="1">
      <alignment horizontal="center" vertical="center" wrapText="1"/>
    </xf>
    <xf numFmtId="43" fontId="5" fillId="17" borderId="1" xfId="3" applyNumberFormat="1" applyFont="1" applyFill="1" applyBorder="1" applyAlignment="1">
      <alignment horizontal="center" vertical="center" wrapText="1"/>
    </xf>
    <xf numFmtId="0" fontId="8" fillId="2" borderId="1" xfId="3" applyFont="1" applyBorder="1" applyAlignment="1">
      <alignment horizontal="center" vertical="center" wrapText="1"/>
    </xf>
    <xf numFmtId="43" fontId="8" fillId="2" borderId="1" xfId="3" applyNumberFormat="1" applyFont="1" applyBorder="1" applyAlignment="1">
      <alignment horizontal="center" vertical="center" wrapText="1"/>
    </xf>
    <xf numFmtId="43" fontId="8" fillId="2" borderId="8" xfId="3" applyNumberFormat="1" applyFont="1" applyBorder="1" applyAlignment="1">
      <alignment horizontal="center" vertical="center" wrapText="1"/>
    </xf>
    <xf numFmtId="0" fontId="8" fillId="2" borderId="8" xfId="3" applyFont="1" applyBorder="1" applyAlignment="1">
      <alignment horizontal="center" vertical="center" wrapText="1"/>
    </xf>
    <xf numFmtId="14" fontId="8" fillId="17" borderId="1" xfId="7" applyNumberFormat="1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/>
    </xf>
    <xf numFmtId="164" fontId="8" fillId="9" borderId="1" xfId="6" applyNumberFormat="1" applyFont="1" applyFill="1" applyBorder="1" applyAlignment="1">
      <alignment horizontal="center" vertical="center"/>
    </xf>
    <xf numFmtId="14" fontId="8" fillId="2" borderId="1" xfId="3" applyNumberFormat="1" applyFont="1" applyBorder="1" applyAlignment="1">
      <alignment horizontal="center" vertical="center" wrapText="1"/>
    </xf>
    <xf numFmtId="0" fontId="8" fillId="17" borderId="1" xfId="7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 wrapText="1"/>
    </xf>
    <xf numFmtId="0" fontId="8" fillId="17" borderId="8" xfId="7" applyFont="1" applyFill="1" applyBorder="1" applyAlignment="1">
      <alignment horizontal="center" vertical="center"/>
    </xf>
    <xf numFmtId="164" fontId="8" fillId="9" borderId="8" xfId="6" applyNumberFormat="1" applyFont="1" applyFill="1" applyBorder="1" applyAlignment="1">
      <alignment horizontal="center" vertical="center"/>
    </xf>
    <xf numFmtId="0" fontId="8" fillId="9" borderId="8" xfId="8" applyFont="1" applyFill="1" applyBorder="1" applyAlignment="1">
      <alignment horizontal="center" vertical="center"/>
    </xf>
    <xf numFmtId="164" fontId="8" fillId="9" borderId="8" xfId="8" applyNumberFormat="1" applyFont="1" applyFill="1" applyBorder="1" applyAlignment="1">
      <alignment horizontal="center" vertical="center"/>
    </xf>
    <xf numFmtId="0" fontId="8" fillId="8" borderId="0" xfId="4" applyFont="1" applyFill="1" applyBorder="1" applyAlignment="1">
      <alignment horizontal="center"/>
    </xf>
    <xf numFmtId="164" fontId="8" fillId="8" borderId="0" xfId="5" applyNumberFormat="1" applyFont="1" applyFill="1" applyBorder="1" applyAlignment="1">
      <alignment horizontal="center"/>
    </xf>
    <xf numFmtId="0" fontId="8" fillId="8" borderId="0" xfId="7" applyFont="1" applyFill="1" applyBorder="1" applyAlignment="1">
      <alignment horizontal="center"/>
    </xf>
    <xf numFmtId="164" fontId="8" fillId="8" borderId="0" xfId="7" applyNumberFormat="1" applyFont="1" applyFill="1" applyBorder="1" applyAlignment="1">
      <alignment horizontal="center"/>
    </xf>
    <xf numFmtId="164" fontId="8" fillId="8" borderId="0" xfId="6" applyNumberFormat="1" applyFont="1" applyFill="1" applyBorder="1" applyAlignment="1">
      <alignment horizontal="center"/>
    </xf>
    <xf numFmtId="164" fontId="8" fillId="8" borderId="0" xfId="8" applyNumberFormat="1" applyFont="1" applyFill="1" applyBorder="1" applyAlignment="1">
      <alignment horizontal="center"/>
    </xf>
    <xf numFmtId="0" fontId="8" fillId="8" borderId="0" xfId="3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7" fontId="5" fillId="0" borderId="0" xfId="0" applyNumberFormat="1" applyFont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 wrapText="1"/>
    </xf>
    <xf numFmtId="41" fontId="0" fillId="14" borderId="8" xfId="0" applyNumberFormat="1" applyFont="1" applyFill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 wrapText="1"/>
    </xf>
    <xf numFmtId="164" fontId="9" fillId="8" borderId="8" xfId="1" applyNumberFormat="1" applyFont="1" applyFill="1" applyBorder="1" applyAlignment="1">
      <alignment horizontal="center" vertical="center"/>
    </xf>
    <xf numFmtId="164" fontId="0" fillId="8" borderId="8" xfId="2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 wrapText="1"/>
    </xf>
    <xf numFmtId="14" fontId="0" fillId="8" borderId="8" xfId="2" applyNumberFormat="1" applyFont="1" applyFill="1" applyBorder="1" applyAlignment="1">
      <alignment horizontal="center" vertical="center"/>
    </xf>
    <xf numFmtId="14" fontId="8" fillId="8" borderId="8" xfId="0" applyNumberFormat="1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 wrapText="1"/>
    </xf>
    <xf numFmtId="1" fontId="0" fillId="8" borderId="8" xfId="0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9" fontId="0" fillId="14" borderId="1" xfId="2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 wrapText="1"/>
    </xf>
    <xf numFmtId="0" fontId="5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/>
    </xf>
    <xf numFmtId="14" fontId="8" fillId="38" borderId="8" xfId="7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9" fontId="0" fillId="9" borderId="8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3" fontId="8" fillId="9" borderId="8" xfId="0" applyNumberFormat="1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 wrapText="1"/>
    </xf>
    <xf numFmtId="9" fontId="0" fillId="9" borderId="8" xfId="2" applyFont="1" applyFill="1" applyBorder="1" applyAlignment="1">
      <alignment horizontal="center" vertical="center" wrapText="1"/>
    </xf>
    <xf numFmtId="3" fontId="8" fillId="9" borderId="8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0" xfId="3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0" xfId="0" applyFont="1" applyFill="1" applyAlignment="1">
      <alignment horizontal="center"/>
    </xf>
    <xf numFmtId="0" fontId="8" fillId="9" borderId="0" xfId="0" applyFont="1" applyFill="1" applyAlignment="1">
      <alignment horizontal="center" vertical="center"/>
    </xf>
    <xf numFmtId="44" fontId="8" fillId="9" borderId="0" xfId="0" applyNumberFormat="1" applyFont="1" applyFill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4" fontId="9" fillId="25" borderId="1" xfId="0" applyNumberFormat="1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3" fontId="0" fillId="32" borderId="8" xfId="0" applyNumberFormat="1" applyFont="1" applyFill="1" applyBorder="1" applyAlignment="1">
      <alignment horizontal="center" vertical="center"/>
    </xf>
    <xf numFmtId="3" fontId="8" fillId="8" borderId="8" xfId="1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 wrapText="1"/>
    </xf>
    <xf numFmtId="164" fontId="8" fillId="33" borderId="8" xfId="1" applyNumberFormat="1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 wrapText="1"/>
    </xf>
    <xf numFmtId="14" fontId="0" fillId="33" borderId="8" xfId="2" applyNumberFormat="1" applyFont="1" applyFill="1" applyBorder="1" applyAlignment="1">
      <alignment horizontal="center" vertical="center"/>
    </xf>
    <xf numFmtId="14" fontId="8" fillId="33" borderId="8" xfId="0" applyNumberFormat="1" applyFont="1" applyFill="1" applyBorder="1" applyAlignment="1">
      <alignment horizontal="center" vertical="center"/>
    </xf>
    <xf numFmtId="1" fontId="8" fillId="33" borderId="8" xfId="1" applyNumberFormat="1" applyFont="1" applyFill="1" applyBorder="1" applyAlignment="1">
      <alignment horizontal="center" vertical="center"/>
    </xf>
    <xf numFmtId="1" fontId="19" fillId="8" borderId="8" xfId="1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horizontal="center" vertical="center"/>
    </xf>
    <xf numFmtId="1" fontId="1" fillId="33" borderId="8" xfId="1" applyNumberFormat="1" applyFont="1" applyFill="1" applyBorder="1" applyAlignment="1">
      <alignment horizontal="center" vertical="center"/>
    </xf>
    <xf numFmtId="1" fontId="0" fillId="33" borderId="8" xfId="0" applyNumberFormat="1" applyFont="1" applyFill="1" applyBorder="1" applyAlignment="1">
      <alignment horizontal="center" vertical="center"/>
    </xf>
    <xf numFmtId="3" fontId="19" fillId="8" borderId="8" xfId="0" applyNumberFormat="1" applyFont="1" applyFill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14" fontId="8" fillId="2" borderId="8" xfId="3" applyNumberFormat="1" applyFont="1" applyBorder="1" applyAlignment="1">
      <alignment horizontal="center" vertical="center" wrapText="1"/>
    </xf>
    <xf numFmtId="4" fontId="0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" fontId="8" fillId="32" borderId="8" xfId="0" applyNumberFormat="1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 wrapText="1"/>
    </xf>
    <xf numFmtId="14" fontId="9" fillId="2" borderId="8" xfId="3" applyNumberFormat="1" applyFont="1" applyBorder="1" applyAlignment="1">
      <alignment horizontal="center" vertical="center" wrapText="1"/>
    </xf>
    <xf numFmtId="0" fontId="8" fillId="14" borderId="8" xfId="0" applyFont="1" applyFill="1" applyBorder="1" applyAlignment="1">
      <alignment horizontal="center" vertical="center"/>
    </xf>
    <xf numFmtId="164" fontId="8" fillId="22" borderId="8" xfId="5" applyNumberFormat="1" applyFont="1" applyFill="1" applyBorder="1" applyAlignment="1">
      <alignment horizontal="center" vertical="center"/>
    </xf>
    <xf numFmtId="4" fontId="0" fillId="27" borderId="8" xfId="0" applyNumberFormat="1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9" fillId="8" borderId="8" xfId="0" applyNumberFormat="1" applyFont="1" applyFill="1" applyBorder="1" applyAlignment="1">
      <alignment horizontal="center" vertical="center"/>
    </xf>
    <xf numFmtId="170" fontId="9" fillId="0" borderId="8" xfId="0" applyNumberFormat="1" applyFont="1" applyBorder="1" applyAlignment="1">
      <alignment horizontal="center" vertical="center" wrapText="1"/>
    </xf>
    <xf numFmtId="0" fontId="0" fillId="29" borderId="8" xfId="0" applyFont="1" applyFill="1" applyBorder="1" applyAlignment="1">
      <alignment horizontal="center" vertical="center"/>
    </xf>
    <xf numFmtId="0" fontId="21" fillId="29" borderId="11" xfId="12" applyFont="1" applyFill="1" applyBorder="1"/>
    <xf numFmtId="0" fontId="21" fillId="29" borderId="11" xfId="9" applyFont="1" applyFill="1" applyBorder="1"/>
    <xf numFmtId="14" fontId="8" fillId="39" borderId="8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0" fontId="0" fillId="34" borderId="8" xfId="0" applyFont="1" applyFill="1" applyBorder="1" applyAlignment="1">
      <alignment horizontal="center" vertical="center"/>
    </xf>
    <xf numFmtId="169" fontId="9" fillId="0" borderId="8" xfId="0" applyNumberFormat="1" applyFont="1" applyBorder="1" applyAlignment="1">
      <alignment horizontal="center" vertical="center"/>
    </xf>
    <xf numFmtId="3" fontId="0" fillId="40" borderId="8" xfId="0" applyNumberFormat="1" applyFont="1" applyFill="1" applyBorder="1" applyAlignment="1">
      <alignment horizontal="center" vertical="center"/>
    </xf>
    <xf numFmtId="0" fontId="5" fillId="41" borderId="8" xfId="0" applyFont="1" applyFill="1" applyBorder="1" applyAlignment="1">
      <alignment horizontal="center" vertical="center" wrapText="1"/>
    </xf>
    <xf numFmtId="164" fontId="0" fillId="41" borderId="8" xfId="0" applyNumberFormat="1" applyFont="1" applyFill="1" applyBorder="1" applyAlignment="1">
      <alignment horizontal="center" vertical="center"/>
    </xf>
    <xf numFmtId="3" fontId="0" fillId="41" borderId="8" xfId="0" applyNumberFormat="1" applyFont="1" applyFill="1" applyBorder="1" applyAlignment="1">
      <alignment horizontal="center" vertical="center"/>
    </xf>
    <xf numFmtId="14" fontId="0" fillId="41" borderId="8" xfId="0" applyNumberFormat="1" applyFont="1" applyFill="1" applyBorder="1" applyAlignment="1">
      <alignment horizontal="center" vertical="center"/>
    </xf>
    <xf numFmtId="0" fontId="0" fillId="40" borderId="8" xfId="0" applyFont="1" applyFill="1" applyBorder="1" applyAlignment="1">
      <alignment horizontal="center" vertical="center"/>
    </xf>
    <xf numFmtId="164" fontId="9" fillId="8" borderId="8" xfId="0" applyNumberFormat="1" applyFont="1" applyFill="1" applyBorder="1" applyAlignment="1">
      <alignment horizontal="center" vertical="center"/>
    </xf>
    <xf numFmtId="3" fontId="9" fillId="41" borderId="8" xfId="0" applyNumberFormat="1" applyFont="1" applyFill="1" applyBorder="1" applyAlignment="1">
      <alignment horizontal="center" vertical="center"/>
    </xf>
    <xf numFmtId="0" fontId="6" fillId="34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3" fontId="6" fillId="34" borderId="8" xfId="0" applyNumberFormat="1" applyFont="1" applyFill="1" applyBorder="1" applyAlignment="1">
      <alignment horizontal="center" vertical="center"/>
    </xf>
    <xf numFmtId="3" fontId="8" fillId="41" borderId="8" xfId="0" applyNumberFormat="1" applyFont="1" applyFill="1" applyBorder="1" applyAlignment="1">
      <alignment horizontal="center" vertical="center"/>
    </xf>
    <xf numFmtId="0" fontId="8" fillId="16" borderId="8" xfId="5" applyFont="1" applyFill="1" applyBorder="1" applyAlignment="1">
      <alignment horizontal="center" vertical="center"/>
    </xf>
    <xf numFmtId="165" fontId="8" fillId="10" borderId="8" xfId="0" applyNumberFormat="1" applyFont="1" applyFill="1" applyBorder="1" applyAlignment="1">
      <alignment horizontal="center" vertical="center"/>
    </xf>
    <xf numFmtId="14" fontId="8" fillId="10" borderId="8" xfId="0" applyNumberFormat="1" applyFont="1" applyFill="1" applyBorder="1" applyAlignment="1">
      <alignment horizontal="center" vertical="center"/>
    </xf>
    <xf numFmtId="164" fontId="8" fillId="42" borderId="8" xfId="6" applyNumberFormat="1" applyFont="1" applyFill="1" applyBorder="1" applyAlignment="1">
      <alignment horizontal="center" vertical="center"/>
    </xf>
    <xf numFmtId="164" fontId="8" fillId="42" borderId="8" xfId="7" applyNumberFormat="1" applyFont="1" applyFill="1" applyBorder="1" applyAlignment="1">
      <alignment horizontal="center" vertical="center"/>
    </xf>
    <xf numFmtId="0" fontId="0" fillId="33" borderId="8" xfId="0" applyFont="1" applyFill="1" applyBorder="1" applyAlignment="1">
      <alignment horizontal="center" vertical="center"/>
    </xf>
    <xf numFmtId="14" fontId="0" fillId="33" borderId="8" xfId="2" applyNumberFormat="1" applyFont="1" applyFill="1" applyBorder="1" applyAlignment="1">
      <alignment horizontal="center" vertical="center" wrapText="1"/>
    </xf>
    <xf numFmtId="165" fontId="8" fillId="12" borderId="8" xfId="0" applyNumberFormat="1" applyFont="1" applyFill="1" applyBorder="1" applyAlignment="1">
      <alignment horizontal="center" vertical="center"/>
    </xf>
    <xf numFmtId="0" fontId="6" fillId="41" borderId="8" xfId="0" applyFont="1" applyFill="1" applyBorder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64" fontId="5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/>
    </xf>
    <xf numFmtId="0" fontId="0" fillId="41" borderId="8" xfId="0" applyFont="1" applyFill="1" applyBorder="1" applyAlignment="1">
      <alignment horizontal="center" vertical="center"/>
    </xf>
    <xf numFmtId="0" fontId="13" fillId="41" borderId="8" xfId="0" applyFont="1" applyFill="1" applyBorder="1" applyAlignment="1">
      <alignment horizontal="center" vertical="center"/>
    </xf>
    <xf numFmtId="0" fontId="6" fillId="44" borderId="0" xfId="0" applyFont="1" applyFill="1" applyAlignment="1">
      <alignment horizontal="center" vertical="center"/>
    </xf>
    <xf numFmtId="9" fontId="8" fillId="10" borderId="8" xfId="2" applyFont="1" applyFill="1" applyBorder="1" applyAlignment="1">
      <alignment horizontal="center" vertical="center" wrapText="1"/>
    </xf>
    <xf numFmtId="0" fontId="8" fillId="9" borderId="8" xfId="3" applyFont="1" applyFill="1" applyBorder="1" applyAlignment="1">
      <alignment horizontal="center" vertical="center" wrapText="1"/>
    </xf>
    <xf numFmtId="0" fontId="8" fillId="9" borderId="8" xfId="8" applyFont="1" applyFill="1" applyBorder="1" applyAlignment="1">
      <alignment horizontal="center" vertical="center" wrapText="1"/>
    </xf>
    <xf numFmtId="164" fontId="8" fillId="9" borderId="8" xfId="8" applyNumberFormat="1" applyFont="1" applyFill="1" applyBorder="1" applyAlignment="1">
      <alignment horizontal="center" vertical="center" wrapText="1"/>
    </xf>
    <xf numFmtId="14" fontId="8" fillId="33" borderId="1" xfId="3" applyNumberFormat="1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3" fontId="6" fillId="9" borderId="8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9" fontId="6" fillId="0" borderId="0" xfId="2" applyFont="1" applyAlignment="1">
      <alignment horizontal="center" vertical="center" wrapText="1"/>
    </xf>
    <xf numFmtId="0" fontId="6" fillId="32" borderId="8" xfId="0" applyFont="1" applyFill="1" applyBorder="1" applyAlignment="1">
      <alignment horizontal="center" vertical="center"/>
    </xf>
    <xf numFmtId="3" fontId="8" fillId="32" borderId="8" xfId="0" applyNumberFormat="1" applyFont="1" applyFill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/>
    </xf>
    <xf numFmtId="14" fontId="8" fillId="32" borderId="8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1" fontId="5" fillId="8" borderId="1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 wrapText="1"/>
    </xf>
    <xf numFmtId="3" fontId="6" fillId="32" borderId="8" xfId="0" applyNumberFormat="1" applyFont="1" applyFill="1" applyBorder="1" applyAlignment="1">
      <alignment horizontal="center" vertical="center"/>
    </xf>
    <xf numFmtId="0" fontId="5" fillId="32" borderId="8" xfId="0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/>
    </xf>
    <xf numFmtId="0" fontId="8" fillId="33" borderId="8" xfId="0" applyFont="1" applyFill="1" applyBorder="1" applyAlignment="1">
      <alignment horizontal="center" vertical="center"/>
    </xf>
    <xf numFmtId="1" fontId="8" fillId="33" borderId="8" xfId="0" applyNumberFormat="1" applyFont="1" applyFill="1" applyBorder="1" applyAlignment="1">
      <alignment horizontal="center" vertical="center"/>
    </xf>
    <xf numFmtId="3" fontId="8" fillId="33" borderId="8" xfId="0" applyNumberFormat="1" applyFont="1" applyFill="1" applyBorder="1" applyAlignment="1">
      <alignment horizontal="center" vertical="center"/>
    </xf>
    <xf numFmtId="14" fontId="9" fillId="33" borderId="8" xfId="0" applyNumberFormat="1" applyFont="1" applyFill="1" applyBorder="1" applyAlignment="1">
      <alignment horizontal="center" vertical="center"/>
    </xf>
    <xf numFmtId="0" fontId="6" fillId="33" borderId="8" xfId="0" applyFont="1" applyFill="1" applyBorder="1" applyAlignment="1">
      <alignment horizontal="center" vertical="center"/>
    </xf>
    <xf numFmtId="164" fontId="9" fillId="33" borderId="8" xfId="0" applyNumberFormat="1" applyFont="1" applyFill="1" applyBorder="1" applyAlignment="1">
      <alignment horizontal="center" vertical="center"/>
    </xf>
    <xf numFmtId="3" fontId="9" fillId="33" borderId="8" xfId="0" applyNumberFormat="1" applyFont="1" applyFill="1" applyBorder="1" applyAlignment="1">
      <alignment horizontal="center" vertical="center"/>
    </xf>
    <xf numFmtId="3" fontId="0" fillId="33" borderId="8" xfId="0" applyNumberFormat="1" applyFont="1" applyFill="1" applyBorder="1" applyAlignment="1">
      <alignment horizontal="center" vertical="center"/>
    </xf>
    <xf numFmtId="3" fontId="6" fillId="33" borderId="8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14" fontId="8" fillId="33" borderId="8" xfId="3" applyNumberFormat="1" applyFont="1" applyFill="1" applyBorder="1" applyAlignment="1">
      <alignment horizontal="center" vertical="center" wrapText="1"/>
    </xf>
    <xf numFmtId="0" fontId="0" fillId="32" borderId="13" xfId="0" applyNumberFormat="1" applyFont="1" applyFill="1" applyBorder="1" applyAlignment="1">
      <alignment horizontal="center" vertical="center"/>
    </xf>
    <xf numFmtId="0" fontId="1" fillId="33" borderId="13" xfId="1" applyNumberFormat="1" applyFont="1" applyFill="1" applyBorder="1" applyAlignment="1">
      <alignment horizontal="center" vertical="center"/>
    </xf>
    <xf numFmtId="0" fontId="8" fillId="32" borderId="13" xfId="1" applyNumberFormat="1" applyFont="1" applyFill="1" applyBorder="1" applyAlignment="1">
      <alignment horizontal="center" vertical="center"/>
    </xf>
    <xf numFmtId="0" fontId="19" fillId="8" borderId="13" xfId="0" applyNumberFormat="1" applyFont="1" applyFill="1" applyBorder="1" applyAlignment="1">
      <alignment horizontal="center" vertical="center"/>
    </xf>
    <xf numFmtId="0" fontId="19" fillId="8" borderId="13" xfId="2" applyNumberFormat="1" applyFont="1" applyFill="1" applyBorder="1" applyAlignment="1">
      <alignment horizontal="center" vertical="center"/>
    </xf>
    <xf numFmtId="0" fontId="17" fillId="8" borderId="13" xfId="1" applyNumberFormat="1" applyFont="1" applyFill="1" applyBorder="1" applyAlignment="1">
      <alignment horizontal="center" vertical="center"/>
    </xf>
    <xf numFmtId="164" fontId="8" fillId="33" borderId="15" xfId="1" applyNumberFormat="1" applyFont="1" applyFill="1" applyBorder="1" applyAlignment="1">
      <alignment horizontal="center" vertical="center"/>
    </xf>
    <xf numFmtId="164" fontId="0" fillId="32" borderId="15" xfId="0" applyNumberFormat="1" applyFont="1" applyFill="1" applyBorder="1" applyAlignment="1">
      <alignment horizontal="center" vertical="center"/>
    </xf>
    <xf numFmtId="164" fontId="8" fillId="32" borderId="15" xfId="1" applyNumberFormat="1" applyFont="1" applyFill="1" applyBorder="1" applyAlignment="1">
      <alignment horizontal="center" vertical="center"/>
    </xf>
    <xf numFmtId="164" fontId="8" fillId="33" borderId="15" xfId="0" applyNumberFormat="1" applyFont="1" applyFill="1" applyBorder="1" applyAlignment="1">
      <alignment horizontal="center" vertical="center"/>
    </xf>
    <xf numFmtId="164" fontId="0" fillId="32" borderId="15" xfId="1" applyNumberFormat="1" applyFont="1" applyFill="1" applyBorder="1" applyAlignment="1">
      <alignment horizontal="center" vertical="center"/>
    </xf>
    <xf numFmtId="169" fontId="9" fillId="8" borderId="15" xfId="1" applyNumberFormat="1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164" fontId="8" fillId="14" borderId="8" xfId="7" applyNumberFormat="1" applyFont="1" applyFill="1" applyBorder="1" applyAlignment="1">
      <alignment horizontal="center" vertical="center"/>
    </xf>
    <xf numFmtId="0" fontId="8" fillId="33" borderId="13" xfId="0" applyNumberFormat="1" applyFont="1" applyFill="1" applyBorder="1" applyAlignment="1">
      <alignment horizontal="center" vertical="center"/>
    </xf>
    <xf numFmtId="0" fontId="6" fillId="29" borderId="5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 wrapText="1"/>
    </xf>
    <xf numFmtId="0" fontId="6" fillId="29" borderId="10" xfId="0" applyFont="1" applyFill="1" applyBorder="1" applyAlignment="1">
      <alignment horizontal="center" vertical="center"/>
    </xf>
    <xf numFmtId="41" fontId="6" fillId="29" borderId="2" xfId="0" applyNumberFormat="1" applyFont="1" applyFill="1" applyBorder="1" applyAlignment="1">
      <alignment horizontal="center" vertical="center"/>
    </xf>
    <xf numFmtId="0" fontId="6" fillId="29" borderId="6" xfId="0" applyFont="1" applyFill="1" applyBorder="1" applyAlignment="1">
      <alignment horizontal="center" vertical="center"/>
    </xf>
    <xf numFmtId="41" fontId="0" fillId="29" borderId="9" xfId="0" applyNumberFormat="1" applyFont="1" applyFill="1" applyBorder="1" applyAlignment="1"/>
    <xf numFmtId="41" fontId="0" fillId="29" borderId="6" xfId="0" applyNumberFormat="1" applyFont="1" applyFill="1" applyBorder="1" applyAlignment="1"/>
    <xf numFmtId="0" fontId="0" fillId="0" borderId="17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9" fontId="0" fillId="0" borderId="18" xfId="2" applyFont="1" applyBorder="1" applyAlignment="1">
      <alignment horizontal="center" vertical="center"/>
    </xf>
    <xf numFmtId="9" fontId="0" fillId="0" borderId="22" xfId="2" applyFont="1" applyBorder="1" applyAlignment="1">
      <alignment horizontal="center" vertical="center"/>
    </xf>
    <xf numFmtId="9" fontId="0" fillId="0" borderId="20" xfId="2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9" fontId="6" fillId="0" borderId="24" xfId="0" applyNumberFormat="1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9" fontId="6" fillId="0" borderId="24" xfId="2" applyFont="1" applyBorder="1" applyAlignment="1">
      <alignment horizontal="center" vertical="center"/>
    </xf>
    <xf numFmtId="164" fontId="8" fillId="14" borderId="8" xfId="6" applyNumberFormat="1" applyFont="1" applyFill="1" applyBorder="1" applyAlignment="1">
      <alignment horizontal="center" vertical="center" wrapText="1"/>
    </xf>
    <xf numFmtId="164" fontId="8" fillId="14" borderId="8" xfId="6" applyNumberFormat="1" applyFont="1" applyFill="1" applyBorder="1" applyAlignment="1">
      <alignment horizontal="center" vertical="center"/>
    </xf>
    <xf numFmtId="9" fontId="6" fillId="0" borderId="26" xfId="2" applyFont="1" applyBorder="1" applyAlignment="1">
      <alignment horizontal="center" vertical="center"/>
    </xf>
    <xf numFmtId="9" fontId="6" fillId="0" borderId="24" xfId="0" applyNumberFormat="1" applyFont="1" applyBorder="1" applyAlignment="1">
      <alignment horizontal="center" vertical="center" wrapText="1"/>
    </xf>
    <xf numFmtId="9" fontId="6" fillId="0" borderId="24" xfId="2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4" fontId="8" fillId="39" borderId="8" xfId="3" applyNumberFormat="1" applyFont="1" applyFill="1" applyBorder="1" applyAlignment="1">
      <alignment horizontal="center" vertical="center" wrapText="1"/>
    </xf>
    <xf numFmtId="3" fontId="9" fillId="8" borderId="8" xfId="0" applyNumberFormat="1" applyFont="1" applyFill="1" applyBorder="1" applyAlignment="1">
      <alignment horizontal="center" vertical="center"/>
    </xf>
    <xf numFmtId="3" fontId="6" fillId="8" borderId="8" xfId="0" applyNumberFormat="1" applyFont="1" applyFill="1" applyBorder="1" applyAlignment="1">
      <alignment horizontal="center" vertical="center"/>
    </xf>
    <xf numFmtId="165" fontId="0" fillId="14" borderId="8" xfId="0" applyNumberFormat="1" applyFont="1" applyFill="1" applyBorder="1" applyAlignment="1">
      <alignment horizontal="center" vertical="center"/>
    </xf>
    <xf numFmtId="165" fontId="0" fillId="14" borderId="1" xfId="0" applyNumberFormat="1" applyFont="1" applyFill="1" applyBorder="1" applyAlignment="1">
      <alignment horizontal="center" vertical="center"/>
    </xf>
    <xf numFmtId="9" fontId="8" fillId="14" borderId="1" xfId="2" applyFont="1" applyFill="1" applyBorder="1" applyAlignment="1">
      <alignment horizontal="center" vertical="center" wrapText="1"/>
    </xf>
    <xf numFmtId="165" fontId="8" fillId="14" borderId="8" xfId="0" applyNumberFormat="1" applyFont="1" applyFill="1" applyBorder="1" applyAlignment="1">
      <alignment horizontal="center" vertical="center"/>
    </xf>
    <xf numFmtId="4" fontId="8" fillId="14" borderId="8" xfId="0" applyNumberFormat="1" applyFont="1" applyFill="1" applyBorder="1" applyAlignment="1">
      <alignment horizontal="center" vertical="center"/>
    </xf>
    <xf numFmtId="43" fontId="8" fillId="14" borderId="1" xfId="1" applyFont="1" applyFill="1" applyBorder="1" applyAlignment="1">
      <alignment horizontal="center" vertical="center" wrapText="1"/>
    </xf>
    <xf numFmtId="9" fontId="8" fillId="14" borderId="8" xfId="2" applyFont="1" applyFill="1" applyBorder="1" applyAlignment="1">
      <alignment horizontal="center" vertical="center" wrapText="1"/>
    </xf>
    <xf numFmtId="43" fontId="8" fillId="14" borderId="8" xfId="1" applyFont="1" applyFill="1" applyBorder="1" applyAlignment="1">
      <alignment horizontal="center" vertical="center" wrapText="1"/>
    </xf>
    <xf numFmtId="0" fontId="6" fillId="44" borderId="8" xfId="0" applyFont="1" applyFill="1" applyBorder="1" applyAlignment="1">
      <alignment horizontal="center" vertical="center" wrapText="1"/>
    </xf>
    <xf numFmtId="164" fontId="8" fillId="14" borderId="8" xfId="7" applyNumberFormat="1" applyFont="1" applyFill="1" applyBorder="1" applyAlignment="1">
      <alignment horizontal="center" vertical="center" wrapText="1"/>
    </xf>
    <xf numFmtId="0" fontId="24" fillId="45" borderId="14" xfId="0" applyFont="1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 wrapText="1"/>
    </xf>
    <xf numFmtId="4" fontId="0" fillId="25" borderId="8" xfId="0" applyNumberFormat="1" applyFont="1" applyFill="1" applyBorder="1" applyAlignment="1">
      <alignment horizontal="center" vertical="center"/>
    </xf>
    <xf numFmtId="164" fontId="9" fillId="8" borderId="15" xfId="1" applyNumberFormat="1" applyFont="1" applyFill="1" applyBorder="1" applyAlignment="1">
      <alignment horizontal="center" vertical="center"/>
    </xf>
    <xf numFmtId="43" fontId="8" fillId="17" borderId="8" xfId="3" applyNumberFormat="1" applyFont="1" applyFill="1" applyBorder="1" applyAlignment="1">
      <alignment horizontal="center" vertical="center" wrapText="1"/>
    </xf>
    <xf numFmtId="43" fontId="8" fillId="10" borderId="8" xfId="1" applyFont="1" applyFill="1" applyBorder="1" applyAlignment="1">
      <alignment horizontal="center" vertical="center" wrapText="1"/>
    </xf>
    <xf numFmtId="170" fontId="8" fillId="32" borderId="8" xfId="0" applyNumberFormat="1" applyFont="1" applyFill="1" applyBorder="1" applyAlignment="1">
      <alignment horizontal="center" vertical="center"/>
    </xf>
    <xf numFmtId="14" fontId="8" fillId="32" borderId="8" xfId="3" applyNumberFormat="1" applyFont="1" applyFill="1" applyBorder="1" applyAlignment="1">
      <alignment horizontal="center" vertical="center" wrapText="1"/>
    </xf>
    <xf numFmtId="164" fontId="8" fillId="22" borderId="1" xfId="5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 wrapText="1"/>
    </xf>
    <xf numFmtId="14" fontId="8" fillId="8" borderId="8" xfId="0" applyNumberFormat="1" applyFont="1" applyFill="1" applyBorder="1" applyAlignment="1">
      <alignment horizontal="center" vertical="center" wrapText="1"/>
    </xf>
    <xf numFmtId="4" fontId="8" fillId="25" borderId="8" xfId="0" applyNumberFormat="1" applyFont="1" applyFill="1" applyBorder="1" applyAlignment="1">
      <alignment horizontal="center" vertical="center"/>
    </xf>
    <xf numFmtId="165" fontId="8" fillId="23" borderId="8" xfId="0" applyNumberFormat="1" applyFont="1" applyFill="1" applyBorder="1" applyAlignment="1">
      <alignment horizontal="center" vertical="center"/>
    </xf>
    <xf numFmtId="164" fontId="9" fillId="8" borderId="13" xfId="1" applyNumberFormat="1" applyFont="1" applyFill="1" applyBorder="1" applyAlignment="1">
      <alignment horizontal="center" vertical="center"/>
    </xf>
    <xf numFmtId="0" fontId="8" fillId="9" borderId="1" xfId="3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9" fontId="8" fillId="9" borderId="1" xfId="2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4" fontId="8" fillId="8" borderId="1" xfId="0" applyNumberFormat="1" applyFont="1" applyFill="1" applyBorder="1" applyAlignment="1">
      <alignment horizontal="center" vertical="center"/>
    </xf>
    <xf numFmtId="4" fontId="8" fillId="25" borderId="1" xfId="0" applyNumberFormat="1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 wrapText="1"/>
    </xf>
    <xf numFmtId="0" fontId="8" fillId="4" borderId="1" xfId="5" applyFont="1" applyBorder="1" applyAlignment="1">
      <alignment horizontal="center" vertical="center" wrapText="1"/>
    </xf>
    <xf numFmtId="0" fontId="8" fillId="16" borderId="1" xfId="5" applyFont="1" applyFill="1" applyBorder="1" applyAlignment="1">
      <alignment horizontal="center" vertical="center"/>
    </xf>
    <xf numFmtId="14" fontId="8" fillId="17" borderId="1" xfId="7" applyNumberFormat="1" applyFont="1" applyFill="1" applyBorder="1" applyAlignment="1">
      <alignment horizontal="center" vertical="center" wrapText="1"/>
    </xf>
    <xf numFmtId="0" fontId="5" fillId="17" borderId="1" xfId="7" applyFont="1" applyFill="1" applyBorder="1" applyAlignment="1">
      <alignment horizontal="center" vertical="center" wrapText="1"/>
    </xf>
    <xf numFmtId="0" fontId="8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 wrapText="1"/>
    </xf>
    <xf numFmtId="43" fontId="8" fillId="17" borderId="1" xfId="3" applyNumberFormat="1" applyFont="1" applyFill="1" applyBorder="1" applyAlignment="1">
      <alignment horizontal="center" vertical="center" wrapText="1"/>
    </xf>
    <xf numFmtId="3" fontId="8" fillId="11" borderId="1" xfId="1" applyNumberFormat="1" applyFont="1" applyFill="1" applyBorder="1" applyAlignment="1">
      <alignment horizontal="center" vertical="center" wrapText="1"/>
    </xf>
    <xf numFmtId="165" fontId="8" fillId="11" borderId="1" xfId="0" applyNumberFormat="1" applyFont="1" applyFill="1" applyBorder="1" applyAlignment="1">
      <alignment horizontal="center" vertical="center"/>
    </xf>
    <xf numFmtId="43" fontId="8" fillId="10" borderId="1" xfId="1" applyFont="1" applyFill="1" applyBorder="1" applyAlignment="1">
      <alignment horizontal="center" vertical="center" wrapText="1"/>
    </xf>
    <xf numFmtId="165" fontId="8" fillId="12" borderId="1" xfId="0" applyNumberFormat="1" applyFont="1" applyFill="1" applyBorder="1" applyAlignment="1">
      <alignment horizontal="center" vertical="center"/>
    </xf>
    <xf numFmtId="165" fontId="8" fillId="23" borderId="1" xfId="0" applyNumberFormat="1" applyFont="1" applyFill="1" applyBorder="1" applyAlignment="1">
      <alignment horizontal="center" vertical="center"/>
    </xf>
    <xf numFmtId="165" fontId="6" fillId="23" borderId="1" xfId="0" applyNumberFormat="1" applyFont="1" applyFill="1" applyBorder="1" applyAlignment="1">
      <alignment horizontal="center" vertical="center"/>
    </xf>
    <xf numFmtId="165" fontId="6" fillId="11" borderId="1" xfId="0" applyNumberFormat="1" applyFont="1" applyFill="1" applyBorder="1" applyAlignment="1">
      <alignment horizontal="center" vertical="center"/>
    </xf>
    <xf numFmtId="165" fontId="5" fillId="11" borderId="1" xfId="0" applyNumberFormat="1" applyFont="1" applyFill="1" applyBorder="1" applyAlignment="1">
      <alignment horizontal="center" vertical="center"/>
    </xf>
    <xf numFmtId="164" fontId="9" fillId="32" borderId="8" xfId="0" applyNumberFormat="1" applyFont="1" applyFill="1" applyBorder="1" applyAlignment="1">
      <alignment horizontal="center" vertical="center"/>
    </xf>
    <xf numFmtId="3" fontId="9" fillId="32" borderId="8" xfId="0" applyNumberFormat="1" applyFont="1" applyFill="1" applyBorder="1" applyAlignment="1">
      <alignment horizontal="center" vertical="center"/>
    </xf>
    <xf numFmtId="14" fontId="6" fillId="33" borderId="8" xfId="0" applyNumberFormat="1" applyFont="1" applyFill="1" applyBorder="1" applyAlignment="1">
      <alignment horizontal="center" vertical="center"/>
    </xf>
    <xf numFmtId="14" fontId="6" fillId="32" borderId="8" xfId="0" applyNumberFormat="1" applyFont="1" applyFill="1" applyBorder="1" applyAlignment="1">
      <alignment horizontal="center" vertical="center"/>
    </xf>
    <xf numFmtId="14" fontId="0" fillId="14" borderId="8" xfId="0" applyNumberFormat="1" applyFont="1" applyFill="1" applyBorder="1" applyAlignment="1">
      <alignment horizontal="center" vertical="center"/>
    </xf>
    <xf numFmtId="0" fontId="13" fillId="32" borderId="8" xfId="0" applyFont="1" applyFill="1" applyBorder="1" applyAlignment="1">
      <alignment horizontal="center" vertical="center"/>
    </xf>
    <xf numFmtId="164" fontId="8" fillId="32" borderId="15" xfId="0" applyNumberFormat="1" applyFont="1" applyFill="1" applyBorder="1" applyAlignment="1">
      <alignment horizontal="center" vertical="center"/>
    </xf>
    <xf numFmtId="0" fontId="8" fillId="32" borderId="13" xfId="0" applyNumberFormat="1" applyFont="1" applyFill="1" applyBorder="1" applyAlignment="1">
      <alignment horizontal="center" vertical="center"/>
    </xf>
    <xf numFmtId="1" fontId="19" fillId="8" borderId="13" xfId="0" applyNumberFormat="1" applyFont="1" applyFill="1" applyBorder="1" applyAlignment="1">
      <alignment horizontal="center" vertical="center"/>
    </xf>
    <xf numFmtId="1" fontId="0" fillId="32" borderId="13" xfId="0" applyNumberFormat="1" applyFont="1" applyFill="1" applyBorder="1" applyAlignment="1">
      <alignment horizontal="center" vertical="center"/>
    </xf>
    <xf numFmtId="1" fontId="8" fillId="32" borderId="13" xfId="1" applyNumberFormat="1" applyFont="1" applyFill="1" applyBorder="1" applyAlignment="1">
      <alignment horizontal="center" vertical="center"/>
    </xf>
    <xf numFmtId="1" fontId="1" fillId="33" borderId="13" xfId="1" applyNumberFormat="1" applyFont="1" applyFill="1" applyBorder="1" applyAlignment="1">
      <alignment horizontal="center" vertical="center"/>
    </xf>
    <xf numFmtId="1" fontId="8" fillId="33" borderId="13" xfId="0" applyNumberFormat="1" applyFont="1" applyFill="1" applyBorder="1" applyAlignment="1">
      <alignment horizontal="center" vertical="center"/>
    </xf>
    <xf numFmtId="1" fontId="8" fillId="32" borderId="13" xfId="0" applyNumberFormat="1" applyFont="1" applyFill="1" applyBorder="1" applyAlignment="1">
      <alignment horizontal="center" vertical="center"/>
    </xf>
    <xf numFmtId="1" fontId="19" fillId="8" borderId="13" xfId="2" applyNumberFormat="1" applyFont="1" applyFill="1" applyBorder="1" applyAlignment="1">
      <alignment horizontal="center" vertical="center"/>
    </xf>
    <xf numFmtId="1" fontId="17" fillId="8" borderId="13" xfId="1" applyNumberFormat="1" applyFont="1" applyFill="1" applyBorder="1" applyAlignment="1">
      <alignment horizontal="center" vertical="center"/>
    </xf>
    <xf numFmtId="166" fontId="8" fillId="10" borderId="1" xfId="1" applyNumberFormat="1" applyFont="1" applyFill="1" applyBorder="1" applyAlignment="1">
      <alignment horizontal="center" vertical="center" wrapText="1"/>
    </xf>
    <xf numFmtId="164" fontId="9" fillId="0" borderId="15" xfId="0" applyNumberFormat="1" applyFont="1" applyBorder="1" applyAlignment="1">
      <alignment horizontal="center" vertical="center"/>
    </xf>
    <xf numFmtId="0" fontId="6" fillId="46" borderId="8" xfId="0" applyFont="1" applyFill="1" applyBorder="1" applyAlignment="1">
      <alignment horizontal="center" vertical="center"/>
    </xf>
    <xf numFmtId="9" fontId="19" fillId="8" borderId="8" xfId="2" applyFont="1" applyFill="1" applyBorder="1" applyAlignment="1">
      <alignment horizontal="center" vertical="center"/>
    </xf>
    <xf numFmtId="9" fontId="8" fillId="33" borderId="8" xfId="2" applyFont="1" applyFill="1" applyBorder="1" applyAlignment="1">
      <alignment horizontal="center" vertical="center"/>
    </xf>
    <xf numFmtId="9" fontId="0" fillId="33" borderId="8" xfId="2" applyFont="1" applyFill="1" applyBorder="1" applyAlignment="1">
      <alignment horizontal="center" vertical="center"/>
    </xf>
    <xf numFmtId="9" fontId="19" fillId="33" borderId="8" xfId="2" applyFont="1" applyFill="1" applyBorder="1" applyAlignment="1">
      <alignment horizontal="center" vertical="center"/>
    </xf>
    <xf numFmtId="164" fontId="8" fillId="32" borderId="28" xfId="1" applyNumberFormat="1" applyFont="1" applyFill="1" applyBorder="1" applyAlignment="1">
      <alignment horizontal="center" vertical="center"/>
    </xf>
    <xf numFmtId="0" fontId="0" fillId="32" borderId="13" xfId="1" applyNumberFormat="1" applyFont="1" applyFill="1" applyBorder="1" applyAlignment="1">
      <alignment horizontal="center" vertical="center"/>
    </xf>
    <xf numFmtId="3" fontId="8" fillId="39" borderId="8" xfId="0" applyNumberFormat="1" applyFont="1" applyFill="1" applyBorder="1" applyAlignment="1">
      <alignment horizontal="center" vertical="center"/>
    </xf>
    <xf numFmtId="3" fontId="0" fillId="0" borderId="8" xfId="0" applyNumberFormat="1" applyFont="1" applyBorder="1" applyAlignment="1">
      <alignment horizontal="center" vertical="center"/>
    </xf>
    <xf numFmtId="3" fontId="8" fillId="10" borderId="8" xfId="0" applyNumberFormat="1" applyFont="1" applyFill="1" applyBorder="1" applyAlignment="1">
      <alignment horizontal="center" vertical="center"/>
    </xf>
    <xf numFmtId="3" fontId="0" fillId="34" borderId="8" xfId="0" applyNumberFormat="1" applyFont="1" applyFill="1" applyBorder="1" applyAlignment="1">
      <alignment horizontal="center" vertical="center"/>
    </xf>
    <xf numFmtId="164" fontId="9" fillId="8" borderId="28" xfId="1" applyNumberFormat="1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 wrapText="1"/>
    </xf>
    <xf numFmtId="0" fontId="30" fillId="8" borderId="8" xfId="0" applyFont="1" applyFill="1" applyBorder="1" applyAlignment="1">
      <alignment horizontal="center" vertical="center" wrapText="1"/>
    </xf>
    <xf numFmtId="0" fontId="30" fillId="9" borderId="8" xfId="0" applyFont="1" applyFill="1" applyBorder="1" applyAlignment="1">
      <alignment horizontal="center" vertical="center" wrapText="1"/>
    </xf>
    <xf numFmtId="0" fontId="30" fillId="9" borderId="1" xfId="3" applyFont="1" applyFill="1" applyBorder="1" applyAlignment="1">
      <alignment horizontal="center" vertical="center" wrapText="1"/>
    </xf>
    <xf numFmtId="0" fontId="30" fillId="11" borderId="1" xfId="0" applyFont="1" applyFill="1" applyBorder="1" applyAlignment="1">
      <alignment horizontal="center" vertical="center" wrapText="1"/>
    </xf>
    <xf numFmtId="41" fontId="30" fillId="8" borderId="8" xfId="0" applyNumberFormat="1" applyFont="1" applyFill="1" applyBorder="1" applyAlignment="1">
      <alignment horizontal="center" vertical="center" wrapText="1"/>
    </xf>
    <xf numFmtId="9" fontId="30" fillId="8" borderId="8" xfId="2" applyFont="1" applyFill="1" applyBorder="1" applyAlignment="1">
      <alignment horizontal="center" vertical="center" wrapText="1"/>
    </xf>
    <xf numFmtId="0" fontId="30" fillId="34" borderId="8" xfId="1" applyNumberFormat="1" applyFont="1" applyFill="1" applyBorder="1" applyAlignment="1">
      <alignment horizontal="center" vertical="center" wrapText="1"/>
    </xf>
    <xf numFmtId="0" fontId="30" fillId="21" borderId="1" xfId="4" applyFont="1" applyFill="1" applyBorder="1" applyAlignment="1">
      <alignment horizontal="center" vertical="center" wrapText="1"/>
    </xf>
    <xf numFmtId="0" fontId="30" fillId="4" borderId="1" xfId="5" applyFont="1" applyBorder="1" applyAlignment="1">
      <alignment horizontal="center" vertical="center" wrapText="1"/>
    </xf>
    <xf numFmtId="0" fontId="30" fillId="37" borderId="1" xfId="5" applyFont="1" applyFill="1" applyBorder="1" applyAlignment="1">
      <alignment horizontal="center" vertical="center" wrapText="1"/>
    </xf>
    <xf numFmtId="0" fontId="30" fillId="4" borderId="8" xfId="5" applyFont="1" applyBorder="1" applyAlignment="1">
      <alignment horizontal="center" vertical="center" wrapText="1"/>
    </xf>
    <xf numFmtId="0" fontId="30" fillId="6" borderId="1" xfId="7" applyFont="1" applyBorder="1" applyAlignment="1">
      <alignment horizontal="center" vertical="center" wrapText="1"/>
    </xf>
    <xf numFmtId="0" fontId="30" fillId="38" borderId="1" xfId="7" applyFont="1" applyFill="1" applyBorder="1" applyAlignment="1">
      <alignment horizontal="center" vertical="center" wrapText="1"/>
    </xf>
    <xf numFmtId="0" fontId="30" fillId="6" borderId="8" xfId="7" applyFont="1" applyBorder="1" applyAlignment="1">
      <alignment horizontal="center" vertical="center" wrapText="1"/>
    </xf>
    <xf numFmtId="0" fontId="30" fillId="44" borderId="8" xfId="7" applyFont="1" applyFill="1" applyBorder="1" applyAlignment="1">
      <alignment horizontal="center" vertical="center" wrapText="1"/>
    </xf>
    <xf numFmtId="0" fontId="30" fillId="2" borderId="1" xfId="3" applyFont="1" applyBorder="1" applyAlignment="1">
      <alignment horizontal="center" vertical="center" wrapText="1"/>
    </xf>
    <xf numFmtId="43" fontId="30" fillId="2" borderId="1" xfId="3" applyNumberFormat="1" applyFont="1" applyBorder="1" applyAlignment="1">
      <alignment horizontal="center" vertical="center" wrapText="1"/>
    </xf>
    <xf numFmtId="43" fontId="30" fillId="2" borderId="8" xfId="3" applyNumberFormat="1" applyFont="1" applyBorder="1" applyAlignment="1">
      <alignment horizontal="center" vertical="center" wrapText="1"/>
    </xf>
    <xf numFmtId="0" fontId="30" fillId="36" borderId="8" xfId="1" applyNumberFormat="1" applyFont="1" applyFill="1" applyBorder="1" applyAlignment="1">
      <alignment horizontal="center" vertical="center" wrapText="1"/>
    </xf>
    <xf numFmtId="0" fontId="30" fillId="36" borderId="13" xfId="1" applyNumberFormat="1" applyFont="1" applyFill="1" applyBorder="1" applyAlignment="1">
      <alignment horizontal="center" vertical="center" wrapText="1"/>
    </xf>
    <xf numFmtId="1" fontId="30" fillId="36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/>
    </xf>
    <xf numFmtId="43" fontId="30" fillId="17" borderId="1" xfId="3" applyNumberFormat="1" applyFont="1" applyFill="1" applyBorder="1" applyAlignment="1">
      <alignment horizontal="center" vertical="center" wrapText="1"/>
    </xf>
    <xf numFmtId="3" fontId="30" fillId="10" borderId="1" xfId="1" applyNumberFormat="1" applyFont="1" applyFill="1" applyBorder="1" applyAlignment="1">
      <alignment horizontal="center" vertical="center" wrapText="1"/>
    </xf>
    <xf numFmtId="3" fontId="30" fillId="11" borderId="1" xfId="1" applyNumberFormat="1" applyFont="1" applyFill="1" applyBorder="1" applyAlignment="1">
      <alignment horizontal="center" vertical="center" wrapText="1"/>
    </xf>
    <xf numFmtId="3" fontId="30" fillId="8" borderId="1" xfId="1" applyNumberFormat="1" applyFont="1" applyFill="1" applyBorder="1" applyAlignment="1">
      <alignment horizontal="center" vertical="center" wrapText="1"/>
    </xf>
    <xf numFmtId="3" fontId="30" fillId="18" borderId="1" xfId="1" applyNumberFormat="1" applyFont="1" applyFill="1" applyBorder="1" applyAlignment="1">
      <alignment horizontal="center" vertical="center" wrapText="1"/>
    </xf>
    <xf numFmtId="43" fontId="30" fillId="10" borderId="1" xfId="1" applyFont="1" applyFill="1" applyBorder="1" applyAlignment="1">
      <alignment horizontal="center" vertical="center" wrapText="1"/>
    </xf>
    <xf numFmtId="43" fontId="30" fillId="11" borderId="1" xfId="1" applyFont="1" applyFill="1" applyBorder="1" applyAlignment="1">
      <alignment horizontal="center" vertical="center" wrapText="1"/>
    </xf>
    <xf numFmtId="43" fontId="30" fillId="8" borderId="1" xfId="1" applyFont="1" applyFill="1" applyBorder="1" applyAlignment="1">
      <alignment horizontal="center" vertical="center" wrapText="1"/>
    </xf>
    <xf numFmtId="43" fontId="30" fillId="29" borderId="8" xfId="1" applyFont="1" applyFill="1" applyBorder="1" applyAlignment="1">
      <alignment horizontal="center" vertical="center" wrapText="1"/>
    </xf>
    <xf numFmtId="43" fontId="30" fillId="18" borderId="1" xfId="1" applyFont="1" applyFill="1" applyBorder="1" applyAlignment="1">
      <alignment horizontal="center" vertical="center" wrapText="1"/>
    </xf>
    <xf numFmtId="43" fontId="30" fillId="11" borderId="8" xfId="1" applyFont="1" applyFill="1" applyBorder="1" applyAlignment="1">
      <alignment horizontal="center" vertical="center" wrapText="1"/>
    </xf>
    <xf numFmtId="43" fontId="30" fillId="18" borderId="8" xfId="1" applyFont="1" applyFill="1" applyBorder="1" applyAlignment="1">
      <alignment horizontal="center" vertical="center" wrapText="1"/>
    </xf>
    <xf numFmtId="43" fontId="30" fillId="26" borderId="7" xfId="1" applyFont="1" applyFill="1" applyBorder="1" applyAlignment="1">
      <alignment horizontal="center" vertical="center" wrapText="1"/>
    </xf>
    <xf numFmtId="43" fontId="30" fillId="20" borderId="1" xfId="1" applyFont="1" applyFill="1" applyBorder="1" applyAlignment="1">
      <alignment horizontal="center" vertical="center" wrapText="1"/>
    </xf>
    <xf numFmtId="0" fontId="30" fillId="44" borderId="8" xfId="0" applyFont="1" applyFill="1" applyBorder="1" applyAlignment="1">
      <alignment horizontal="center" vertical="center" wrapText="1"/>
    </xf>
    <xf numFmtId="171" fontId="30" fillId="44" borderId="8" xfId="2" applyNumberFormat="1" applyFont="1" applyFill="1" applyBorder="1" applyAlignment="1">
      <alignment horizontal="center" vertical="center" wrapText="1"/>
    </xf>
    <xf numFmtId="185" fontId="30" fillId="44" borderId="8" xfId="2" applyNumberFormat="1" applyFont="1" applyFill="1" applyBorder="1" applyAlignment="1">
      <alignment horizontal="center" vertical="center" wrapText="1"/>
    </xf>
    <xf numFmtId="172" fontId="30" fillId="44" borderId="8" xfId="2" applyNumberFormat="1" applyFont="1" applyFill="1" applyBorder="1" applyAlignment="1">
      <alignment horizontal="center" vertical="center" wrapText="1"/>
    </xf>
    <xf numFmtId="173" fontId="30" fillId="44" borderId="8" xfId="2" applyNumberFormat="1" applyFont="1" applyFill="1" applyBorder="1" applyAlignment="1">
      <alignment horizontal="center" vertical="center" wrapText="1"/>
    </xf>
    <xf numFmtId="174" fontId="30" fillId="44" borderId="8" xfId="2" applyNumberFormat="1" applyFont="1" applyFill="1" applyBorder="1" applyAlignment="1">
      <alignment horizontal="center" vertical="center" wrapText="1"/>
    </xf>
    <xf numFmtId="175" fontId="30" fillId="44" borderId="8" xfId="2" applyNumberFormat="1" applyFont="1" applyFill="1" applyBorder="1" applyAlignment="1">
      <alignment horizontal="center" vertical="center" wrapText="1"/>
    </xf>
    <xf numFmtId="186" fontId="30" fillId="44" borderId="8" xfId="2" applyNumberFormat="1" applyFont="1" applyFill="1" applyBorder="1" applyAlignment="1">
      <alignment horizontal="center" vertical="center" wrapText="1"/>
    </xf>
    <xf numFmtId="177" fontId="30" fillId="44" borderId="8" xfId="2" applyNumberFormat="1" applyFont="1" applyFill="1" applyBorder="1" applyAlignment="1">
      <alignment horizontal="center" vertical="center" wrapText="1"/>
    </xf>
    <xf numFmtId="178" fontId="30" fillId="44" borderId="8" xfId="2" applyNumberFormat="1" applyFont="1" applyFill="1" applyBorder="1" applyAlignment="1">
      <alignment horizontal="center" vertical="center" wrapText="1"/>
    </xf>
    <xf numFmtId="179" fontId="30" fillId="44" borderId="8" xfId="2" applyNumberFormat="1" applyFont="1" applyFill="1" applyBorder="1" applyAlignment="1">
      <alignment horizontal="center" vertical="center" wrapText="1"/>
    </xf>
    <xf numFmtId="180" fontId="30" fillId="44" borderId="8" xfId="2" applyNumberFormat="1" applyFont="1" applyFill="1" applyBorder="1" applyAlignment="1">
      <alignment horizontal="center" vertical="center" wrapText="1"/>
    </xf>
    <xf numFmtId="181" fontId="30" fillId="44" borderId="8" xfId="2" applyNumberFormat="1" applyFont="1" applyFill="1" applyBorder="1" applyAlignment="1">
      <alignment horizontal="center" vertical="center" wrapText="1"/>
    </xf>
    <xf numFmtId="182" fontId="30" fillId="44" borderId="8" xfId="2" applyNumberFormat="1" applyFont="1" applyFill="1" applyBorder="1" applyAlignment="1">
      <alignment horizontal="center" vertical="center" wrapText="1"/>
    </xf>
    <xf numFmtId="184" fontId="30" fillId="44" borderId="8" xfId="2" applyNumberFormat="1" applyFont="1" applyFill="1" applyBorder="1" applyAlignment="1">
      <alignment horizontal="center" vertical="center" wrapText="1"/>
    </xf>
    <xf numFmtId="187" fontId="30" fillId="44" borderId="8" xfId="2" applyNumberFormat="1" applyFont="1" applyFill="1" applyBorder="1" applyAlignment="1">
      <alignment horizontal="center" vertical="center" wrapText="1"/>
    </xf>
    <xf numFmtId="188" fontId="30" fillId="44" borderId="8" xfId="2" applyNumberFormat="1" applyFont="1" applyFill="1" applyBorder="1" applyAlignment="1">
      <alignment horizontal="center" vertical="center" wrapText="1"/>
    </xf>
    <xf numFmtId="189" fontId="30" fillId="44" borderId="8" xfId="2" applyNumberFormat="1" applyFont="1" applyFill="1" applyBorder="1" applyAlignment="1">
      <alignment horizontal="center" vertical="center" wrapText="1"/>
    </xf>
    <xf numFmtId="0" fontId="31" fillId="46" borderId="0" xfId="10" applyFont="1" applyFill="1" applyAlignment="1">
      <alignment horizontal="center" vertical="center" wrapText="1"/>
    </xf>
    <xf numFmtId="0" fontId="32" fillId="46" borderId="0" xfId="10" applyFont="1" applyFill="1" applyAlignment="1">
      <alignment horizontal="center" vertical="center" wrapText="1"/>
    </xf>
    <xf numFmtId="0" fontId="31" fillId="11" borderId="0" xfId="10" applyFont="1" applyFill="1" applyAlignment="1">
      <alignment horizontal="center" vertical="center" wrapText="1"/>
    </xf>
    <xf numFmtId="0" fontId="31" fillId="50" borderId="0" xfId="10" applyFont="1" applyFill="1" applyAlignment="1">
      <alignment horizontal="center" vertical="center" wrapText="1"/>
    </xf>
    <xf numFmtId="0" fontId="30" fillId="8" borderId="0" xfId="0" applyFont="1" applyFill="1" applyAlignment="1">
      <alignment horizontal="center" vertical="center" wrapText="1"/>
    </xf>
    <xf numFmtId="1" fontId="22" fillId="52" borderId="8" xfId="0" applyNumberFormat="1" applyFont="1" applyFill="1" applyBorder="1" applyAlignment="1">
      <alignment horizontal="center" vertical="center"/>
    </xf>
    <xf numFmtId="164" fontId="34" fillId="32" borderId="11" xfId="0" applyNumberFormat="1" applyFont="1" applyFill="1" applyBorder="1" applyAlignment="1">
      <alignment horizontal="center" vertical="center"/>
    </xf>
    <xf numFmtId="164" fontId="34" fillId="32" borderId="8" xfId="0" applyNumberFormat="1" applyFont="1" applyFill="1" applyBorder="1" applyAlignment="1">
      <alignment horizontal="center" vertical="center"/>
    </xf>
    <xf numFmtId="1" fontId="34" fillId="52" borderId="8" xfId="0" applyNumberFormat="1" applyFont="1" applyFill="1" applyBorder="1" applyAlignment="1">
      <alignment horizontal="center" vertical="center"/>
    </xf>
    <xf numFmtId="164" fontId="9" fillId="12" borderId="8" xfId="0" applyNumberFormat="1" applyFont="1" applyFill="1" applyBorder="1" applyAlignment="1">
      <alignment horizontal="center" vertical="center"/>
    </xf>
    <xf numFmtId="3" fontId="0" fillId="12" borderId="8" xfId="0" applyNumberFormat="1" applyFont="1" applyFill="1" applyBorder="1" applyAlignment="1">
      <alignment horizontal="center" vertical="center"/>
    </xf>
    <xf numFmtId="1" fontId="22" fillId="54" borderId="8" xfId="0" applyNumberFormat="1" applyFont="1" applyFill="1" applyBorder="1" applyAlignment="1">
      <alignment horizontal="center" vertical="center"/>
    </xf>
    <xf numFmtId="1" fontId="34" fillId="54" borderId="8" xfId="0" applyNumberFormat="1" applyFont="1" applyFill="1" applyBorder="1" applyAlignment="1">
      <alignment horizontal="center" vertical="center"/>
    </xf>
    <xf numFmtId="1" fontId="0" fillId="12" borderId="8" xfId="0" applyNumberFormat="1" applyFont="1" applyFill="1" applyBorder="1" applyAlignment="1">
      <alignment horizontal="center" vertical="center"/>
    </xf>
    <xf numFmtId="176" fontId="0" fillId="12" borderId="8" xfId="0" applyNumberFormat="1" applyFont="1" applyFill="1" applyBorder="1" applyAlignment="1">
      <alignment horizontal="center" vertical="center"/>
    </xf>
    <xf numFmtId="164" fontId="0" fillId="12" borderId="8" xfId="0" applyNumberFormat="1" applyFont="1" applyFill="1" applyBorder="1" applyAlignment="1">
      <alignment horizontal="center" vertical="center"/>
    </xf>
    <xf numFmtId="3" fontId="9" fillId="12" borderId="8" xfId="0" applyNumberFormat="1" applyFont="1" applyFill="1" applyBorder="1" applyAlignment="1">
      <alignment horizontal="center" vertical="center"/>
    </xf>
    <xf numFmtId="0" fontId="0" fillId="12" borderId="8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164" fontId="8" fillId="12" borderId="8" xfId="0" applyNumberFormat="1" applyFont="1" applyFill="1" applyBorder="1" applyAlignment="1">
      <alignment horizontal="center" vertical="center"/>
    </xf>
    <xf numFmtId="0" fontId="8" fillId="12" borderId="8" xfId="0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horizontal="center" vertical="center"/>
    </xf>
    <xf numFmtId="164" fontId="9" fillId="43" borderId="8" xfId="0" applyNumberFormat="1" applyFont="1" applyFill="1" applyBorder="1" applyAlignment="1">
      <alignment horizontal="center" vertical="center"/>
    </xf>
    <xf numFmtId="0" fontId="0" fillId="43" borderId="8" xfId="0" applyFont="1" applyFill="1" applyBorder="1" applyAlignment="1">
      <alignment horizontal="center" vertical="center"/>
    </xf>
    <xf numFmtId="0" fontId="6" fillId="43" borderId="8" xfId="0" applyFont="1" applyFill="1" applyBorder="1" applyAlignment="1">
      <alignment horizontal="center" vertical="center"/>
    </xf>
    <xf numFmtId="164" fontId="0" fillId="43" borderId="8" xfId="0" applyNumberFormat="1" applyFont="1" applyFill="1" applyBorder="1" applyAlignment="1">
      <alignment horizontal="center" vertical="center"/>
    </xf>
    <xf numFmtId="3" fontId="0" fillId="43" borderId="8" xfId="0" applyNumberFormat="1" applyFont="1" applyFill="1" applyBorder="1" applyAlignment="1">
      <alignment horizontal="center" vertical="center"/>
    </xf>
    <xf numFmtId="1" fontId="22" fillId="55" borderId="8" xfId="0" applyNumberFormat="1" applyFont="1" applyFill="1" applyBorder="1" applyAlignment="1">
      <alignment horizontal="center" vertical="center"/>
    </xf>
    <xf numFmtId="1" fontId="0" fillId="43" borderId="8" xfId="0" applyNumberFormat="1" applyFont="1" applyFill="1" applyBorder="1" applyAlignment="1">
      <alignment horizontal="center" vertical="center"/>
    </xf>
    <xf numFmtId="1" fontId="6" fillId="43" borderId="8" xfId="0" applyNumberFormat="1" applyFont="1" applyFill="1" applyBorder="1" applyAlignment="1">
      <alignment horizontal="center" vertical="center"/>
    </xf>
    <xf numFmtId="3" fontId="9" fillId="43" borderId="8" xfId="0" applyNumberFormat="1" applyFont="1" applyFill="1" applyBorder="1" applyAlignment="1">
      <alignment horizontal="center" vertical="center"/>
    </xf>
    <xf numFmtId="164" fontId="8" fillId="43" borderId="8" xfId="0" applyNumberFormat="1" applyFont="1" applyFill="1" applyBorder="1" applyAlignment="1">
      <alignment horizontal="center" vertical="center"/>
    </xf>
    <xf numFmtId="1" fontId="22" fillId="32" borderId="8" xfId="0" applyNumberFormat="1" applyFont="1" applyFill="1" applyBorder="1" applyAlignment="1">
      <alignment horizontal="center" vertical="center"/>
    </xf>
    <xf numFmtId="164" fontId="0" fillId="12" borderId="11" xfId="0" applyNumberFormat="1" applyFont="1" applyFill="1" applyBorder="1" applyAlignment="1">
      <alignment horizontal="center" vertical="center"/>
    </xf>
    <xf numFmtId="0" fontId="0" fillId="53" borderId="8" xfId="0" applyFont="1" applyFill="1" applyBorder="1" applyAlignment="1">
      <alignment horizontal="center" vertical="center"/>
    </xf>
    <xf numFmtId="0" fontId="0" fillId="23" borderId="8" xfId="0" applyFont="1" applyFill="1" applyBorder="1" applyAlignment="1">
      <alignment horizontal="center" vertical="center"/>
    </xf>
    <xf numFmtId="3" fontId="33" fillId="23" borderId="8" xfId="10" applyNumberFormat="1" applyFont="1" applyFill="1" applyBorder="1" applyAlignment="1">
      <alignment horizontal="center" vertical="center" wrapText="1"/>
    </xf>
    <xf numFmtId="3" fontId="33" fillId="23" borderId="8" xfId="10" applyNumberFormat="1" applyFont="1" applyFill="1" applyBorder="1" applyAlignment="1">
      <alignment horizontal="right" vertical="center" wrapText="1"/>
    </xf>
    <xf numFmtId="3" fontId="0" fillId="53" borderId="8" xfId="0" applyNumberFormat="1" applyFont="1" applyFill="1" applyBorder="1" applyAlignment="1">
      <alignment horizontal="center" vertical="center"/>
    </xf>
    <xf numFmtId="3" fontId="0" fillId="23" borderId="8" xfId="0" applyNumberFormat="1" applyFont="1" applyFill="1" applyBorder="1" applyAlignment="1">
      <alignment horizontal="center" vertical="center"/>
    </xf>
    <xf numFmtId="0" fontId="0" fillId="23" borderId="12" xfId="0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31" fillId="11" borderId="0" xfId="10" applyNumberFormat="1" applyFont="1" applyFill="1" applyAlignment="1">
      <alignment horizontal="center" vertical="center" wrapText="1"/>
    </xf>
    <xf numFmtId="164" fontId="32" fillId="11" borderId="0" xfId="10" applyNumberFormat="1" applyFont="1" applyFill="1" applyAlignment="1">
      <alignment horizontal="center" vertical="center" wrapText="1"/>
    </xf>
    <xf numFmtId="164" fontId="13" fillId="12" borderId="8" xfId="0" applyNumberFormat="1" applyFont="1" applyFill="1" applyBorder="1" applyAlignment="1">
      <alignment horizontal="center" vertical="center"/>
    </xf>
    <xf numFmtId="164" fontId="5" fillId="8" borderId="0" xfId="0" applyNumberFormat="1" applyFont="1" applyFill="1" applyAlignment="1">
      <alignment horizontal="center" vertical="center" wrapText="1"/>
    </xf>
    <xf numFmtId="0" fontId="0" fillId="23" borderId="8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164" fontId="0" fillId="32" borderId="11" xfId="0" applyNumberFormat="1" applyFont="1" applyFill="1" applyBorder="1" applyAlignment="1">
      <alignment horizontal="center" vertical="center"/>
    </xf>
    <xf numFmtId="1" fontId="34" fillId="32" borderId="8" xfId="0" applyNumberFormat="1" applyFont="1" applyFill="1" applyBorder="1" applyAlignment="1">
      <alignment horizontal="center" vertical="center"/>
    </xf>
    <xf numFmtId="1" fontId="6" fillId="32" borderId="8" xfId="0" applyNumberFormat="1" applyFont="1" applyFill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164" fontId="0" fillId="32" borderId="12" xfId="0" applyNumberFormat="1" applyFont="1" applyFill="1" applyBorder="1" applyAlignment="1">
      <alignment horizontal="center" vertical="center"/>
    </xf>
    <xf numFmtId="164" fontId="9" fillId="8" borderId="11" xfId="1" applyNumberFormat="1" applyFont="1" applyFill="1" applyBorder="1" applyAlignment="1">
      <alignment horizontal="center" vertical="center"/>
    </xf>
    <xf numFmtId="164" fontId="8" fillId="33" borderId="28" xfId="1" applyNumberFormat="1" applyFont="1" applyFill="1" applyBorder="1" applyAlignment="1">
      <alignment horizontal="center" vertical="center"/>
    </xf>
    <xf numFmtId="169" fontId="9" fillId="8" borderId="28" xfId="1" applyNumberFormat="1" applyFont="1" applyFill="1" applyBorder="1" applyAlignment="1">
      <alignment horizontal="center" vertical="center"/>
    </xf>
    <xf numFmtId="0" fontId="9" fillId="0" borderId="13" xfId="0" applyNumberFormat="1" applyFont="1" applyBorder="1" applyAlignment="1">
      <alignment horizontal="center" vertical="center"/>
    </xf>
    <xf numFmtId="43" fontId="5" fillId="17" borderId="8" xfId="3" applyNumberFormat="1" applyFont="1" applyFill="1" applyBorder="1" applyAlignment="1">
      <alignment horizontal="center" vertical="center" wrapText="1"/>
    </xf>
    <xf numFmtId="3" fontId="0" fillId="23" borderId="8" xfId="0" applyNumberFormat="1" applyFont="1" applyFill="1" applyBorder="1" applyAlignment="1">
      <alignment horizontal="center" vertical="center" wrapText="1"/>
    </xf>
    <xf numFmtId="0" fontId="0" fillId="23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43" fontId="8" fillId="32" borderId="1" xfId="3" applyNumberFormat="1" applyFont="1" applyFill="1" applyBorder="1" applyAlignment="1">
      <alignment horizontal="center" vertical="center" wrapText="1"/>
    </xf>
    <xf numFmtId="14" fontId="8" fillId="32" borderId="1" xfId="3" applyNumberFormat="1" applyFont="1" applyFill="1" applyBorder="1" applyAlignment="1">
      <alignment horizontal="center" vertical="center" wrapText="1"/>
    </xf>
    <xf numFmtId="3" fontId="31" fillId="34" borderId="0" xfId="10" applyNumberFormat="1" applyFont="1" applyFill="1" applyAlignment="1">
      <alignment horizontal="center" vertical="center" wrapText="1"/>
    </xf>
    <xf numFmtId="3" fontId="0" fillId="44" borderId="8" xfId="0" applyNumberFormat="1" applyFont="1" applyFill="1" applyBorder="1" applyAlignment="1">
      <alignment horizontal="center" vertical="center"/>
    </xf>
    <xf numFmtId="3" fontId="0" fillId="0" borderId="0" xfId="0" applyNumberFormat="1" applyFont="1" applyAlignment="1">
      <alignment horizontal="center"/>
    </xf>
    <xf numFmtId="3" fontId="5" fillId="8" borderId="0" xfId="0" applyNumberFormat="1" applyFont="1" applyFill="1" applyAlignment="1">
      <alignment horizontal="center" vertical="center" wrapText="1"/>
    </xf>
    <xf numFmtId="3" fontId="13" fillId="0" borderId="0" xfId="0" applyNumberFormat="1" applyFont="1" applyAlignment="1">
      <alignment horizontal="center" vertical="center"/>
    </xf>
    <xf numFmtId="3" fontId="0" fillId="53" borderId="8" xfId="0" applyNumberFormat="1" applyFont="1" applyFill="1" applyBorder="1" applyAlignment="1">
      <alignment horizontal="center" vertical="center" wrapText="1"/>
    </xf>
    <xf numFmtId="164" fontId="8" fillId="33" borderId="15" xfId="1" applyNumberFormat="1" applyFont="1" applyFill="1" applyBorder="1" applyAlignment="1">
      <alignment horizontal="center" vertical="center" wrapText="1"/>
    </xf>
    <xf numFmtId="0" fontId="8" fillId="32" borderId="13" xfId="1" applyNumberFormat="1" applyFont="1" applyFill="1" applyBorder="1" applyAlignment="1">
      <alignment horizontal="center" vertical="center" wrapText="1"/>
    </xf>
    <xf numFmtId="1" fontId="30" fillId="2" borderId="8" xfId="3" applyNumberFormat="1" applyFont="1" applyBorder="1" applyAlignment="1">
      <alignment horizontal="center" vertical="center" wrapText="1"/>
    </xf>
    <xf numFmtId="1" fontId="8" fillId="8" borderId="0" xfId="3" applyNumberFormat="1" applyFont="1" applyFill="1" applyBorder="1" applyAlignment="1">
      <alignment horizontal="center"/>
    </xf>
    <xf numFmtId="1" fontId="8" fillId="0" borderId="0" xfId="0" applyNumberFormat="1" applyFont="1" applyBorder="1" applyAlignment="1">
      <alignment horizontal="center"/>
    </xf>
    <xf numFmtId="1" fontId="8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2" fontId="8" fillId="2" borderId="8" xfId="3" applyNumberFormat="1" applyFont="1" applyBorder="1" applyAlignment="1">
      <alignment horizontal="center" vertical="center" wrapText="1"/>
    </xf>
    <xf numFmtId="2" fontId="8" fillId="32" borderId="8" xfId="3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 wrapText="1"/>
    </xf>
    <xf numFmtId="164" fontId="0" fillId="32" borderId="28" xfId="1" applyNumberFormat="1" applyFont="1" applyFill="1" applyBorder="1" applyAlignment="1">
      <alignment horizontal="center" vertical="center"/>
    </xf>
    <xf numFmtId="164" fontId="8" fillId="33" borderId="28" xfId="1" applyNumberFormat="1" applyFont="1" applyFill="1" applyBorder="1" applyAlignment="1">
      <alignment horizontal="center" vertical="center" wrapText="1"/>
    </xf>
    <xf numFmtId="164" fontId="8" fillId="32" borderId="28" xfId="0" applyNumberFormat="1" applyFont="1" applyFill="1" applyBorder="1" applyAlignment="1">
      <alignment horizontal="center" vertical="center"/>
    </xf>
    <xf numFmtId="164" fontId="8" fillId="33" borderId="11" xfId="1" applyNumberFormat="1" applyFont="1" applyFill="1" applyBorder="1" applyAlignment="1">
      <alignment horizontal="center" vertical="center"/>
    </xf>
    <xf numFmtId="164" fontId="8" fillId="32" borderId="15" xfId="1" applyNumberFormat="1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 wrapText="1"/>
    </xf>
    <xf numFmtId="166" fontId="0" fillId="0" borderId="0" xfId="1" applyNumberFormat="1" applyFont="1" applyBorder="1"/>
    <xf numFmtId="3" fontId="0" fillId="32" borderId="8" xfId="0" applyNumberFormat="1" applyFont="1" applyFill="1" applyBorder="1" applyAlignment="1">
      <alignment horizontal="center" vertical="center" wrapText="1"/>
    </xf>
    <xf numFmtId="166" fontId="30" fillId="8" borderId="8" xfId="1" applyNumberFormat="1" applyFont="1" applyFill="1" applyBorder="1" applyAlignment="1">
      <alignment horizontal="center" vertical="center" wrapText="1"/>
    </xf>
    <xf numFmtId="166" fontId="8" fillId="8" borderId="8" xfId="1" applyNumberFormat="1" applyFont="1" applyFill="1" applyBorder="1" applyAlignment="1">
      <alignment horizontal="center" vertical="center"/>
    </xf>
    <xf numFmtId="166" fontId="8" fillId="0" borderId="0" xfId="1" applyNumberFormat="1" applyFont="1" applyBorder="1" applyAlignment="1">
      <alignment horizontal="center"/>
    </xf>
    <xf numFmtId="166" fontId="8" fillId="0" borderId="0" xfId="1" applyNumberFormat="1" applyFont="1" applyAlignment="1">
      <alignment horizontal="center"/>
    </xf>
    <xf numFmtId="166" fontId="8" fillId="0" borderId="0" xfId="1" applyNumberFormat="1" applyFont="1" applyAlignment="1">
      <alignment horizontal="center" vertical="center"/>
    </xf>
    <xf numFmtId="166" fontId="8" fillId="8" borderId="8" xfId="1" applyNumberFormat="1" applyFont="1" applyFill="1" applyBorder="1" applyAlignment="1">
      <alignment horizontal="center" vertical="center" wrapText="1"/>
    </xf>
    <xf numFmtId="166" fontId="1" fillId="0" borderId="0" xfId="1" applyNumberFormat="1" applyFont="1" applyAlignment="1">
      <alignment horizontal="center" vertical="center"/>
    </xf>
    <xf numFmtId="166" fontId="9" fillId="8" borderId="8" xfId="1" applyNumberFormat="1" applyFont="1" applyFill="1" applyBorder="1" applyAlignment="1">
      <alignment horizontal="center" vertical="center"/>
    </xf>
    <xf numFmtId="164" fontId="8" fillId="32" borderId="11" xfId="0" applyNumberFormat="1" applyFont="1" applyFill="1" applyBorder="1" applyAlignment="1">
      <alignment horizontal="center" vertical="center"/>
    </xf>
    <xf numFmtId="1" fontId="35" fillId="52" borderId="8" xfId="0" applyNumberFormat="1" applyFont="1" applyFill="1" applyBorder="1" applyAlignment="1">
      <alignment horizontal="center" vertical="center"/>
    </xf>
    <xf numFmtId="164" fontId="8" fillId="32" borderId="8" xfId="2" applyNumberFormat="1" applyFont="1" applyFill="1" applyBorder="1" applyAlignment="1">
      <alignment horizontal="center" vertical="center"/>
    </xf>
    <xf numFmtId="164" fontId="9" fillId="8" borderId="28" xfId="0" applyNumberFormat="1" applyFont="1" applyFill="1" applyBorder="1" applyAlignment="1">
      <alignment horizontal="center" vertical="center"/>
    </xf>
    <xf numFmtId="41" fontId="9" fillId="8" borderId="8" xfId="0" applyNumberFormat="1" applyFont="1" applyFill="1" applyBorder="1" applyAlignment="1">
      <alignment horizontal="center" vertical="center"/>
    </xf>
    <xf numFmtId="43" fontId="0" fillId="10" borderId="8" xfId="1" applyFont="1" applyFill="1" applyBorder="1" applyAlignment="1">
      <alignment horizontal="center" vertical="center"/>
    </xf>
    <xf numFmtId="0" fontId="8" fillId="44" borderId="8" xfId="0" applyFont="1" applyFill="1" applyBorder="1" applyAlignment="1">
      <alignment horizontal="center" vertical="center"/>
    </xf>
    <xf numFmtId="14" fontId="0" fillId="32" borderId="8" xfId="0" applyNumberFormat="1" applyFont="1" applyFill="1" applyBorder="1" applyAlignment="1">
      <alignment horizontal="center" vertical="center" wrapText="1"/>
    </xf>
    <xf numFmtId="170" fontId="8" fillId="32" borderId="8" xfId="0" applyNumberFormat="1" applyFont="1" applyFill="1" applyBorder="1" applyAlignment="1">
      <alignment horizontal="center" vertical="center" wrapText="1"/>
    </xf>
    <xf numFmtId="166" fontId="0" fillId="33" borderId="8" xfId="1" applyNumberFormat="1" applyFont="1" applyFill="1" applyBorder="1" applyAlignment="1">
      <alignment horizontal="center" vertical="center"/>
    </xf>
    <xf numFmtId="3" fontId="5" fillId="32" borderId="8" xfId="0" applyNumberFormat="1" applyFont="1" applyFill="1" applyBorder="1" applyAlignment="1">
      <alignment horizontal="center" vertical="center"/>
    </xf>
    <xf numFmtId="0" fontId="5" fillId="32" borderId="8" xfId="0" applyFont="1" applyFill="1" applyBorder="1" applyAlignment="1">
      <alignment horizontal="center" vertical="center"/>
    </xf>
    <xf numFmtId="14" fontId="9" fillId="12" borderId="8" xfId="0" applyNumberFormat="1" applyFont="1" applyFill="1" applyBorder="1" applyAlignment="1">
      <alignment horizontal="center" vertical="center"/>
    </xf>
    <xf numFmtId="14" fontId="8" fillId="32" borderId="8" xfId="1" applyNumberFormat="1" applyFont="1" applyFill="1" applyBorder="1" applyAlignment="1">
      <alignment horizontal="center" vertical="center"/>
    </xf>
    <xf numFmtId="166" fontId="6" fillId="32" borderId="8" xfId="1" applyNumberFormat="1" applyFont="1" applyFill="1" applyBorder="1" applyAlignment="1">
      <alignment horizontal="center" vertical="center"/>
    </xf>
    <xf numFmtId="14" fontId="8" fillId="32" borderId="28" xfId="1" applyNumberFormat="1" applyFont="1" applyFill="1" applyBorder="1" applyAlignment="1">
      <alignment horizontal="center" vertical="center"/>
    </xf>
    <xf numFmtId="164" fontId="6" fillId="32" borderId="8" xfId="0" applyNumberFormat="1" applyFont="1" applyFill="1" applyBorder="1" applyAlignment="1">
      <alignment horizontal="center" vertical="center"/>
    </xf>
    <xf numFmtId="166" fontId="30" fillId="18" borderId="1" xfId="1" applyNumberFormat="1" applyFont="1" applyFill="1" applyBorder="1" applyAlignment="1">
      <alignment horizontal="center" vertical="center" wrapText="1"/>
    </xf>
    <xf numFmtId="166" fontId="0" fillId="19" borderId="1" xfId="1" applyNumberFormat="1" applyFont="1" applyFill="1" applyBorder="1" applyAlignment="1">
      <alignment horizontal="center" vertical="center"/>
    </xf>
    <xf numFmtId="166" fontId="0" fillId="19" borderId="8" xfId="1" applyNumberFormat="1" applyFont="1" applyFill="1" applyBorder="1" applyAlignment="1">
      <alignment horizontal="center" vertical="center"/>
    </xf>
    <xf numFmtId="166" fontId="8" fillId="10" borderId="8" xfId="1" applyNumberFormat="1" applyFont="1" applyFill="1" applyBorder="1" applyAlignment="1">
      <alignment horizontal="center" vertical="center" wrapText="1"/>
    </xf>
    <xf numFmtId="166" fontId="0" fillId="0" borderId="0" xfId="1" applyNumberFormat="1" applyFont="1" applyBorder="1" applyAlignment="1">
      <alignment horizontal="center"/>
    </xf>
    <xf numFmtId="166" fontId="0" fillId="0" borderId="0" xfId="1" applyNumberFormat="1" applyFont="1" applyAlignment="1">
      <alignment horizontal="center"/>
    </xf>
    <xf numFmtId="166" fontId="0" fillId="0" borderId="0" xfId="1" applyNumberFormat="1" applyFont="1" applyAlignment="1">
      <alignment horizontal="center" vertical="center"/>
    </xf>
    <xf numFmtId="166" fontId="6" fillId="0" borderId="2" xfId="1" applyNumberFormat="1" applyFont="1" applyBorder="1" applyAlignment="1">
      <alignment horizontal="center" vertical="center"/>
    </xf>
    <xf numFmtId="166" fontId="0" fillId="32" borderId="8" xfId="1" applyNumberFormat="1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/>
    </xf>
    <xf numFmtId="43" fontId="30" fillId="11" borderId="11" xfId="1" applyFont="1" applyFill="1" applyBorder="1" applyAlignment="1">
      <alignment horizontal="center" vertical="center" wrapText="1"/>
    </xf>
    <xf numFmtId="165" fontId="0" fillId="11" borderId="11" xfId="0" applyNumberFormat="1" applyFont="1" applyFill="1" applyBorder="1" applyAlignment="1">
      <alignment horizontal="center" vertical="center"/>
    </xf>
    <xf numFmtId="43" fontId="30" fillId="18" borderId="13" xfId="1" applyFont="1" applyFill="1" applyBorder="1" applyAlignment="1">
      <alignment horizontal="center" vertical="center" wrapText="1"/>
    </xf>
    <xf numFmtId="165" fontId="0" fillId="19" borderId="13" xfId="0" applyNumberFormat="1" applyFont="1" applyFill="1" applyBorder="1" applyAlignment="1">
      <alignment horizontal="center" vertical="center"/>
    </xf>
    <xf numFmtId="43" fontId="30" fillId="11" borderId="29" xfId="1" applyFont="1" applyFill="1" applyBorder="1" applyAlignment="1">
      <alignment horizontal="center" vertical="center" wrapText="1"/>
    </xf>
    <xf numFmtId="165" fontId="8" fillId="21" borderId="15" xfId="0" applyNumberFormat="1" applyFont="1" applyFill="1" applyBorder="1" applyAlignment="1">
      <alignment horizontal="center" vertical="center"/>
    </xf>
    <xf numFmtId="14" fontId="6" fillId="8" borderId="8" xfId="0" applyNumberFormat="1" applyFont="1" applyFill="1" applyBorder="1" applyAlignment="1">
      <alignment horizontal="center" vertical="center"/>
    </xf>
    <xf numFmtId="9" fontId="0" fillId="32" borderId="8" xfId="2" applyFont="1" applyFill="1" applyBorder="1" applyAlignment="1">
      <alignment horizontal="center" vertical="center"/>
    </xf>
    <xf numFmtId="165" fontId="8" fillId="21" borderId="8" xfId="0" applyNumberFormat="1" applyFont="1" applyFill="1" applyBorder="1" applyAlignment="1">
      <alignment horizontal="center" vertical="center"/>
    </xf>
    <xf numFmtId="165" fontId="0" fillId="11" borderId="15" xfId="0" applyNumberFormat="1" applyFont="1" applyFill="1" applyBorder="1" applyAlignment="1">
      <alignment horizontal="center" vertical="center"/>
    </xf>
    <xf numFmtId="164" fontId="0" fillId="34" borderId="8" xfId="0" applyNumberFormat="1" applyFont="1" applyFill="1" applyBorder="1" applyAlignment="1">
      <alignment horizontal="center" vertical="center"/>
    </xf>
    <xf numFmtId="0" fontId="8" fillId="34" borderId="8" xfId="0" applyFont="1" applyFill="1" applyBorder="1" applyAlignment="1">
      <alignment horizontal="center" vertical="center"/>
    </xf>
    <xf numFmtId="164" fontId="0" fillId="32" borderId="8" xfId="2" applyNumberFormat="1" applyFont="1" applyFill="1" applyBorder="1" applyAlignment="1">
      <alignment horizontal="center" vertical="center"/>
    </xf>
    <xf numFmtId="0" fontId="38" fillId="23" borderId="8" xfId="0" applyFont="1" applyFill="1" applyBorder="1" applyAlignment="1">
      <alignment horizontal="center" vertical="center" wrapText="1"/>
    </xf>
    <xf numFmtId="0" fontId="38" fillId="23" borderId="8" xfId="0" applyFont="1" applyFill="1" applyBorder="1" applyAlignment="1">
      <alignment horizontal="center" vertical="center"/>
    </xf>
    <xf numFmtId="0" fontId="38" fillId="32" borderId="8" xfId="0" applyFont="1" applyFill="1" applyBorder="1" applyAlignment="1">
      <alignment horizontal="center" vertical="center" wrapText="1"/>
    </xf>
    <xf numFmtId="14" fontId="0" fillId="12" borderId="8" xfId="0" applyNumberFormat="1" applyFont="1" applyFill="1" applyBorder="1" applyAlignment="1">
      <alignment horizontal="center" vertical="center"/>
    </xf>
    <xf numFmtId="17" fontId="0" fillId="39" borderId="8" xfId="0" applyNumberFormat="1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/>
    </xf>
    <xf numFmtId="164" fontId="8" fillId="8" borderId="8" xfId="0" applyNumberFormat="1" applyFont="1" applyFill="1" applyBorder="1" applyAlignment="1">
      <alignment horizontal="center" vertical="center" wrapText="1"/>
    </xf>
    <xf numFmtId="0" fontId="0" fillId="23" borderId="0" xfId="0" applyFont="1" applyFill="1" applyBorder="1" applyAlignment="1">
      <alignment horizontal="center" vertical="center"/>
    </xf>
    <xf numFmtId="0" fontId="0" fillId="23" borderId="0" xfId="0" applyFont="1" applyFill="1" applyBorder="1" applyAlignment="1">
      <alignment horizontal="center" vertical="center" wrapText="1"/>
    </xf>
    <xf numFmtId="0" fontId="39" fillId="46" borderId="0" xfId="10" applyFont="1" applyFill="1" applyAlignment="1">
      <alignment horizontal="center" vertical="center" wrapText="1"/>
    </xf>
    <xf numFmtId="164" fontId="40" fillId="46" borderId="0" xfId="10" applyNumberFormat="1" applyFont="1" applyFill="1" applyAlignment="1">
      <alignment horizontal="center" vertical="center" wrapText="1"/>
    </xf>
    <xf numFmtId="164" fontId="39" fillId="46" borderId="0" xfId="10" applyNumberFormat="1" applyFont="1" applyFill="1" applyAlignment="1">
      <alignment horizontal="center" vertical="center" wrapText="1"/>
    </xf>
    <xf numFmtId="0" fontId="39" fillId="51" borderId="0" xfId="10" applyFont="1" applyFill="1" applyAlignment="1">
      <alignment horizontal="center" vertical="center" wrapText="1"/>
    </xf>
    <xf numFmtId="0" fontId="40" fillId="46" borderId="0" xfId="10" applyFont="1" applyFill="1" applyAlignment="1">
      <alignment horizontal="center" vertical="center" wrapText="1"/>
    </xf>
    <xf numFmtId="164" fontId="41" fillId="46" borderId="0" xfId="10" applyNumberFormat="1" applyFont="1" applyFill="1" applyAlignment="1">
      <alignment horizontal="center" vertical="center" wrapText="1"/>
    </xf>
    <xf numFmtId="164" fontId="42" fillId="46" borderId="0" xfId="10" applyNumberFormat="1" applyFont="1" applyFill="1" applyAlignment="1">
      <alignment horizontal="center" vertical="center" wrapText="1"/>
    </xf>
    <xf numFmtId="164" fontId="40" fillId="11" borderId="0" xfId="10" applyNumberFormat="1" applyFont="1" applyFill="1" applyAlignment="1">
      <alignment horizontal="center" vertical="center" wrapText="1"/>
    </xf>
    <xf numFmtId="164" fontId="39" fillId="11" borderId="0" xfId="10" applyNumberFormat="1" applyFont="1" applyFill="1" applyAlignment="1">
      <alignment horizontal="center" vertical="center" wrapText="1"/>
    </xf>
    <xf numFmtId="0" fontId="39" fillId="11" borderId="0" xfId="10" applyFont="1" applyFill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3" fontId="25" fillId="23" borderId="8" xfId="10" applyNumberFormat="1" applyFont="1" applyFill="1" applyBorder="1" applyAlignment="1">
      <alignment horizontal="center" vertical="center" wrapText="1"/>
    </xf>
    <xf numFmtId="3" fontId="25" fillId="23" borderId="8" xfId="10" applyNumberFormat="1" applyFont="1" applyFill="1" applyBorder="1" applyAlignment="1">
      <alignment horizontal="right" vertical="center" wrapText="1"/>
    </xf>
    <xf numFmtId="164" fontId="0" fillId="8" borderId="8" xfId="2" applyNumberFormat="1" applyFont="1" applyFill="1" applyBorder="1" applyAlignment="1">
      <alignment horizontal="center" vertical="center" wrapText="1"/>
    </xf>
    <xf numFmtId="165" fontId="0" fillId="21" borderId="8" xfId="0" applyNumberFormat="1" applyFont="1" applyFill="1" applyBorder="1" applyAlignment="1">
      <alignment horizontal="center" vertical="center"/>
    </xf>
    <xf numFmtId="3" fontId="8" fillId="44" borderId="8" xfId="7" applyNumberFormat="1" applyFont="1" applyFill="1" applyBorder="1" applyAlignment="1">
      <alignment horizontal="center" vertical="center" wrapText="1"/>
    </xf>
    <xf numFmtId="14" fontId="13" fillId="12" borderId="8" xfId="0" applyNumberFormat="1" applyFont="1" applyFill="1" applyBorder="1" applyAlignment="1">
      <alignment horizontal="center" vertical="center"/>
    </xf>
    <xf numFmtId="0" fontId="30" fillId="48" borderId="8" xfId="0" applyFont="1" applyFill="1" applyBorder="1" applyAlignment="1">
      <alignment horizontal="center" vertical="center" wrapText="1"/>
    </xf>
    <xf numFmtId="165" fontId="0" fillId="14" borderId="11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/>
    </xf>
    <xf numFmtId="43" fontId="0" fillId="0" borderId="2" xfId="1" applyFont="1" applyBorder="1" applyAlignment="1">
      <alignment horizontal="center" vertical="center"/>
    </xf>
    <xf numFmtId="165" fontId="0" fillId="32" borderId="8" xfId="0" applyNumberFormat="1" applyFont="1" applyFill="1" applyBorder="1" applyAlignment="1">
      <alignment horizontal="center" vertical="center"/>
    </xf>
    <xf numFmtId="165" fontId="8" fillId="32" borderId="8" xfId="0" applyNumberFormat="1" applyFont="1" applyFill="1" applyBorder="1" applyAlignment="1">
      <alignment horizontal="center" vertical="center"/>
    </xf>
    <xf numFmtId="165" fontId="8" fillId="33" borderId="8" xfId="0" applyNumberFormat="1" applyFont="1" applyFill="1" applyBorder="1" applyAlignment="1">
      <alignment horizontal="center" vertical="center" wrapText="1"/>
    </xf>
    <xf numFmtId="165" fontId="0" fillId="33" borderId="8" xfId="0" applyNumberFormat="1" applyFont="1" applyFill="1" applyBorder="1" applyAlignment="1">
      <alignment horizontal="center" vertical="center"/>
    </xf>
    <xf numFmtId="165" fontId="8" fillId="32" borderId="8" xfId="1" applyNumberFormat="1" applyFont="1" applyFill="1" applyBorder="1" applyAlignment="1">
      <alignment horizontal="center" vertical="center"/>
    </xf>
    <xf numFmtId="165" fontId="9" fillId="8" borderId="8" xfId="0" applyNumberFormat="1" applyFont="1" applyFill="1" applyBorder="1" applyAlignment="1">
      <alignment horizontal="center" vertical="center"/>
    </xf>
    <xf numFmtId="166" fontId="0" fillId="14" borderId="8" xfId="1" applyNumberFormat="1" applyFont="1" applyFill="1" applyBorder="1" applyAlignment="1">
      <alignment horizontal="center" vertical="center"/>
    </xf>
    <xf numFmtId="3" fontId="6" fillId="41" borderId="8" xfId="0" applyNumberFormat="1" applyFont="1" applyFill="1" applyBorder="1" applyAlignment="1">
      <alignment horizontal="center" vertical="center"/>
    </xf>
    <xf numFmtId="14" fontId="6" fillId="41" borderId="8" xfId="0" applyNumberFormat="1" applyFont="1" applyFill="1" applyBorder="1" applyAlignment="1">
      <alignment horizontal="center" vertical="center"/>
    </xf>
    <xf numFmtId="1" fontId="44" fillId="52" borderId="8" xfId="0" applyNumberFormat="1" applyFont="1" applyFill="1" applyBorder="1" applyAlignment="1">
      <alignment horizontal="center" vertical="center"/>
    </xf>
    <xf numFmtId="0" fontId="5" fillId="47" borderId="1" xfId="0" applyFont="1" applyFill="1" applyBorder="1" applyAlignment="1">
      <alignment horizontal="center" vertical="center" wrapText="1"/>
    </xf>
    <xf numFmtId="164" fontId="9" fillId="8" borderId="15" xfId="0" applyNumberFormat="1" applyFont="1" applyFill="1" applyBorder="1" applyAlignment="1">
      <alignment horizontal="center" vertical="center"/>
    </xf>
    <xf numFmtId="1" fontId="9" fillId="8" borderId="8" xfId="0" applyNumberFormat="1" applyFont="1" applyFill="1" applyBorder="1" applyAlignment="1">
      <alignment horizontal="center" vertical="center"/>
    </xf>
    <xf numFmtId="1" fontId="9" fillId="8" borderId="8" xfId="2" applyNumberFormat="1" applyFont="1" applyFill="1" applyBorder="1" applyAlignment="1">
      <alignment horizontal="center" vertical="center"/>
    </xf>
    <xf numFmtId="14" fontId="9" fillId="38" borderId="1" xfId="7" applyNumberFormat="1" applyFont="1" applyFill="1" applyBorder="1" applyAlignment="1">
      <alignment horizontal="center" vertical="center"/>
    </xf>
    <xf numFmtId="14" fontId="9" fillId="17" borderId="8" xfId="7" applyNumberFormat="1" applyFont="1" applyFill="1" applyBorder="1" applyAlignment="1">
      <alignment horizontal="center" vertical="center"/>
    </xf>
    <xf numFmtId="164" fontId="45" fillId="46" borderId="0" xfId="10" applyNumberFormat="1" applyFont="1" applyFill="1" applyAlignment="1">
      <alignment horizontal="center" vertical="center" wrapText="1"/>
    </xf>
    <xf numFmtId="3" fontId="46" fillId="53" borderId="8" xfId="10" applyNumberFormat="1" applyFont="1" applyFill="1" applyBorder="1" applyAlignment="1">
      <alignment horizontal="center" vertical="center" wrapText="1"/>
    </xf>
    <xf numFmtId="165" fontId="0" fillId="53" borderId="8" xfId="0" applyNumberFormat="1" applyFont="1" applyFill="1" applyBorder="1" applyAlignment="1">
      <alignment horizontal="center" vertical="center"/>
    </xf>
    <xf numFmtId="164" fontId="8" fillId="33" borderId="28" xfId="0" applyNumberFormat="1" applyFont="1" applyFill="1" applyBorder="1" applyAlignment="1">
      <alignment horizontal="center" vertical="center"/>
    </xf>
    <xf numFmtId="0" fontId="8" fillId="4" borderId="8" xfId="5" applyFont="1" applyBorder="1" applyAlignment="1">
      <alignment horizontal="center" vertical="center" wrapText="1"/>
    </xf>
    <xf numFmtId="0" fontId="8" fillId="38" borderId="8" xfId="7" applyFont="1" applyFill="1" applyBorder="1" applyAlignment="1">
      <alignment horizontal="center" vertical="center" wrapText="1"/>
    </xf>
    <xf numFmtId="0" fontId="5" fillId="17" borderId="1" xfId="6" applyFont="1" applyFill="1" applyBorder="1" applyAlignment="1">
      <alignment horizontal="center" vertical="center" wrapText="1"/>
    </xf>
    <xf numFmtId="9" fontId="8" fillId="10" borderId="1" xfId="2" applyFont="1" applyFill="1" applyBorder="1" applyAlignment="1">
      <alignment horizontal="center" vertical="center" wrapText="1"/>
    </xf>
    <xf numFmtId="3" fontId="8" fillId="32" borderId="13" xfId="1" applyNumberFormat="1" applyFont="1" applyFill="1" applyBorder="1" applyAlignment="1">
      <alignment horizontal="center" vertical="center"/>
    </xf>
    <xf numFmtId="3" fontId="8" fillId="32" borderId="13" xfId="0" applyNumberFormat="1" applyFont="1" applyFill="1" applyBorder="1" applyAlignment="1">
      <alignment horizontal="center" vertical="center"/>
    </xf>
    <xf numFmtId="3" fontId="9" fillId="8" borderId="13" xfId="1" applyNumberFormat="1" applyFont="1" applyFill="1" applyBorder="1" applyAlignment="1">
      <alignment horizontal="center" vertical="center"/>
    </xf>
    <xf numFmtId="3" fontId="0" fillId="32" borderId="13" xfId="0" applyNumberFormat="1" applyFont="1" applyFill="1" applyBorder="1" applyAlignment="1">
      <alignment horizontal="center" vertical="center"/>
    </xf>
    <xf numFmtId="164" fontId="8" fillId="32" borderId="12" xfId="0" applyNumberFormat="1" applyFont="1" applyFill="1" applyBorder="1" applyAlignment="1">
      <alignment horizontal="center" vertical="center"/>
    </xf>
    <xf numFmtId="3" fontId="8" fillId="33" borderId="13" xfId="1" applyNumberFormat="1" applyFont="1" applyFill="1" applyBorder="1" applyAlignment="1">
      <alignment horizontal="center" vertical="center"/>
    </xf>
    <xf numFmtId="3" fontId="19" fillId="8" borderId="13" xfId="0" applyNumberFormat="1" applyFont="1" applyFill="1" applyBorder="1" applyAlignment="1">
      <alignment horizontal="center" vertical="center"/>
    </xf>
    <xf numFmtId="3" fontId="8" fillId="8" borderId="13" xfId="0" applyNumberFormat="1" applyFont="1" applyFill="1" applyBorder="1" applyAlignment="1">
      <alignment horizontal="center" vertical="center"/>
    </xf>
    <xf numFmtId="3" fontId="0" fillId="32" borderId="30" xfId="1" applyNumberFormat="1" applyFont="1" applyFill="1" applyBorder="1" applyAlignment="1">
      <alignment horizontal="center" vertical="center"/>
    </xf>
    <xf numFmtId="3" fontId="8" fillId="32" borderId="30" xfId="1" applyNumberFormat="1" applyFont="1" applyFill="1" applyBorder="1" applyAlignment="1">
      <alignment horizontal="center" vertical="center" wrapText="1"/>
    </xf>
    <xf numFmtId="3" fontId="8" fillId="32" borderId="30" xfId="1" applyNumberFormat="1" applyFont="1" applyFill="1" applyBorder="1" applyAlignment="1">
      <alignment horizontal="center" vertical="center"/>
    </xf>
    <xf numFmtId="3" fontId="8" fillId="32" borderId="30" xfId="0" applyNumberFormat="1" applyFont="1" applyFill="1" applyBorder="1" applyAlignment="1">
      <alignment horizontal="center" vertical="center"/>
    </xf>
    <xf numFmtId="3" fontId="0" fillId="32" borderId="30" xfId="0" applyNumberFormat="1" applyFont="1" applyFill="1" applyBorder="1" applyAlignment="1">
      <alignment horizontal="center" vertical="center"/>
    </xf>
    <xf numFmtId="1" fontId="8" fillId="32" borderId="30" xfId="1" applyNumberFormat="1" applyFont="1" applyFill="1" applyBorder="1" applyAlignment="1">
      <alignment horizontal="center" vertical="center"/>
    </xf>
    <xf numFmtId="1" fontId="0" fillId="32" borderId="30" xfId="0" applyNumberFormat="1" applyFont="1" applyFill="1" applyBorder="1" applyAlignment="1">
      <alignment horizontal="center" vertical="center"/>
    </xf>
    <xf numFmtId="176" fontId="0" fillId="0" borderId="2" xfId="0" applyNumberFormat="1" applyFont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 wrapText="1"/>
    </xf>
    <xf numFmtId="14" fontId="8" fillId="9" borderId="1" xfId="3" applyNumberFormat="1" applyFont="1" applyFill="1" applyBorder="1" applyAlignment="1">
      <alignment horizontal="center" vertical="center" wrapText="1"/>
    </xf>
    <xf numFmtId="165" fontId="8" fillId="22" borderId="1" xfId="5" applyNumberFormat="1" applyFont="1" applyFill="1" applyBorder="1" applyAlignment="1">
      <alignment horizontal="center" vertical="center"/>
    </xf>
    <xf numFmtId="165" fontId="8" fillId="16" borderId="1" xfId="5" applyNumberFormat="1" applyFont="1" applyFill="1" applyBorder="1" applyAlignment="1">
      <alignment horizontal="center" vertical="center"/>
    </xf>
    <xf numFmtId="14" fontId="9" fillId="38" borderId="8" xfId="7" applyNumberFormat="1" applyFont="1" applyFill="1" applyBorder="1" applyAlignment="1">
      <alignment horizontal="center" vertical="center"/>
    </xf>
    <xf numFmtId="0" fontId="8" fillId="32" borderId="1" xfId="3" applyFont="1" applyFill="1" applyBorder="1" applyAlignment="1">
      <alignment horizontal="center" vertical="center" wrapText="1"/>
    </xf>
    <xf numFmtId="0" fontId="8" fillId="39" borderId="8" xfId="3" applyFont="1" applyFill="1" applyBorder="1" applyAlignment="1">
      <alignment horizontal="center" vertical="center" wrapText="1"/>
    </xf>
    <xf numFmtId="43" fontId="8" fillId="39" borderId="8" xfId="3" applyNumberFormat="1" applyFont="1" applyFill="1" applyBorder="1" applyAlignment="1">
      <alignment horizontal="center" vertical="center" wrapText="1"/>
    </xf>
    <xf numFmtId="3" fontId="36" fillId="56" borderId="8" xfId="10" applyNumberFormat="1" applyFont="1" applyFill="1" applyBorder="1" applyAlignment="1">
      <alignment horizontal="center" vertical="center" wrapText="1"/>
    </xf>
    <xf numFmtId="3" fontId="36" fillId="56" borderId="8" xfId="10" applyNumberFormat="1" applyFont="1" applyFill="1" applyBorder="1" applyAlignment="1">
      <alignment horizontal="right" vertical="center" wrapText="1"/>
    </xf>
    <xf numFmtId="166" fontId="0" fillId="10" borderId="1" xfId="0" applyNumberFormat="1" applyFont="1" applyFill="1" applyBorder="1" applyAlignment="1">
      <alignment horizontal="center" vertical="center"/>
    </xf>
    <xf numFmtId="166" fontId="8" fillId="15" borderId="1" xfId="1" applyNumberFormat="1" applyFont="1" applyFill="1" applyBorder="1" applyAlignment="1">
      <alignment horizontal="center" vertical="center" wrapText="1"/>
    </xf>
    <xf numFmtId="43" fontId="8" fillId="11" borderId="12" xfId="1" applyFont="1" applyFill="1" applyBorder="1" applyAlignment="1">
      <alignment horizontal="center" vertical="center" wrapText="1"/>
    </xf>
    <xf numFmtId="165" fontId="8" fillId="14" borderId="15" xfId="0" applyNumberFormat="1" applyFont="1" applyFill="1" applyBorder="1" applyAlignment="1">
      <alignment horizontal="center" vertical="center"/>
    </xf>
    <xf numFmtId="165" fontId="0" fillId="12" borderId="15" xfId="0" applyNumberFormat="1" applyFont="1" applyFill="1" applyBorder="1" applyAlignment="1">
      <alignment horizontal="center" vertical="center"/>
    </xf>
    <xf numFmtId="43" fontId="8" fillId="10" borderId="8" xfId="1" applyFont="1" applyFill="1" applyBorder="1" applyAlignment="1">
      <alignment horizontal="center" vertical="center"/>
    </xf>
    <xf numFmtId="9" fontId="0" fillId="12" borderId="8" xfId="2" applyFont="1" applyFill="1" applyBorder="1" applyAlignment="1">
      <alignment horizontal="center" vertical="center"/>
    </xf>
    <xf numFmtId="3" fontId="27" fillId="23" borderId="8" xfId="10" applyNumberFormat="1" applyFont="1" applyFill="1" applyBorder="1" applyAlignment="1">
      <alignment horizontal="center" vertical="center" wrapText="1"/>
    </xf>
    <xf numFmtId="164" fontId="40" fillId="11" borderId="31" xfId="10" applyNumberFormat="1" applyFont="1" applyFill="1" applyBorder="1" applyAlignment="1">
      <alignment horizontal="center" vertical="center" wrapText="1"/>
    </xf>
    <xf numFmtId="3" fontId="30" fillId="34" borderId="30" xfId="1" applyNumberFormat="1" applyFont="1" applyFill="1" applyBorder="1" applyAlignment="1">
      <alignment horizontal="center" vertical="center" wrapText="1"/>
    </xf>
    <xf numFmtId="190" fontId="8" fillId="27" borderId="30" xfId="1" applyNumberFormat="1" applyFont="1" applyFill="1" applyBorder="1" applyAlignment="1">
      <alignment horizontal="center" vertical="center"/>
    </xf>
    <xf numFmtId="3" fontId="9" fillId="27" borderId="30" xfId="0" applyNumberFormat="1" applyFont="1" applyFill="1" applyBorder="1" applyAlignment="1">
      <alignment horizontal="center" vertical="center"/>
    </xf>
    <xf numFmtId="3" fontId="9" fillId="27" borderId="30" xfId="1" applyNumberFormat="1" applyFont="1" applyFill="1" applyBorder="1" applyAlignment="1">
      <alignment horizontal="center" vertical="center"/>
    </xf>
    <xf numFmtId="176" fontId="8" fillId="27" borderId="30" xfId="1" applyNumberFormat="1" applyFont="1" applyFill="1" applyBorder="1" applyAlignment="1">
      <alignment horizontal="center" vertical="center"/>
    </xf>
    <xf numFmtId="1" fontId="19" fillId="27" borderId="30" xfId="1" applyNumberFormat="1" applyFont="1" applyFill="1" applyBorder="1" applyAlignment="1">
      <alignment horizontal="center" vertical="center"/>
    </xf>
    <xf numFmtId="0" fontId="30" fillId="34" borderId="30" xfId="1" applyNumberFormat="1" applyFont="1" applyFill="1" applyBorder="1" applyAlignment="1">
      <alignment horizontal="center" vertical="center" wrapText="1"/>
    </xf>
    <xf numFmtId="164" fontId="9" fillId="12" borderId="28" xfId="1" applyNumberFormat="1" applyFont="1" applyFill="1" applyBorder="1" applyAlignment="1">
      <alignment horizontal="center" vertical="center"/>
    </xf>
    <xf numFmtId="164" fontId="9" fillId="12" borderId="15" xfId="1" applyNumberFormat="1" applyFont="1" applyFill="1" applyBorder="1" applyAlignment="1">
      <alignment horizontal="center" vertical="center"/>
    </xf>
    <xf numFmtId="164" fontId="9" fillId="12" borderId="28" xfId="0" applyNumberFormat="1" applyFont="1" applyFill="1" applyBorder="1" applyAlignment="1">
      <alignment horizontal="center" vertical="center"/>
    </xf>
    <xf numFmtId="164" fontId="31" fillId="11" borderId="31" xfId="10" applyNumberFormat="1" applyFont="1" applyFill="1" applyBorder="1" applyAlignment="1">
      <alignment horizontal="center" vertical="center" wrapText="1"/>
    </xf>
    <xf numFmtId="169" fontId="8" fillId="32" borderId="28" xfId="1" applyNumberFormat="1" applyFont="1" applyFill="1" applyBorder="1" applyAlignment="1">
      <alignment horizontal="center" vertical="center"/>
    </xf>
    <xf numFmtId="14" fontId="8" fillId="32" borderId="28" xfId="0" applyNumberFormat="1" applyFont="1" applyFill="1" applyBorder="1" applyAlignment="1">
      <alignment horizontal="center" vertical="center" wrapText="1"/>
    </xf>
    <xf numFmtId="164" fontId="8" fillId="32" borderId="28" xfId="1" applyNumberFormat="1" applyFont="1" applyFill="1" applyBorder="1" applyAlignment="1">
      <alignment horizontal="center" vertical="center" wrapText="1"/>
    </xf>
    <xf numFmtId="169" fontId="8" fillId="32" borderId="8" xfId="0" applyNumberFormat="1" applyFont="1" applyFill="1" applyBorder="1" applyAlignment="1">
      <alignment horizontal="center" vertical="center"/>
    </xf>
    <xf numFmtId="164" fontId="35" fillId="32" borderId="8" xfId="0" applyNumberFormat="1" applyFont="1" applyFill="1" applyBorder="1" applyAlignment="1">
      <alignment horizontal="center" vertical="center"/>
    </xf>
    <xf numFmtId="3" fontId="9" fillId="8" borderId="8" xfId="1" applyNumberFormat="1" applyFont="1" applyFill="1" applyBorder="1" applyAlignment="1">
      <alignment horizontal="center" vertical="center"/>
    </xf>
    <xf numFmtId="43" fontId="8" fillId="44" borderId="8" xfId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3" fontId="8" fillId="32" borderId="8" xfId="1" applyNumberFormat="1" applyFont="1" applyFill="1" applyBorder="1" applyAlignment="1">
      <alignment horizontal="center" vertical="center"/>
    </xf>
    <xf numFmtId="165" fontId="7" fillId="11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9" fontId="0" fillId="32" borderId="8" xfId="0" applyNumberFormat="1" applyFont="1" applyFill="1" applyBorder="1" applyAlignment="1">
      <alignment horizontal="center" vertical="center"/>
    </xf>
    <xf numFmtId="0" fontId="8" fillId="30" borderId="1" xfId="8" applyFont="1" applyFill="1" applyBorder="1" applyAlignment="1">
      <alignment horizontal="center" vertical="center"/>
    </xf>
    <xf numFmtId="0" fontId="8" fillId="31" borderId="1" xfId="3" applyFont="1" applyFill="1" applyBorder="1" applyAlignment="1">
      <alignment horizontal="center" vertical="center" wrapText="1"/>
    </xf>
    <xf numFmtId="14" fontId="9" fillId="2" borderId="1" xfId="3" applyNumberFormat="1" applyFont="1" applyBorder="1" applyAlignment="1">
      <alignment horizontal="center" vertical="center" wrapText="1"/>
    </xf>
    <xf numFmtId="3" fontId="8" fillId="8" borderId="11" xfId="1" applyNumberFormat="1" applyFont="1" applyFill="1" applyBorder="1" applyAlignment="1">
      <alignment horizontal="center" vertical="center"/>
    </xf>
    <xf numFmtId="165" fontId="0" fillId="10" borderId="11" xfId="0" applyNumberFormat="1" applyFont="1" applyFill="1" applyBorder="1" applyAlignment="1">
      <alignment horizontal="center" vertical="center"/>
    </xf>
    <xf numFmtId="165" fontId="0" fillId="49" borderId="8" xfId="0" applyNumberFormat="1" applyFont="1" applyFill="1" applyBorder="1" applyAlignment="1">
      <alignment horizontal="center" vertical="center"/>
    </xf>
    <xf numFmtId="165" fontId="0" fillId="11" borderId="28" xfId="0" applyNumberFormat="1" applyFont="1" applyFill="1" applyBorder="1" applyAlignment="1">
      <alignment horizontal="center" vertical="center"/>
    </xf>
    <xf numFmtId="43" fontId="0" fillId="14" borderId="8" xfId="1" applyFont="1" applyFill="1" applyBorder="1" applyAlignment="1">
      <alignment horizontal="center" vertical="center"/>
    </xf>
    <xf numFmtId="183" fontId="0" fillId="11" borderId="1" xfId="0" applyNumberFormat="1" applyFont="1" applyFill="1" applyBorder="1" applyAlignment="1">
      <alignment horizontal="center" vertical="center"/>
    </xf>
    <xf numFmtId="183" fontId="0" fillId="12" borderId="1" xfId="0" applyNumberFormat="1" applyFont="1" applyFill="1" applyBorder="1" applyAlignment="1">
      <alignment horizontal="center" vertical="center"/>
    </xf>
    <xf numFmtId="165" fontId="9" fillId="11" borderId="1" xfId="0" applyNumberFormat="1" applyFont="1" applyFill="1" applyBorder="1" applyAlignment="1">
      <alignment horizontal="center" vertical="center"/>
    </xf>
    <xf numFmtId="43" fontId="0" fillId="8" borderId="8" xfId="1" applyFont="1" applyFill="1" applyBorder="1" applyAlignment="1">
      <alignment horizontal="center" vertical="center"/>
    </xf>
    <xf numFmtId="3" fontId="0" fillId="53" borderId="12" xfId="0" applyNumberFormat="1" applyFont="1" applyFill="1" applyBorder="1" applyAlignment="1">
      <alignment horizontal="center" vertical="center"/>
    </xf>
    <xf numFmtId="10" fontId="0" fillId="53" borderId="8" xfId="2" applyNumberFormat="1" applyFont="1" applyFill="1" applyBorder="1" applyAlignment="1">
      <alignment horizontal="center" vertical="center"/>
    </xf>
    <xf numFmtId="10" fontId="0" fillId="32" borderId="8" xfId="2" applyNumberFormat="1" applyFont="1" applyFill="1" applyBorder="1" applyAlignment="1">
      <alignment horizontal="center" vertical="center"/>
    </xf>
    <xf numFmtId="3" fontId="7" fillId="44" borderId="8" xfId="0" applyNumberFormat="1" applyFont="1" applyFill="1" applyBorder="1" applyAlignment="1">
      <alignment horizontal="center" vertical="center"/>
    </xf>
    <xf numFmtId="165" fontId="8" fillId="11" borderId="15" xfId="0" applyNumberFormat="1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left" vertical="center"/>
    </xf>
    <xf numFmtId="1" fontId="0" fillId="9" borderId="1" xfId="2" applyNumberFormat="1" applyFont="1" applyFill="1" applyBorder="1" applyAlignment="1">
      <alignment horizontal="center" vertical="center"/>
    </xf>
    <xf numFmtId="164" fontId="8" fillId="17" borderId="1" xfId="6" applyNumberFormat="1" applyFont="1" applyFill="1" applyBorder="1" applyAlignment="1">
      <alignment horizontal="center" vertical="center"/>
    </xf>
    <xf numFmtId="164" fontId="8" fillId="14" borderId="1" xfId="6" applyNumberFormat="1" applyFont="1" applyFill="1" applyBorder="1" applyAlignment="1">
      <alignment horizontal="center" vertical="center"/>
    </xf>
    <xf numFmtId="164" fontId="35" fillId="32" borderId="8" xfId="10" applyNumberFormat="1" applyFont="1" applyFill="1" applyBorder="1" applyAlignment="1">
      <alignment horizontal="center" vertical="center" wrapText="1"/>
    </xf>
    <xf numFmtId="164" fontId="9" fillId="12" borderId="11" xfId="1" applyNumberFormat="1" applyFont="1" applyFill="1" applyBorder="1" applyAlignment="1">
      <alignment horizontal="center" vertical="center"/>
    </xf>
    <xf numFmtId="0" fontId="0" fillId="53" borderId="0" xfId="0" applyFont="1" applyFill="1" applyBorder="1" applyAlignment="1">
      <alignment horizontal="center" vertical="center"/>
    </xf>
    <xf numFmtId="183" fontId="0" fillId="11" borderId="8" xfId="0" applyNumberFormat="1" applyFont="1" applyFill="1" applyBorder="1" applyAlignment="1">
      <alignment horizontal="center" vertical="center"/>
    </xf>
    <xf numFmtId="183" fontId="0" fillId="12" borderId="8" xfId="0" applyNumberFormat="1" applyFont="1" applyFill="1" applyBorder="1" applyAlignment="1">
      <alignment horizontal="center" vertical="center"/>
    </xf>
    <xf numFmtId="0" fontId="30" fillId="36" borderId="0" xfId="1" applyNumberFormat="1" applyFont="1" applyFill="1" applyBorder="1" applyAlignment="1">
      <alignment horizontal="center" vertical="center" wrapText="1"/>
    </xf>
    <xf numFmtId="164" fontId="31" fillId="11" borderId="27" xfId="10" applyNumberFormat="1" applyFont="1" applyFill="1" applyBorder="1" applyAlignment="1">
      <alignment horizontal="center" vertical="center" wrapText="1"/>
    </xf>
    <xf numFmtId="14" fontId="8" fillId="32" borderId="8" xfId="5" applyNumberFormat="1" applyFont="1" applyFill="1" applyBorder="1" applyAlignment="1">
      <alignment horizontal="center" vertical="center"/>
    </xf>
    <xf numFmtId="14" fontId="35" fillId="32" borderId="8" xfId="10" applyNumberFormat="1" applyFont="1" applyFill="1" applyBorder="1" applyAlignment="1">
      <alignment horizontal="center" vertical="center" wrapText="1"/>
    </xf>
    <xf numFmtId="43" fontId="0" fillId="10" borderId="1" xfId="1" applyFont="1" applyFill="1" applyBorder="1" applyAlignment="1">
      <alignment horizontal="center" vertical="center"/>
    </xf>
    <xf numFmtId="166" fontId="0" fillId="14" borderId="1" xfId="1" applyNumberFormat="1" applyFont="1" applyFill="1" applyBorder="1" applyAlignment="1">
      <alignment horizontal="center" vertical="center"/>
    </xf>
    <xf numFmtId="43" fontId="8" fillId="8" borderId="8" xfId="1" applyFont="1" applyFill="1" applyBorder="1" applyAlignment="1">
      <alignment horizontal="center" vertical="center"/>
    </xf>
    <xf numFmtId="3" fontId="0" fillId="53" borderId="0" xfId="0" applyNumberFormat="1" applyFont="1" applyFill="1" applyBorder="1" applyAlignment="1">
      <alignment horizontal="center" vertical="center"/>
    </xf>
    <xf numFmtId="3" fontId="0" fillId="23" borderId="12" xfId="0" applyNumberFormat="1" applyFont="1" applyFill="1" applyBorder="1" applyAlignment="1">
      <alignment horizontal="center" vertical="center"/>
    </xf>
    <xf numFmtId="3" fontId="0" fillId="23" borderId="12" xfId="0" applyNumberFormat="1" applyFont="1" applyFill="1" applyBorder="1" applyAlignment="1">
      <alignment horizontal="center" vertical="center" wrapText="1"/>
    </xf>
    <xf numFmtId="166" fontId="0" fillId="0" borderId="2" xfId="1" applyNumberFormat="1" applyFont="1" applyBorder="1" applyAlignment="1">
      <alignment horizontal="center" vertical="center"/>
    </xf>
    <xf numFmtId="0" fontId="0" fillId="32" borderId="1" xfId="0" applyFont="1" applyFill="1" applyBorder="1" applyAlignment="1">
      <alignment horizontal="center" vertical="center"/>
    </xf>
    <xf numFmtId="176" fontId="0" fillId="12" borderId="11" xfId="0" applyNumberFormat="1" applyFont="1" applyFill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165" fontId="0" fillId="19" borderId="15" xfId="0" applyNumberFormat="1" applyFont="1" applyFill="1" applyBorder="1" applyAlignment="1">
      <alignment horizontal="center" vertical="center"/>
    </xf>
    <xf numFmtId="183" fontId="8" fillId="11" borderId="1" xfId="0" applyNumberFormat="1" applyFont="1" applyFill="1" applyBorder="1" applyAlignment="1">
      <alignment horizontal="center" vertical="center"/>
    </xf>
    <xf numFmtId="183" fontId="8" fillId="12" borderId="1" xfId="0" applyNumberFormat="1" applyFont="1" applyFill="1" applyBorder="1" applyAlignment="1">
      <alignment horizontal="center" vertical="center"/>
    </xf>
    <xf numFmtId="166" fontId="8" fillId="14" borderId="8" xfId="1" applyNumberFormat="1" applyFont="1" applyFill="1" applyBorder="1" applyAlignment="1">
      <alignment horizontal="center" vertical="center" wrapText="1"/>
    </xf>
    <xf numFmtId="164" fontId="9" fillId="12" borderId="11" xfId="0" applyNumberFormat="1" applyFont="1" applyFill="1" applyBorder="1" applyAlignment="1">
      <alignment horizontal="center" vertical="center"/>
    </xf>
    <xf numFmtId="164" fontId="8" fillId="32" borderId="11" xfId="1" applyNumberFormat="1" applyFont="1" applyFill="1" applyBorder="1" applyAlignment="1">
      <alignment horizontal="center" vertical="center"/>
    </xf>
    <xf numFmtId="0" fontId="38" fillId="23" borderId="12" xfId="0" applyFont="1" applyFill="1" applyBorder="1" applyAlignment="1">
      <alignment horizontal="center" vertical="center" wrapText="1"/>
    </xf>
    <xf numFmtId="0" fontId="38" fillId="23" borderId="12" xfId="0" applyFont="1" applyFill="1" applyBorder="1" applyAlignment="1">
      <alignment horizontal="center" vertical="center"/>
    </xf>
    <xf numFmtId="165" fontId="0" fillId="10" borderId="13" xfId="0" applyNumberFormat="1" applyFont="1" applyFill="1" applyBorder="1" applyAlignment="1">
      <alignment horizontal="center" vertical="center"/>
    </xf>
    <xf numFmtId="165" fontId="0" fillId="12" borderId="13" xfId="0" applyNumberFormat="1" applyFont="1" applyFill="1" applyBorder="1" applyAlignment="1">
      <alignment horizontal="center" vertical="center"/>
    </xf>
    <xf numFmtId="43" fontId="0" fillId="0" borderId="0" xfId="0" applyNumberFormat="1" applyFont="1" applyBorder="1" applyAlignment="1">
      <alignment horizontal="center"/>
    </xf>
    <xf numFmtId="43" fontId="8" fillId="8" borderId="8" xfId="1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/>
    </xf>
    <xf numFmtId="0" fontId="0" fillId="29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6" fontId="0" fillId="0" borderId="0" xfId="1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6" fillId="29" borderId="0" xfId="0" applyFont="1" applyFill="1" applyBorder="1" applyAlignment="1">
      <alignment horizontal="center" vertical="center"/>
    </xf>
    <xf numFmtId="41" fontId="6" fillId="29" borderId="0" xfId="0" applyNumberFormat="1" applyFont="1" applyFill="1" applyBorder="1" applyAlignment="1">
      <alignment horizontal="center" vertical="center"/>
    </xf>
    <xf numFmtId="0" fontId="5" fillId="0" borderId="0" xfId="1" applyNumberFormat="1" applyFont="1" applyBorder="1" applyAlignment="1">
      <alignment horizontal="right" vertical="center"/>
    </xf>
    <xf numFmtId="1" fontId="0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9" fontId="6" fillId="0" borderId="0" xfId="2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9" fontId="0" fillId="0" borderId="0" xfId="2" applyFont="1" applyBorder="1" applyAlignment="1">
      <alignment horizontal="center" vertical="center" wrapText="1"/>
    </xf>
    <xf numFmtId="165" fontId="6" fillId="0" borderId="0" xfId="0" applyNumberFormat="1" applyFont="1" applyBorder="1" applyAlignment="1">
      <alignment horizontal="center" vertical="center"/>
    </xf>
    <xf numFmtId="0" fontId="18" fillId="13" borderId="0" xfId="0" applyFont="1" applyFill="1" applyBorder="1" applyAlignment="1">
      <alignment horizontal="center" vertical="center"/>
    </xf>
    <xf numFmtId="41" fontId="0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8" fillId="9" borderId="0" xfId="0" applyFont="1" applyFill="1" applyBorder="1" applyAlignment="1">
      <alignment horizontal="center" vertical="center"/>
    </xf>
    <xf numFmtId="1" fontId="8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3" fontId="5" fillId="8" borderId="0" xfId="0" applyNumberFormat="1" applyFont="1" applyFill="1" applyBorder="1" applyAlignment="1">
      <alignment horizontal="center" vertical="center" wrapText="1"/>
    </xf>
    <xf numFmtId="166" fontId="8" fillId="0" borderId="0" xfId="1" applyNumberFormat="1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indent="1"/>
    </xf>
    <xf numFmtId="0" fontId="0" fillId="0" borderId="0" xfId="0" applyNumberFormat="1" applyFont="1" applyBorder="1"/>
    <xf numFmtId="3" fontId="5" fillId="0" borderId="0" xfId="0" applyNumberFormat="1" applyFont="1" applyBorder="1" applyAlignment="1">
      <alignment horizontal="center" vertical="center" wrapText="1"/>
    </xf>
    <xf numFmtId="3" fontId="8" fillId="0" borderId="0" xfId="0" applyNumberFormat="1" applyFont="1" applyBorder="1" applyAlignment="1">
      <alignment horizontal="center" vertical="center" wrapText="1"/>
    </xf>
    <xf numFmtId="0" fontId="23" fillId="35" borderId="16" xfId="9" applyFont="1" applyFill="1" applyBorder="1" applyAlignment="1">
      <alignment horizontal="center" vertical="center"/>
    </xf>
    <xf numFmtId="0" fontId="23" fillId="35" borderId="4" xfId="9" applyFont="1" applyFill="1" applyBorder="1" applyAlignment="1">
      <alignment horizontal="center" vertical="center"/>
    </xf>
    <xf numFmtId="0" fontId="6" fillId="44" borderId="16" xfId="0" applyFont="1" applyFill="1" applyBorder="1" applyAlignment="1">
      <alignment horizontal="center" vertical="center" wrapText="1"/>
    </xf>
    <xf numFmtId="0" fontId="6" fillId="44" borderId="4" xfId="0" applyFont="1" applyFill="1" applyBorder="1" applyAlignment="1">
      <alignment horizontal="center" vertical="center" wrapText="1"/>
    </xf>
    <xf numFmtId="0" fontId="23" fillId="48" borderId="16" xfId="9" applyFont="1" applyFill="1" applyBorder="1" applyAlignment="1">
      <alignment horizontal="center" vertical="center"/>
    </xf>
    <xf numFmtId="0" fontId="23" fillId="48" borderId="4" xfId="9" applyFont="1" applyFill="1" applyBorder="1" applyAlignment="1">
      <alignment horizontal="center" vertical="center"/>
    </xf>
    <xf numFmtId="0" fontId="23" fillId="46" borderId="16" xfId="9" applyFont="1" applyFill="1" applyBorder="1" applyAlignment="1">
      <alignment horizontal="center" vertical="center"/>
    </xf>
    <xf numFmtId="0" fontId="23" fillId="46" borderId="4" xfId="9" applyFont="1" applyFill="1" applyBorder="1" applyAlignment="1">
      <alignment horizontal="center" vertical="center"/>
    </xf>
    <xf numFmtId="0" fontId="23" fillId="47" borderId="16" xfId="9" applyFont="1" applyFill="1" applyBorder="1" applyAlignment="1">
      <alignment horizontal="center" vertical="center"/>
    </xf>
    <xf numFmtId="0" fontId="23" fillId="47" borderId="4" xfId="9" applyFont="1" applyFill="1" applyBorder="1" applyAlignment="1">
      <alignment horizontal="center" vertical="center"/>
    </xf>
    <xf numFmtId="0" fontId="23" fillId="38" borderId="16" xfId="9" applyFont="1" applyFill="1" applyBorder="1" applyAlignment="1">
      <alignment horizontal="center" vertical="center"/>
    </xf>
    <xf numFmtId="0" fontId="23" fillId="38" borderId="4" xfId="9" applyFont="1" applyFill="1" applyBorder="1" applyAlignment="1">
      <alignment horizontal="center" vertical="center"/>
    </xf>
  </cellXfs>
  <cellStyles count="20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Excel Built-in RowLevel_0" xfId="16"/>
    <cellStyle name="Excel_BuiltIn_RowLevel_1" xfId="18"/>
    <cellStyle name="Milliers" xfId="1" builtinId="3"/>
    <cellStyle name="Milliers 2" xfId="11"/>
    <cellStyle name="Neutre" xfId="4" builtinId="28"/>
    <cellStyle name="NiveauLigne_8" xfId="17"/>
    <cellStyle name="Normal" xfId="0" builtinId="0"/>
    <cellStyle name="Normal 2" xfId="10"/>
    <cellStyle name="Normal 3" xfId="13"/>
    <cellStyle name="Normal 4" xfId="14"/>
    <cellStyle name="Normal 5" xfId="19"/>
    <cellStyle name="Normal_Liste programmation logts PCA NBL v2014" xfId="9"/>
    <cellStyle name="Normal_Prévisionnel HONO PAC 2012 V4 fev 2012" xfId="12"/>
    <cellStyle name="Pourcentage" xfId="2" builtinId="5"/>
    <cellStyle name="Pourcentage 2" xfId="15"/>
    <cellStyle name="Satisfaisant" xfId="3" builtinId="26"/>
  </cellStyles>
  <dxfs count="3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6600"/>
      <color rgb="FF08E61D"/>
      <color rgb="FF0099FF"/>
      <color rgb="FFFF0066"/>
      <color rgb="FFFFFF99"/>
      <color rgb="FFFF5050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13E-88BA-49B1-9CE7-0FE5B6F55D49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181036745406823"/>
          <c:h val="0.5706051326917468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D743-485C-85A8-46AAD4F995FD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D743-485C-85A8-46AAD4F995F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146530017710788"/>
          <c:h val="0.560975759570668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9D65-47E6-A29B-84F0AE2A7889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3C8-9D65-47E6-A29B-84F0AE2A7889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9D65-47E6-A29B-84F0AE2A7889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5A9-4F0F-A781-AA62B7A4A083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3C8-75A9-4F0F-A781-AA62B7A4A083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50B-75A9-4F0F-A781-AA62B7A4A083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75A9-4F0F-A781-AA62B7A4A083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EDA-4BDF-B4D6-AED2B07C434D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3C8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50B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64E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initiales'!$B$160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initiales'!$C$160:$N$160</c15:sqref>
                        </c15:fullRef>
                        <c15:formulaRef>
                          <c15:sqref>('Données initiales'!$C$160,'Données initiales'!$E$160,'Données initiales'!$G$160,'Données initiales'!$I$160,'Données initiales'!$K$160,'Données initiales'!$M$160)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7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initiales'!$D$160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DB9F-452A-82DA-49E825A71C5F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3C8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50B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64E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initiales'!$B$160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initiales'!$C$160:$N$160</c15:sqref>
                        </c15:fullRef>
                        <c15:formulaRef>
                          <c15:sqref>('Données initiales'!$C$160,'Données initiales'!$E$160,'Données initiales'!$G$160,'Données initiales'!$I$160,'Données initiales'!$K$160,'Données initiales'!$M$160)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7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791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initiales'!$D$160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initiales'!$B$161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initiales'!$C$161:$N$161</c15:sqref>
                        </c15:fullRef>
                        <c15:formulaRef>
                          <c15:sqref>('Données initiales'!$C$161,'Données initiales'!$E$161,'Données initiales'!$G$161,'Données initiales'!$I$161,'Données initiales'!$K$161,'Données initiales'!$M$161)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4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initiales'!$D$161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2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834F-4CA6-9848-E201B4DA109F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3C8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50B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64E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initiales'!$B$160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initiales'!$C$160:$N$160</c15:sqref>
                        </c15:fullRef>
                        <c15:formulaRef>
                          <c15:sqref>('Données initiales'!$C$160,'Données initiales'!$E$160,'Données initiales'!$G$160,'Données initiales'!$I$160,'Données initiales'!$K$160,'Données initiales'!$M$160)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7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791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initiales'!$D$160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initiales'!$B$161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initiales'!$C$161:$N$161</c15:sqref>
                        </c15:fullRef>
                        <c15:formulaRef>
                          <c15:sqref>('Données initiales'!$C$161,'Données initiales'!$E$161,'Données initiales'!$G$161,'Données initiales'!$I$161,'Données initiales'!$K$161,'Données initiales'!$M$161)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4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8D4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initiales'!$D$161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initiales'!$B$162</c15:sqref>
                        </c15:formulaRef>
                      </c:ext>
                    </c:extLst>
                    <c:strCache>
                      <c:ptCount val="1"/>
                      <c:pt idx="0">
                        <c:v>SRI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initiales'!$C$162:$N$162</c15:sqref>
                        </c15:fullRef>
                        <c15:formulaRef>
                          <c15:sqref>('Données initiales'!$C$162,'Données initiales'!$E$162,'Données initiales'!$G$162,'Données initiales'!$I$162,'Données initiales'!$K$162,'Données initiales'!$M$162)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A17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initiales'!$D$162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initiales'!$B$163</c15:sqref>
                        </c15:formulaRef>
                      </c:ext>
                    </c:extLst>
                    <c:strCache>
                      <c:ptCount val="1"/>
                      <c:pt idx="0">
                        <c:v>VAF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initiales'!$C$163:$N$163</c15:sqref>
                        </c15:fullRef>
                        <c15:formulaRef>
                          <c15:sqref>('Données initiales'!$C$163,'Données initiales'!$E$163,'Données initiales'!$G$163,'Données initiales'!$I$163,'Données initiales'!$K$163,'Données initiales'!$M$163)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6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initiales'!$D$163</c15:sqref>
                        <c15:spPr xmlns:c15="http://schemas.microsoft.com/office/drawing/2012/chart">
                          <a:solidFill>
                            <a:schemeClr val="accent2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ndar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'Données initiales'!$D$2:$D$107</c:f>
              <c:numCache>
                <c:formatCode>General</c:formatCode>
                <c:ptCount val="106"/>
                <c:pt idx="0">
                  <c:v>2010</c:v>
                </c:pt>
                <c:pt idx="1">
                  <c:v>2010</c:v>
                </c:pt>
                <c:pt idx="2">
                  <c:v>2011</c:v>
                </c:pt>
                <c:pt idx="3">
                  <c:v>2011</c:v>
                </c:pt>
                <c:pt idx="4">
                  <c:v>2011</c:v>
                </c:pt>
                <c:pt idx="5">
                  <c:v>2011</c:v>
                </c:pt>
                <c:pt idx="6">
                  <c:v>2011</c:v>
                </c:pt>
                <c:pt idx="7">
                  <c:v>2011</c:v>
                </c:pt>
                <c:pt idx="8">
                  <c:v>2011</c:v>
                </c:pt>
                <c:pt idx="9">
                  <c:v>2012</c:v>
                </c:pt>
                <c:pt idx="10">
                  <c:v>2012</c:v>
                </c:pt>
                <c:pt idx="11">
                  <c:v>2012</c:v>
                </c:pt>
                <c:pt idx="12">
                  <c:v>2012</c:v>
                </c:pt>
                <c:pt idx="13">
                  <c:v>2012</c:v>
                </c:pt>
                <c:pt idx="14">
                  <c:v>2012</c:v>
                </c:pt>
                <c:pt idx="15">
                  <c:v>2012</c:v>
                </c:pt>
                <c:pt idx="16">
                  <c:v>2012</c:v>
                </c:pt>
                <c:pt idx="17">
                  <c:v>2012</c:v>
                </c:pt>
                <c:pt idx="18">
                  <c:v>2012</c:v>
                </c:pt>
                <c:pt idx="19">
                  <c:v>2012</c:v>
                </c:pt>
                <c:pt idx="20">
                  <c:v>2012</c:v>
                </c:pt>
                <c:pt idx="21">
                  <c:v>2013</c:v>
                </c:pt>
                <c:pt idx="22">
                  <c:v>2013</c:v>
                </c:pt>
                <c:pt idx="23">
                  <c:v>2013</c:v>
                </c:pt>
                <c:pt idx="24">
                  <c:v>2013</c:v>
                </c:pt>
                <c:pt idx="25">
                  <c:v>2013</c:v>
                </c:pt>
                <c:pt idx="26">
                  <c:v>2013</c:v>
                </c:pt>
                <c:pt idx="27">
                  <c:v>2013</c:v>
                </c:pt>
                <c:pt idx="28">
                  <c:v>2013</c:v>
                </c:pt>
                <c:pt idx="29">
                  <c:v>2013</c:v>
                </c:pt>
                <c:pt idx="30">
                  <c:v>2013</c:v>
                </c:pt>
                <c:pt idx="31">
                  <c:v>2013</c:v>
                </c:pt>
                <c:pt idx="32">
                  <c:v>2013</c:v>
                </c:pt>
                <c:pt idx="33">
                  <c:v>2014</c:v>
                </c:pt>
                <c:pt idx="34">
                  <c:v>2014</c:v>
                </c:pt>
                <c:pt idx="35">
                  <c:v>2014</c:v>
                </c:pt>
                <c:pt idx="36">
                  <c:v>2014</c:v>
                </c:pt>
                <c:pt idx="37">
                  <c:v>2014</c:v>
                </c:pt>
                <c:pt idx="38">
                  <c:v>2014</c:v>
                </c:pt>
                <c:pt idx="39">
                  <c:v>2015</c:v>
                </c:pt>
                <c:pt idx="40">
                  <c:v>2015</c:v>
                </c:pt>
                <c:pt idx="41">
                  <c:v>2015</c:v>
                </c:pt>
                <c:pt idx="42">
                  <c:v>2015</c:v>
                </c:pt>
                <c:pt idx="43">
                  <c:v>2015</c:v>
                </c:pt>
                <c:pt idx="44">
                  <c:v>2015</c:v>
                </c:pt>
                <c:pt idx="45">
                  <c:v>2015</c:v>
                </c:pt>
                <c:pt idx="46">
                  <c:v>2015</c:v>
                </c:pt>
                <c:pt idx="47">
                  <c:v>2016</c:v>
                </c:pt>
                <c:pt idx="48">
                  <c:v>2016</c:v>
                </c:pt>
                <c:pt idx="49">
                  <c:v>2016</c:v>
                </c:pt>
                <c:pt idx="50">
                  <c:v>2016</c:v>
                </c:pt>
                <c:pt idx="51">
                  <c:v>2018</c:v>
                </c:pt>
                <c:pt idx="52">
                  <c:v>2016</c:v>
                </c:pt>
                <c:pt idx="53">
                  <c:v>2016</c:v>
                </c:pt>
                <c:pt idx="54">
                  <c:v>2016</c:v>
                </c:pt>
                <c:pt idx="55">
                  <c:v>2016</c:v>
                </c:pt>
                <c:pt idx="56">
                  <c:v>2017</c:v>
                </c:pt>
                <c:pt idx="57">
                  <c:v>2017</c:v>
                </c:pt>
                <c:pt idx="58">
                  <c:v>2016</c:v>
                </c:pt>
                <c:pt idx="59">
                  <c:v>2017</c:v>
                </c:pt>
                <c:pt idx="60">
                  <c:v>2017</c:v>
                </c:pt>
                <c:pt idx="61">
                  <c:v>2017</c:v>
                </c:pt>
                <c:pt idx="62">
                  <c:v>2017</c:v>
                </c:pt>
                <c:pt idx="63">
                  <c:v>2017</c:v>
                </c:pt>
                <c:pt idx="64">
                  <c:v>2017</c:v>
                </c:pt>
                <c:pt idx="65">
                  <c:v>2017</c:v>
                </c:pt>
                <c:pt idx="66">
                  <c:v>2017</c:v>
                </c:pt>
                <c:pt idx="67">
                  <c:v>2017</c:v>
                </c:pt>
                <c:pt idx="68">
                  <c:v>2017</c:v>
                </c:pt>
                <c:pt idx="69">
                  <c:v>2018</c:v>
                </c:pt>
                <c:pt idx="70">
                  <c:v>2018</c:v>
                </c:pt>
                <c:pt idx="71">
                  <c:v>2018</c:v>
                </c:pt>
                <c:pt idx="72">
                  <c:v>2017</c:v>
                </c:pt>
                <c:pt idx="73">
                  <c:v>2018</c:v>
                </c:pt>
                <c:pt idx="74">
                  <c:v>2018</c:v>
                </c:pt>
                <c:pt idx="75">
                  <c:v>2018</c:v>
                </c:pt>
                <c:pt idx="76">
                  <c:v>2018</c:v>
                </c:pt>
                <c:pt idx="77">
                  <c:v>2018</c:v>
                </c:pt>
                <c:pt idx="78">
                  <c:v>2018</c:v>
                </c:pt>
                <c:pt idx="79">
                  <c:v>2018</c:v>
                </c:pt>
                <c:pt idx="80">
                  <c:v>2019</c:v>
                </c:pt>
                <c:pt idx="81">
                  <c:v>2019</c:v>
                </c:pt>
                <c:pt idx="82">
                  <c:v>2019</c:v>
                </c:pt>
                <c:pt idx="83">
                  <c:v>2019</c:v>
                </c:pt>
                <c:pt idx="84">
                  <c:v>2019</c:v>
                </c:pt>
                <c:pt idx="85">
                  <c:v>2019</c:v>
                </c:pt>
                <c:pt idx="86">
                  <c:v>2019</c:v>
                </c:pt>
                <c:pt idx="87">
                  <c:v>2019</c:v>
                </c:pt>
                <c:pt idx="88">
                  <c:v>2019</c:v>
                </c:pt>
                <c:pt idx="89">
                  <c:v>2019</c:v>
                </c:pt>
                <c:pt idx="90">
                  <c:v>2019</c:v>
                </c:pt>
                <c:pt idx="91">
                  <c:v>2019</c:v>
                </c:pt>
                <c:pt idx="92">
                  <c:v>2019</c:v>
                </c:pt>
                <c:pt idx="93">
                  <c:v>2019</c:v>
                </c:pt>
                <c:pt idx="94">
                  <c:v>2019</c:v>
                </c:pt>
                <c:pt idx="95">
                  <c:v>2020</c:v>
                </c:pt>
                <c:pt idx="96">
                  <c:v>2020</c:v>
                </c:pt>
                <c:pt idx="97">
                  <c:v>2020</c:v>
                </c:pt>
                <c:pt idx="98">
                  <c:v>2020</c:v>
                </c:pt>
                <c:pt idx="99">
                  <c:v>2020</c:v>
                </c:pt>
                <c:pt idx="100">
                  <c:v>2020</c:v>
                </c:pt>
                <c:pt idx="101">
                  <c:v>2020</c:v>
                </c:pt>
                <c:pt idx="102">
                  <c:v>2020</c:v>
                </c:pt>
                <c:pt idx="103">
                  <c:v>2020</c:v>
                </c:pt>
                <c:pt idx="104">
                  <c:v>2021</c:v>
                </c:pt>
                <c:pt idx="105">
                  <c:v>2021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 w="25400">
              <a:noFill/>
            </a:ln>
            <a:effectLst/>
          </c:spPr>
          <c:val>
            <c:numRef>
              <c:f>'Données initiales'!$GI$2:$GI$107</c:f>
              <c:numCache>
                <c:formatCode>#,##0</c:formatCode>
                <c:ptCount val="106"/>
                <c:pt idx="0">
                  <c:v>3574937</c:v>
                </c:pt>
                <c:pt idx="1">
                  <c:v>3911389</c:v>
                </c:pt>
                <c:pt idx="2">
                  <c:v>4024614</c:v>
                </c:pt>
                <c:pt idx="3">
                  <c:v>3732556</c:v>
                </c:pt>
                <c:pt idx="4">
                  <c:v>9522775</c:v>
                </c:pt>
                <c:pt idx="5">
                  <c:v>926283</c:v>
                </c:pt>
                <c:pt idx="6">
                  <c:v>2817333</c:v>
                </c:pt>
                <c:pt idx="7">
                  <c:v>642137</c:v>
                </c:pt>
                <c:pt idx="8">
                  <c:v>2230353.88</c:v>
                </c:pt>
                <c:pt idx="9">
                  <c:v>1127563</c:v>
                </c:pt>
                <c:pt idx="10">
                  <c:v>2368881</c:v>
                </c:pt>
                <c:pt idx="11">
                  <c:v>9756378.3699999992</c:v>
                </c:pt>
                <c:pt idx="12">
                  <c:v>5090210.4499999993</c:v>
                </c:pt>
                <c:pt idx="13">
                  <c:v>4681218.38</c:v>
                </c:pt>
                <c:pt idx="14">
                  <c:v>1898659.47</c:v>
                </c:pt>
                <c:pt idx="15">
                  <c:v>2108085.62</c:v>
                </c:pt>
                <c:pt idx="16">
                  <c:v>12349548.309999999</c:v>
                </c:pt>
                <c:pt idx="17">
                  <c:v>3899161</c:v>
                </c:pt>
                <c:pt idx="18">
                  <c:v>4111004</c:v>
                </c:pt>
                <c:pt idx="19">
                  <c:v>3203900</c:v>
                </c:pt>
                <c:pt idx="20">
                  <c:v>10359154.550000001</c:v>
                </c:pt>
                <c:pt idx="21" formatCode="#\ ##0\ _€">
                  <c:v>2426621</c:v>
                </c:pt>
                <c:pt idx="22" formatCode="#\ ##0\ _€">
                  <c:v>1553965</c:v>
                </c:pt>
                <c:pt idx="23">
                  <c:v>7319203</c:v>
                </c:pt>
                <c:pt idx="24">
                  <c:v>7137960</c:v>
                </c:pt>
                <c:pt idx="25">
                  <c:v>6464079</c:v>
                </c:pt>
                <c:pt idx="26" formatCode="#\ ##0\ _€">
                  <c:v>2951882</c:v>
                </c:pt>
                <c:pt idx="27" formatCode="#\ ##0\ _€">
                  <c:v>4311559</c:v>
                </c:pt>
                <c:pt idx="28" formatCode="#\ ##0\ _€">
                  <c:v>5488129.9500000002</c:v>
                </c:pt>
                <c:pt idx="29" formatCode="#\ ##0\ _€">
                  <c:v>14364754</c:v>
                </c:pt>
                <c:pt idx="30" formatCode="#\ ##0\ _€">
                  <c:v>3348225</c:v>
                </c:pt>
                <c:pt idx="31" formatCode="#\ ##0\ _€">
                  <c:v>5885060.5800000001</c:v>
                </c:pt>
                <c:pt idx="32" formatCode="#\ ##0\ _€">
                  <c:v>10269306.02</c:v>
                </c:pt>
                <c:pt idx="33">
                  <c:v>7893608.4299999997</c:v>
                </c:pt>
                <c:pt idx="34" formatCode="#\ ##0\ _€">
                  <c:v>2785032.37</c:v>
                </c:pt>
                <c:pt idx="35" formatCode="#\ ##0\ _€">
                  <c:v>8889855.6449999996</c:v>
                </c:pt>
                <c:pt idx="36" formatCode="#\ ##0\ _€">
                  <c:v>1873322</c:v>
                </c:pt>
                <c:pt idx="37" formatCode="#\ ##0\ _€">
                  <c:v>4768708</c:v>
                </c:pt>
                <c:pt idx="38" formatCode="#\ ##0\ _€">
                  <c:v>4150258.97</c:v>
                </c:pt>
                <c:pt idx="39" formatCode="#\ ##0\ _€">
                  <c:v>2806033</c:v>
                </c:pt>
                <c:pt idx="40" formatCode="#\ ##0\ _€">
                  <c:v>3413701</c:v>
                </c:pt>
                <c:pt idx="41" formatCode="#\ ##0\ _€">
                  <c:v>8447391</c:v>
                </c:pt>
                <c:pt idx="42" formatCode="#\ ##0\ _€">
                  <c:v>1499983.8900000001</c:v>
                </c:pt>
                <c:pt idx="43" formatCode="#\ ##0\ _€">
                  <c:v>6893824</c:v>
                </c:pt>
                <c:pt idx="44" formatCode="#\ ##0\ _€">
                  <c:v>2700417.25</c:v>
                </c:pt>
                <c:pt idx="45" formatCode="#\ ##0\ _€">
                  <c:v>2893093</c:v>
                </c:pt>
                <c:pt idx="46" formatCode="#\ ##0\ _€">
                  <c:v>3410268</c:v>
                </c:pt>
                <c:pt idx="47" formatCode="#\ ##0\ _€">
                  <c:v>3202767</c:v>
                </c:pt>
                <c:pt idx="48" formatCode="#\ ##0\ _€">
                  <c:v>5227844.2</c:v>
                </c:pt>
                <c:pt idx="49" formatCode="#\ ##0\ _€">
                  <c:v>9081364</c:v>
                </c:pt>
                <c:pt idx="50" formatCode="#\ ##0\ _€">
                  <c:v>5306870</c:v>
                </c:pt>
                <c:pt idx="51" formatCode="#\ ##0\ _€">
                  <c:v>6236911</c:v>
                </c:pt>
                <c:pt idx="52" formatCode="#\ ##0\ _€">
                  <c:v>5196925</c:v>
                </c:pt>
                <c:pt idx="53" formatCode="#\ ##0\ _€">
                  <c:v>3661369</c:v>
                </c:pt>
                <c:pt idx="54" formatCode="#\ ##0\ _€">
                  <c:v>5371395</c:v>
                </c:pt>
                <c:pt idx="55" formatCode="#\ ##0\ _€">
                  <c:v>2990819</c:v>
                </c:pt>
                <c:pt idx="56" formatCode="#\ ##0\ _€">
                  <c:v>3855387</c:v>
                </c:pt>
                <c:pt idx="57" formatCode="#\ ##0\ _€">
                  <c:v>11616559.710000001</c:v>
                </c:pt>
                <c:pt idx="58" formatCode="#\ ##0\ _€">
                  <c:v>3944664</c:v>
                </c:pt>
                <c:pt idx="59" formatCode="#\ ##0\ _€">
                  <c:v>0</c:v>
                </c:pt>
                <c:pt idx="60" formatCode="#\ ##0\ _€">
                  <c:v>0</c:v>
                </c:pt>
                <c:pt idx="61" formatCode="#\ ##0\ _€">
                  <c:v>0</c:v>
                </c:pt>
                <c:pt idx="62" formatCode="#\ ##0\ _€">
                  <c:v>0</c:v>
                </c:pt>
                <c:pt idx="63" formatCode="#\ ##0\ _€">
                  <c:v>0</c:v>
                </c:pt>
                <c:pt idx="64" formatCode="#\ ##0\ _€">
                  <c:v>6863538.2000000002</c:v>
                </c:pt>
                <c:pt idx="65" formatCode="#\ ##0\ _€">
                  <c:v>3965464</c:v>
                </c:pt>
                <c:pt idx="66" formatCode="#\ ##0\ _€">
                  <c:v>187500</c:v>
                </c:pt>
                <c:pt idx="67" formatCode="#\ ##0\ _€">
                  <c:v>12677323</c:v>
                </c:pt>
                <c:pt idx="68" formatCode="#\ ##0\ _€">
                  <c:v>3863382</c:v>
                </c:pt>
                <c:pt idx="69" formatCode="#\ ##0\ _€">
                  <c:v>993116</c:v>
                </c:pt>
                <c:pt idx="70" formatCode="#\ ##0\ _€">
                  <c:v>983249.38</c:v>
                </c:pt>
                <c:pt idx="71" formatCode="#\ ##0\ _€">
                  <c:v>842164</c:v>
                </c:pt>
                <c:pt idx="72" formatCode="#\ ##0\ _€">
                  <c:v>3678266</c:v>
                </c:pt>
                <c:pt idx="73" formatCode="#\ ##0\ _€">
                  <c:v>3625157</c:v>
                </c:pt>
                <c:pt idx="74" formatCode="#\ ##0\ _€">
                  <c:v>4056688</c:v>
                </c:pt>
                <c:pt idx="75" formatCode="#\ ##0\ _€">
                  <c:v>5275083.05</c:v>
                </c:pt>
                <c:pt idx="76" formatCode="#\ ##0\ _€">
                  <c:v>3091517</c:v>
                </c:pt>
                <c:pt idx="77" formatCode="#\ ##0\ _€">
                  <c:v>6941404</c:v>
                </c:pt>
                <c:pt idx="78" formatCode="#\ ##0\ _€">
                  <c:v>4970505</c:v>
                </c:pt>
                <c:pt idx="79" formatCode="#\ ##0\ _€">
                  <c:v>5567908</c:v>
                </c:pt>
                <c:pt idx="84" formatCode="#\ ##0\ _€">
                  <c:v>0</c:v>
                </c:pt>
                <c:pt idx="85" formatCode="#\ ##0\ _€">
                  <c:v>0</c:v>
                </c:pt>
                <c:pt idx="86" formatCode="#\ ##0\ _€">
                  <c:v>0</c:v>
                </c:pt>
                <c:pt idx="90" formatCode="#\ ##0\ _€">
                  <c:v>0</c:v>
                </c:pt>
                <c:pt idx="91" formatCode="#\ ##0\ _€">
                  <c:v>0</c:v>
                </c:pt>
                <c:pt idx="92" formatCode="#\ ##0\ _€">
                  <c:v>0</c:v>
                </c:pt>
                <c:pt idx="93" formatCode="#\ ##0\ _€">
                  <c:v>0</c:v>
                </c:pt>
                <c:pt idx="94" formatCode="#\ ##0\ _€">
                  <c:v>0</c:v>
                </c:pt>
                <c:pt idx="100" formatCode="#\ ##0\ _€">
                  <c:v>0</c:v>
                </c:pt>
                <c:pt idx="101" formatCode="#\ ##0\ _€">
                  <c:v>0</c:v>
                </c:pt>
                <c:pt idx="102" formatCode="#\ ##0\ _€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98635120"/>
        <c:axId val="1898646544"/>
      </c:areaChart>
      <c:catAx>
        <c:axId val="189863512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646544"/>
        <c:crosses val="autoZero"/>
        <c:auto val="1"/>
        <c:lblAlgn val="ctr"/>
        <c:lblOffset val="100"/>
        <c:noMultiLvlLbl val="0"/>
      </c:catAx>
      <c:valAx>
        <c:axId val="1898646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6351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718703</xdr:colOff>
      <xdr:row>165</xdr:row>
      <xdr:rowOff>178377</xdr:rowOff>
    </xdr:from>
    <xdr:to>
      <xdr:col>7</xdr:col>
      <xdr:colOff>95249</xdr:colOff>
      <xdr:row>180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331593</xdr:colOff>
      <xdr:row>166</xdr:row>
      <xdr:rowOff>6</xdr:rowOff>
    </xdr:from>
    <xdr:to>
      <xdr:col>10</xdr:col>
      <xdr:colOff>1169996</xdr:colOff>
      <xdr:row>180</xdr:row>
      <xdr:rowOff>100655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1463385</xdr:colOff>
      <xdr:row>166</xdr:row>
      <xdr:rowOff>22512</xdr:rowOff>
    </xdr:from>
    <xdr:to>
      <xdr:col>14</xdr:col>
      <xdr:colOff>320385</xdr:colOff>
      <xdr:row>180</xdr:row>
      <xdr:rowOff>98712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718703</xdr:colOff>
      <xdr:row>181</xdr:row>
      <xdr:rowOff>109103</xdr:rowOff>
    </xdr:from>
    <xdr:to>
      <xdr:col>7</xdr:col>
      <xdr:colOff>34637</xdr:colOff>
      <xdr:row>195</xdr:row>
      <xdr:rowOff>121227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326571</xdr:colOff>
      <xdr:row>181</xdr:row>
      <xdr:rowOff>125185</xdr:rowOff>
    </xdr:from>
    <xdr:to>
      <xdr:col>10</xdr:col>
      <xdr:colOff>1156607</xdr:colOff>
      <xdr:row>196</xdr:row>
      <xdr:rowOff>10885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1476374</xdr:colOff>
      <xdr:row>181</xdr:row>
      <xdr:rowOff>152400</xdr:rowOff>
    </xdr:from>
    <xdr:to>
      <xdr:col>14</xdr:col>
      <xdr:colOff>357187</xdr:colOff>
      <xdr:row>196</xdr:row>
      <xdr:rowOff>38100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833438</xdr:colOff>
      <xdr:row>166</xdr:row>
      <xdr:rowOff>33337</xdr:rowOff>
    </xdr:from>
    <xdr:to>
      <xdr:col>18</xdr:col>
      <xdr:colOff>642938</xdr:colOff>
      <xdr:row>180</xdr:row>
      <xdr:rowOff>109537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2</xdr:row>
      <xdr:rowOff>61912</xdr:rowOff>
    </xdr:from>
    <xdr:to>
      <xdr:col>7</xdr:col>
      <xdr:colOff>742950</xdr:colOff>
      <xdr:row>16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8E61D"/>
    <pageSetUpPr fitToPage="1"/>
  </sheetPr>
  <dimension ref="A1:JI221"/>
  <sheetViews>
    <sheetView view="pageBreakPreview" zoomScale="85" zoomScaleNormal="70" zoomScaleSheetLayoutView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105" sqref="H105"/>
    </sheetView>
  </sheetViews>
  <sheetFormatPr baseColWidth="10" defaultColWidth="11.42578125" defaultRowHeight="15" outlineLevelCol="1"/>
  <cols>
    <col min="1" max="1" width="27.85546875" style="339" customWidth="1"/>
    <col min="2" max="2" width="17" style="12" customWidth="1"/>
    <col min="3" max="3" width="16.42578125" style="12" customWidth="1"/>
    <col min="4" max="4" width="10" style="12" customWidth="1"/>
    <col min="5" max="5" width="12.85546875" style="12" customWidth="1"/>
    <col min="6" max="6" width="12.5703125" style="12" customWidth="1"/>
    <col min="7" max="7" width="8.42578125" style="12" customWidth="1"/>
    <col min="8" max="8" width="18.7109375" style="12" customWidth="1"/>
    <col min="9" max="9" width="20.7109375" style="12" customWidth="1"/>
    <col min="10" max="10" width="16.5703125" style="12" customWidth="1"/>
    <col min="11" max="11" width="70.5703125" style="312" customWidth="1" outlineLevel="1"/>
    <col min="12" max="12" width="18.5703125" style="197" customWidth="1" outlineLevel="1"/>
    <col min="13" max="13" width="13.28515625" style="197" customWidth="1" outlineLevel="1"/>
    <col min="14" max="14" width="21.5703125" style="197" customWidth="1" outlineLevel="1"/>
    <col min="15" max="27" width="17.85546875" style="12" customWidth="1" outlineLevel="1"/>
    <col min="28" max="28" width="22" style="12" customWidth="1" outlineLevel="1"/>
    <col min="29" max="29" width="10" style="12" customWidth="1"/>
    <col min="30" max="30" width="11.42578125" style="12" customWidth="1" collapsed="1"/>
    <col min="31" max="31" width="29.140625" style="12" customWidth="1"/>
    <col min="32" max="32" width="11.85546875" style="12" customWidth="1" collapsed="1"/>
    <col min="33" max="34" width="11.85546875" style="12" customWidth="1"/>
    <col min="35" max="35" width="13.42578125" style="12" customWidth="1"/>
    <col min="36" max="36" width="16.7109375" style="12" customWidth="1" outlineLevel="1"/>
    <col min="37" max="37" width="14.7109375" style="12" customWidth="1" outlineLevel="1"/>
    <col min="38" max="38" width="16.28515625" style="12" customWidth="1" outlineLevel="1"/>
    <col min="39" max="39" width="10.5703125" style="12" customWidth="1" outlineLevel="1"/>
    <col min="40" max="45" width="15.5703125" style="12" customWidth="1" outlineLevel="1"/>
    <col min="46" max="46" width="15.5703125" style="144" customWidth="1" outlineLevel="1"/>
    <col min="47" max="47" width="15.5703125" style="28" customWidth="1" outlineLevel="1"/>
    <col min="48" max="52" width="15.5703125" style="12" customWidth="1" outlineLevel="1"/>
    <col min="53" max="54" width="15.5703125" style="12" customWidth="1"/>
    <col min="55" max="55" width="17.85546875" style="178" customWidth="1" outlineLevel="1"/>
    <col min="56" max="56" width="15.5703125" style="178" customWidth="1" outlineLevel="1"/>
    <col min="57" max="57" width="19.42578125" style="178" customWidth="1"/>
    <col min="58" max="59" width="21.5703125" style="178" customWidth="1"/>
    <col min="60" max="60" width="19.42578125" style="178" customWidth="1"/>
    <col min="61" max="62" width="21" style="178" customWidth="1"/>
    <col min="63" max="63" width="20.5703125" style="178" customWidth="1" outlineLevel="1"/>
    <col min="64" max="65" width="18.42578125" style="178" customWidth="1" outlineLevel="1"/>
    <col min="66" max="74" width="21.42578125" style="178" customWidth="1" outlineLevel="1"/>
    <col min="75" max="75" width="18.42578125" style="178" customWidth="1" outlineLevel="1"/>
    <col min="76" max="76" width="29.5703125" style="178" customWidth="1" outlineLevel="1"/>
    <col min="77" max="77" width="15.5703125" style="178" customWidth="1" outlineLevel="1"/>
    <col min="78" max="78" width="20.42578125" style="178" customWidth="1" outlineLevel="1"/>
    <col min="79" max="79" width="25.42578125" style="178" customWidth="1" outlineLevel="1"/>
    <col min="80" max="80" width="26" style="179" customWidth="1" outlineLevel="1"/>
    <col min="81" max="81" width="19.140625" style="178" customWidth="1"/>
    <col min="82" max="82" width="27.28515625" style="224" customWidth="1"/>
    <col min="83" max="83" width="18" style="224" customWidth="1"/>
    <col min="84" max="88" width="18" style="178" customWidth="1"/>
    <col min="89" max="89" width="18" style="601" customWidth="1"/>
    <col min="90" max="90" width="30.7109375" style="12" customWidth="1" outlineLevel="1"/>
    <col min="91" max="92" width="30.7109375" style="566" customWidth="1" outlineLevel="1"/>
    <col min="93" max="93" width="30.7109375" style="29" customWidth="1" outlineLevel="1"/>
    <col min="94" max="94" width="30.7109375" style="12" customWidth="1" outlineLevel="1"/>
    <col min="95" max="95" width="30.7109375" style="566" customWidth="1" outlineLevel="1"/>
    <col min="96" max="96" width="30.7109375" style="12" customWidth="1" outlineLevel="1"/>
    <col min="97" max="97" width="30.7109375" style="566" customWidth="1" outlineLevel="1"/>
    <col min="98" max="102" width="30.7109375" style="12" customWidth="1" outlineLevel="1"/>
    <col min="103" max="104" width="30.7109375" style="566" customWidth="1" outlineLevel="1"/>
    <col min="105" max="105" width="30.7109375" style="12" customWidth="1" outlineLevel="1"/>
    <col min="106" max="106" width="23.7109375" style="12" customWidth="1" outlineLevel="1"/>
    <col min="107" max="107" width="30.7109375" style="566" customWidth="1" outlineLevel="1"/>
    <col min="108" max="109" width="30.7109375" style="566" customWidth="1"/>
    <col min="110" max="110" width="30.7109375" style="12" customWidth="1"/>
    <col min="111" max="111" width="30.7109375" style="566" customWidth="1"/>
    <col min="112" max="112" width="24.5703125" style="12" customWidth="1"/>
    <col min="113" max="113" width="25" style="12" customWidth="1"/>
    <col min="114" max="114" width="21.28515625" style="12" customWidth="1"/>
    <col min="115" max="115" width="30.7109375" style="12" customWidth="1"/>
    <col min="116" max="116" width="15.5703125" style="231" customWidth="1"/>
    <col min="117" max="117" width="21.28515625" style="12" customWidth="1"/>
    <col min="118" max="119" width="30.7109375" style="566" customWidth="1"/>
    <col min="120" max="120" width="30.7109375" style="29" customWidth="1"/>
    <col min="121" max="122" width="30.7109375" style="566" customWidth="1"/>
    <col min="123" max="123" width="30.7109375" style="12" customWidth="1"/>
    <col min="124" max="125" width="30.7109375" style="566" customWidth="1"/>
    <col min="126" max="126" width="30.7109375" style="12" customWidth="1"/>
    <col min="127" max="128" width="30.7109375" style="566" customWidth="1"/>
    <col min="129" max="129" width="30.7109375" style="12" customWidth="1"/>
    <col min="130" max="131" width="30.7109375" style="566" customWidth="1"/>
    <col min="132" max="132" width="30.7109375" style="12" customWidth="1"/>
    <col min="133" max="134" width="30.7109375" style="566" customWidth="1"/>
    <col min="135" max="135" width="30.7109375" style="12" customWidth="1"/>
    <col min="136" max="137" width="30.7109375" style="570" customWidth="1"/>
    <col min="138" max="138" width="30.7109375" style="14" customWidth="1"/>
    <col min="139" max="141" width="30.7109375" style="570" customWidth="1"/>
    <col min="142" max="142" width="19.42578125" style="12" customWidth="1"/>
    <col min="143" max="143" width="16.7109375" style="12" customWidth="1"/>
    <col min="144" max="144" width="15.85546875" style="12" customWidth="1"/>
    <col min="145" max="145" width="20" style="12" customWidth="1"/>
    <col min="146" max="146" width="15.5703125" style="12" customWidth="1"/>
    <col min="147" max="147" width="19.42578125" style="12" customWidth="1"/>
    <col min="148" max="149" width="18.28515625" style="12" customWidth="1"/>
    <col min="150" max="150" width="21.140625" style="12" customWidth="1"/>
    <col min="151" max="151" width="19" style="12" customWidth="1"/>
    <col min="152" max="152" width="19" style="337" customWidth="1"/>
    <col min="153" max="153" width="21.85546875" style="12" customWidth="1"/>
    <col min="154" max="154" width="15.85546875" style="12" customWidth="1"/>
    <col min="155" max="155" width="18.7109375" style="12" customWidth="1"/>
    <col min="156" max="156" width="19" style="12" customWidth="1"/>
    <col min="157" max="157" width="19.28515625" style="592" customWidth="1"/>
    <col min="158" max="158" width="21" style="592" customWidth="1"/>
    <col min="159" max="162" width="30.7109375" style="592" customWidth="1"/>
    <col min="163" max="163" width="30.7109375" style="14" customWidth="1"/>
    <col min="164" max="164" width="20.5703125" style="14" customWidth="1"/>
    <col min="165" max="165" width="35.140625" style="14" customWidth="1"/>
    <col min="166" max="166" width="40.7109375" style="14" customWidth="1"/>
    <col min="167" max="169" width="9.42578125" style="12" customWidth="1" outlineLevel="1"/>
    <col min="170" max="170" width="13.28515625" style="12" customWidth="1" outlineLevel="1"/>
    <col min="171" max="171" width="9.42578125" style="12" customWidth="1" outlineLevel="1"/>
    <col min="172" max="172" width="11.28515625" style="12" customWidth="1" outlineLevel="1"/>
    <col min="173" max="174" width="14" style="12" customWidth="1" outlineLevel="1"/>
    <col min="175" max="175" width="11.7109375" style="12" customWidth="1"/>
    <col min="176" max="176" width="11.42578125" style="12" customWidth="1"/>
    <col min="177" max="177" width="11.7109375" style="12" customWidth="1"/>
    <col min="178" max="178" width="12.85546875" style="12" customWidth="1"/>
    <col min="179" max="179" width="12.42578125" style="12" customWidth="1"/>
    <col min="180" max="180" width="9.42578125" style="12" customWidth="1"/>
    <col min="181" max="181" width="13.42578125" style="12" customWidth="1"/>
    <col min="182" max="182" width="20.85546875" style="12" customWidth="1"/>
    <col min="183" max="183" width="21.140625" style="12" customWidth="1"/>
    <col min="184" max="184" width="12.140625" style="12" customWidth="1"/>
    <col min="185" max="187" width="9.42578125" style="12" customWidth="1"/>
    <col min="188" max="188" width="18" style="178" customWidth="1" outlineLevel="1"/>
    <col min="189" max="189" width="27" style="618" customWidth="1" outlineLevel="1"/>
    <col min="190" max="190" width="18.7109375" style="12" customWidth="1" outlineLevel="1"/>
    <col min="191" max="192" width="18" style="12" customWidth="1" outlineLevel="1"/>
    <col min="193" max="193" width="11.42578125" style="12" customWidth="1" outlineLevel="1"/>
    <col min="194" max="194" width="12" style="12" customWidth="1" outlineLevel="1"/>
    <col min="195" max="197" width="15.5703125" style="12" customWidth="1" outlineLevel="1"/>
    <col min="198" max="198" width="9.5703125" style="12" customWidth="1" outlineLevel="1"/>
    <col min="199" max="199" width="19.85546875" style="12" customWidth="1" outlineLevel="1"/>
    <col min="200" max="200" width="15.5703125" style="12" customWidth="1" outlineLevel="1"/>
    <col min="201" max="202" width="17" style="12" customWidth="1" outlineLevel="1"/>
    <col min="203" max="203" width="12.5703125" style="12" customWidth="1" outlineLevel="1"/>
    <col min="204" max="204" width="15.5703125" style="12" customWidth="1" outlineLevel="1"/>
    <col min="205" max="205" width="19" style="12" customWidth="1" outlineLevel="1"/>
    <col min="206" max="207" width="15.5703125" style="12" customWidth="1" outlineLevel="1"/>
    <col min="208" max="208" width="18.5703125" style="12" customWidth="1" outlineLevel="1"/>
    <col min="209" max="209" width="19.85546875" style="12" customWidth="1" outlineLevel="1"/>
    <col min="210" max="210" width="12.42578125" style="645" customWidth="1" outlineLevel="1"/>
    <col min="211" max="211" width="15.85546875" style="12" customWidth="1" outlineLevel="1"/>
    <col min="212" max="212" width="15.42578125" style="12" customWidth="1" outlineLevel="1"/>
    <col min="213" max="214" width="15.5703125" style="59" customWidth="1" outlineLevel="1"/>
    <col min="215" max="215" width="11" style="59" customWidth="1" outlineLevel="1"/>
    <col min="216" max="216" width="15.28515625" style="59" customWidth="1" outlineLevel="1"/>
    <col min="217" max="217" width="16.5703125" style="59" customWidth="1" outlineLevel="1"/>
    <col min="218" max="218" width="14" style="59" customWidth="1" outlineLevel="1"/>
    <col min="219" max="219" width="14.140625" style="59" customWidth="1" outlineLevel="1"/>
    <col min="220" max="220" width="17.140625" style="59" customWidth="1" outlineLevel="1"/>
    <col min="221" max="221" width="15.5703125" style="12" customWidth="1" outlineLevel="1"/>
    <col min="222" max="222" width="9.5703125" style="12" customWidth="1" outlineLevel="1"/>
    <col min="223" max="223" width="10.5703125" style="12" customWidth="1" outlineLevel="1"/>
    <col min="224" max="224" width="15" style="12" customWidth="1" outlineLevel="1"/>
    <col min="225" max="225" width="18" style="12" customWidth="1" outlineLevel="1"/>
    <col min="226" max="226" width="15.5703125" style="12" customWidth="1" outlineLevel="1"/>
    <col min="227" max="227" width="13.140625" style="12" customWidth="1" outlineLevel="1"/>
    <col min="228" max="230" width="15.5703125" style="12" customWidth="1" outlineLevel="1"/>
    <col min="231" max="231" width="24.7109375" style="12" customWidth="1" outlineLevel="1"/>
    <col min="232" max="232" width="20.140625" style="12" customWidth="1" outlineLevel="1"/>
    <col min="233" max="233" width="28" style="12" customWidth="1" outlineLevel="1"/>
    <col min="234" max="235" width="19.28515625" style="12" customWidth="1"/>
    <col min="236" max="236" width="25.140625" style="12" customWidth="1"/>
    <col min="237" max="238" width="28.7109375" style="12" customWidth="1"/>
    <col min="239" max="239" width="15.140625" style="12" customWidth="1"/>
    <col min="240" max="240" width="13.28515625" style="12" customWidth="1"/>
    <col min="241" max="241" width="17" style="12" customWidth="1"/>
    <col min="242" max="242" width="14.42578125" style="12" customWidth="1"/>
    <col min="243" max="243" width="20.140625" style="12" customWidth="1"/>
    <col min="244" max="249" width="15.85546875" style="12" customWidth="1"/>
    <col min="250" max="250" width="15.5703125" style="12" customWidth="1"/>
    <col min="251" max="251" width="15.28515625" style="12" customWidth="1"/>
    <col min="252" max="252" width="14.7109375" style="12" customWidth="1"/>
    <col min="253" max="253" width="14.85546875" style="12" customWidth="1"/>
    <col min="254" max="254" width="15.42578125" style="12" customWidth="1"/>
    <col min="255" max="255" width="23.85546875" style="12" customWidth="1"/>
    <col min="256" max="258" width="18.85546875" style="12" customWidth="1"/>
    <col min="259" max="259" width="16.140625" style="12" customWidth="1"/>
    <col min="260" max="260" width="15.28515625" style="12" customWidth="1"/>
    <col min="261" max="261" width="18.7109375" style="12" customWidth="1"/>
    <col min="262" max="262" width="13.7109375" style="12" customWidth="1"/>
    <col min="263" max="263" width="21.42578125" style="12" customWidth="1"/>
    <col min="264" max="264" width="15.85546875" style="12" customWidth="1"/>
    <col min="265" max="265" width="18.42578125" style="12" customWidth="1"/>
    <col min="266" max="266" width="20" style="12" customWidth="1"/>
    <col min="267" max="267" width="15.5703125" style="12" customWidth="1"/>
    <col min="268" max="268" width="14.7109375" style="12" customWidth="1"/>
    <col min="269" max="269" width="17.140625" style="12" customWidth="1"/>
    <col min="270" max="16384" width="11.42578125" style="14"/>
  </cols>
  <sheetData>
    <row r="1" spans="1:269" s="528" customFormat="1" ht="42" customHeight="1">
      <c r="A1" s="468" t="s">
        <v>0</v>
      </c>
      <c r="B1" s="468" t="s">
        <v>1</v>
      </c>
      <c r="C1" s="468" t="s">
        <v>109</v>
      </c>
      <c r="D1" s="468" t="s">
        <v>72</v>
      </c>
      <c r="E1" s="468" t="s">
        <v>2</v>
      </c>
      <c r="F1" s="469" t="s">
        <v>10</v>
      </c>
      <c r="G1" s="469" t="s">
        <v>334</v>
      </c>
      <c r="H1" s="469" t="s">
        <v>333</v>
      </c>
      <c r="I1" s="469" t="s">
        <v>323</v>
      </c>
      <c r="J1" s="469" t="s">
        <v>324</v>
      </c>
      <c r="K1" s="470" t="s">
        <v>22</v>
      </c>
      <c r="L1" s="471" t="s">
        <v>59</v>
      </c>
      <c r="M1" s="471" t="s">
        <v>13</v>
      </c>
      <c r="N1" s="471" t="s">
        <v>14</v>
      </c>
      <c r="O1" s="470" t="s">
        <v>186</v>
      </c>
      <c r="P1" s="470" t="s">
        <v>211</v>
      </c>
      <c r="Q1" s="470" t="s">
        <v>210</v>
      </c>
      <c r="R1" s="470" t="s">
        <v>263</v>
      </c>
      <c r="S1" s="470" t="s">
        <v>213</v>
      </c>
      <c r="T1" s="470" t="s">
        <v>212</v>
      </c>
      <c r="U1" s="470" t="s">
        <v>202</v>
      </c>
      <c r="V1" s="470" t="s">
        <v>239</v>
      </c>
      <c r="W1" s="470" t="s">
        <v>219</v>
      </c>
      <c r="X1" s="470" t="s">
        <v>188</v>
      </c>
      <c r="Y1" s="470" t="s">
        <v>236</v>
      </c>
      <c r="Z1" s="470" t="s">
        <v>184</v>
      </c>
      <c r="AA1" s="470" t="s">
        <v>114</v>
      </c>
      <c r="AB1" s="470" t="s">
        <v>115</v>
      </c>
      <c r="AC1" s="468" t="s">
        <v>122</v>
      </c>
      <c r="AD1" s="468" t="s">
        <v>3</v>
      </c>
      <c r="AE1" s="468" t="s">
        <v>15</v>
      </c>
      <c r="AF1" s="468" t="s">
        <v>16</v>
      </c>
      <c r="AG1" s="469" t="s">
        <v>433</v>
      </c>
      <c r="AH1" s="469" t="s">
        <v>657</v>
      </c>
      <c r="AI1" s="469" t="s">
        <v>845</v>
      </c>
      <c r="AJ1" s="468" t="s">
        <v>70</v>
      </c>
      <c r="AK1" s="469" t="s">
        <v>844</v>
      </c>
      <c r="AL1" s="472" t="s">
        <v>123</v>
      </c>
      <c r="AM1" s="468" t="s">
        <v>116</v>
      </c>
      <c r="AN1" s="469" t="s">
        <v>214</v>
      </c>
      <c r="AO1" s="469" t="s">
        <v>215</v>
      </c>
      <c r="AP1" s="469" t="s">
        <v>216</v>
      </c>
      <c r="AQ1" s="469" t="s">
        <v>217</v>
      </c>
      <c r="AR1" s="469" t="s">
        <v>218</v>
      </c>
      <c r="AS1" s="468" t="s">
        <v>155</v>
      </c>
      <c r="AT1" s="473" t="s">
        <v>187</v>
      </c>
      <c r="AU1" s="474" t="s">
        <v>209</v>
      </c>
      <c r="AV1" s="469" t="s">
        <v>189</v>
      </c>
      <c r="AW1" s="469" t="s">
        <v>559</v>
      </c>
      <c r="AX1" s="468" t="s">
        <v>117</v>
      </c>
      <c r="AY1" s="688" t="s">
        <v>843</v>
      </c>
      <c r="AZ1" s="475" t="s">
        <v>814</v>
      </c>
      <c r="BA1" s="475" t="s">
        <v>300</v>
      </c>
      <c r="BB1" s="475" t="s">
        <v>301</v>
      </c>
      <c r="BC1" s="476" t="s">
        <v>5</v>
      </c>
      <c r="BD1" s="476" t="s">
        <v>4</v>
      </c>
      <c r="BE1" s="477" t="s">
        <v>6</v>
      </c>
      <c r="BF1" s="478" t="s">
        <v>7</v>
      </c>
      <c r="BG1" s="479" t="s">
        <v>307</v>
      </c>
      <c r="BH1" s="477" t="s">
        <v>8</v>
      </c>
      <c r="BI1" s="478" t="s">
        <v>781</v>
      </c>
      <c r="BJ1" s="479" t="s">
        <v>307</v>
      </c>
      <c r="BK1" s="480" t="s">
        <v>149</v>
      </c>
      <c r="BL1" s="481" t="s">
        <v>167</v>
      </c>
      <c r="BM1" s="482" t="s">
        <v>268</v>
      </c>
      <c r="BN1" s="482" t="s">
        <v>281</v>
      </c>
      <c r="BO1" s="483" t="s">
        <v>832</v>
      </c>
      <c r="BP1" s="483" t="s">
        <v>831</v>
      </c>
      <c r="BQ1" s="483" t="s">
        <v>837</v>
      </c>
      <c r="BR1" s="483" t="s">
        <v>838</v>
      </c>
      <c r="BS1" s="483" t="s">
        <v>508</v>
      </c>
      <c r="BT1" s="483" t="s">
        <v>836</v>
      </c>
      <c r="BU1" s="483" t="s">
        <v>839</v>
      </c>
      <c r="BV1" s="483" t="s">
        <v>840</v>
      </c>
      <c r="BW1" s="482" t="s">
        <v>254</v>
      </c>
      <c r="BX1" s="480" t="s">
        <v>174</v>
      </c>
      <c r="BY1" s="482" t="s">
        <v>762</v>
      </c>
      <c r="BZ1" s="482" t="s">
        <v>761</v>
      </c>
      <c r="CA1" s="482" t="s">
        <v>760</v>
      </c>
      <c r="CB1" s="482" t="s">
        <v>759</v>
      </c>
      <c r="CC1" s="484" t="s">
        <v>135</v>
      </c>
      <c r="CD1" s="485" t="s">
        <v>255</v>
      </c>
      <c r="CE1" s="486" t="s">
        <v>362</v>
      </c>
      <c r="CF1" s="485" t="s">
        <v>238</v>
      </c>
      <c r="CG1" s="485" t="s">
        <v>312</v>
      </c>
      <c r="CH1" s="486" t="s">
        <v>554</v>
      </c>
      <c r="CI1" s="486" t="s">
        <v>359</v>
      </c>
      <c r="CJ1" s="486" t="s">
        <v>555</v>
      </c>
      <c r="CK1" s="597" t="s">
        <v>777</v>
      </c>
      <c r="CL1" s="671" t="s">
        <v>672</v>
      </c>
      <c r="CM1" s="672" t="s">
        <v>683</v>
      </c>
      <c r="CN1" s="673" t="s">
        <v>684</v>
      </c>
      <c r="CO1" s="674" t="s">
        <v>685</v>
      </c>
      <c r="CP1" s="675" t="s">
        <v>673</v>
      </c>
      <c r="CQ1" s="673" t="s">
        <v>674</v>
      </c>
      <c r="CR1" s="671" t="s">
        <v>675</v>
      </c>
      <c r="CS1" s="672" t="s">
        <v>676</v>
      </c>
      <c r="CT1" s="671" t="s">
        <v>677</v>
      </c>
      <c r="CU1" s="671" t="s">
        <v>678</v>
      </c>
      <c r="CV1" s="525" t="s">
        <v>686</v>
      </c>
      <c r="CW1" s="524" t="s">
        <v>687</v>
      </c>
      <c r="CX1" s="524" t="s">
        <v>678</v>
      </c>
      <c r="CY1" s="676" t="s">
        <v>688</v>
      </c>
      <c r="CZ1" s="677" t="s">
        <v>689</v>
      </c>
      <c r="DA1" s="524" t="s">
        <v>678</v>
      </c>
      <c r="DB1" s="708" t="s">
        <v>670</v>
      </c>
      <c r="DC1" s="708" t="s">
        <v>9</v>
      </c>
      <c r="DD1" s="678" t="s">
        <v>690</v>
      </c>
      <c r="DE1" s="679" t="s">
        <v>691</v>
      </c>
      <c r="DF1" s="680" t="s">
        <v>678</v>
      </c>
      <c r="DG1" s="678" t="s">
        <v>692</v>
      </c>
      <c r="DH1" s="750" t="s">
        <v>284</v>
      </c>
      <c r="DI1" s="488" t="s">
        <v>660</v>
      </c>
      <c r="DJ1" s="488" t="s">
        <v>659</v>
      </c>
      <c r="DK1" s="680" t="s">
        <v>693</v>
      </c>
      <c r="DL1" s="489" t="s">
        <v>343</v>
      </c>
      <c r="DM1" s="487" t="s">
        <v>342</v>
      </c>
      <c r="DN1" s="568" t="s">
        <v>694</v>
      </c>
      <c r="DO1" s="567" t="s">
        <v>695</v>
      </c>
      <c r="DP1" s="526" t="s">
        <v>678</v>
      </c>
      <c r="DQ1" s="568" t="s">
        <v>696</v>
      </c>
      <c r="DR1" s="567" t="s">
        <v>697</v>
      </c>
      <c r="DS1" s="526" t="s">
        <v>678</v>
      </c>
      <c r="DT1" s="568" t="s">
        <v>698</v>
      </c>
      <c r="DU1" s="567" t="s">
        <v>699</v>
      </c>
      <c r="DV1" s="526" t="s">
        <v>678</v>
      </c>
      <c r="DW1" s="568" t="s">
        <v>700</v>
      </c>
      <c r="DX1" s="567" t="s">
        <v>701</v>
      </c>
      <c r="DY1" s="526" t="s">
        <v>678</v>
      </c>
      <c r="DZ1" s="568" t="s">
        <v>702</v>
      </c>
      <c r="EA1" s="567" t="s">
        <v>703</v>
      </c>
      <c r="EB1" s="526" t="s">
        <v>678</v>
      </c>
      <c r="EC1" s="568" t="s">
        <v>704</v>
      </c>
      <c r="ED1" s="567" t="s">
        <v>705</v>
      </c>
      <c r="EE1" s="526" t="s">
        <v>678</v>
      </c>
      <c r="EF1" s="568" t="s">
        <v>706</v>
      </c>
      <c r="EG1" s="567" t="s">
        <v>707</v>
      </c>
      <c r="EH1" s="526" t="s">
        <v>678</v>
      </c>
      <c r="EI1" s="567" t="s">
        <v>708</v>
      </c>
      <c r="EJ1" s="567" t="s">
        <v>709</v>
      </c>
      <c r="EK1" s="567" t="s">
        <v>710</v>
      </c>
      <c r="EL1" s="567" t="s">
        <v>778</v>
      </c>
      <c r="EM1" s="761" t="s">
        <v>853</v>
      </c>
      <c r="EN1" s="757" t="s">
        <v>854</v>
      </c>
      <c r="EO1" s="487" t="s">
        <v>791</v>
      </c>
      <c r="EP1" s="487" t="s">
        <v>303</v>
      </c>
      <c r="EQ1" s="487" t="s">
        <v>337</v>
      </c>
      <c r="ER1" s="487" t="s">
        <v>786</v>
      </c>
      <c r="ES1" s="800" t="s">
        <v>868</v>
      </c>
      <c r="ET1" s="801" t="s">
        <v>849</v>
      </c>
      <c r="EU1" s="567" t="s">
        <v>871</v>
      </c>
      <c r="EV1" s="488" t="s">
        <v>546</v>
      </c>
      <c r="EW1" s="751" t="s">
        <v>850</v>
      </c>
      <c r="EX1" s="488" t="s">
        <v>336</v>
      </c>
      <c r="EY1" s="487" t="s">
        <v>344</v>
      </c>
      <c r="EZ1" s="487" t="s">
        <v>419</v>
      </c>
      <c r="FA1" s="589" t="s">
        <v>711</v>
      </c>
      <c r="FB1" s="589" t="s">
        <v>712</v>
      </c>
      <c r="FC1" s="589" t="s">
        <v>548</v>
      </c>
      <c r="FD1" s="589" t="s">
        <v>776</v>
      </c>
      <c r="FE1" s="589" t="s">
        <v>874</v>
      </c>
      <c r="FF1" s="589" t="s">
        <v>866</v>
      </c>
      <c r="FG1" s="527" t="s">
        <v>713</v>
      </c>
      <c r="FH1" s="527" t="s">
        <v>401</v>
      </c>
      <c r="FI1" s="527" t="s">
        <v>714</v>
      </c>
      <c r="FJ1" s="527" t="s">
        <v>715</v>
      </c>
      <c r="FK1" s="487" t="s">
        <v>331</v>
      </c>
      <c r="FL1" s="487" t="s">
        <v>575</v>
      </c>
      <c r="FM1" s="487" t="s">
        <v>311</v>
      </c>
      <c r="FN1" s="487" t="s">
        <v>319</v>
      </c>
      <c r="FO1" s="487" t="s">
        <v>335</v>
      </c>
      <c r="FP1" s="487" t="s">
        <v>302</v>
      </c>
      <c r="FQ1" s="487" t="s">
        <v>285</v>
      </c>
      <c r="FR1" s="490" t="s">
        <v>846</v>
      </c>
      <c r="FS1" s="490" t="s">
        <v>286</v>
      </c>
      <c r="FT1" s="490" t="s">
        <v>287</v>
      </c>
      <c r="FU1" s="490" t="s">
        <v>288</v>
      </c>
      <c r="FV1" s="490" t="s">
        <v>289</v>
      </c>
      <c r="FW1" s="490" t="s">
        <v>803</v>
      </c>
      <c r="FX1" s="490" t="s">
        <v>304</v>
      </c>
      <c r="FY1" s="490" t="s">
        <v>364</v>
      </c>
      <c r="FZ1" s="490" t="s">
        <v>610</v>
      </c>
      <c r="GA1" s="491" t="s">
        <v>782</v>
      </c>
      <c r="GB1" s="490" t="s">
        <v>513</v>
      </c>
      <c r="GC1" s="490" t="s">
        <v>602</v>
      </c>
      <c r="GD1" s="490" t="s">
        <v>315</v>
      </c>
      <c r="GE1" s="490" t="s">
        <v>377</v>
      </c>
      <c r="GF1" s="492" t="s">
        <v>127</v>
      </c>
      <c r="GG1" s="614" t="s">
        <v>779</v>
      </c>
      <c r="GH1" s="493" t="s">
        <v>94</v>
      </c>
      <c r="GI1" s="494" t="s">
        <v>183</v>
      </c>
      <c r="GJ1" s="495" t="s">
        <v>17</v>
      </c>
      <c r="GK1" s="496" t="s">
        <v>71</v>
      </c>
      <c r="GL1" s="496" t="s">
        <v>128</v>
      </c>
      <c r="GM1" s="497" t="s">
        <v>95</v>
      </c>
      <c r="GN1" s="498" t="s">
        <v>19</v>
      </c>
      <c r="GO1" s="499" t="s">
        <v>20</v>
      </c>
      <c r="GP1" s="498" t="s">
        <v>21</v>
      </c>
      <c r="GQ1" s="500" t="s">
        <v>265</v>
      </c>
      <c r="GR1" s="497" t="s">
        <v>669</v>
      </c>
      <c r="GS1" s="649" t="s">
        <v>669</v>
      </c>
      <c r="GT1" s="653" t="s">
        <v>792</v>
      </c>
      <c r="GU1" s="651" t="s">
        <v>129</v>
      </c>
      <c r="GV1" s="499" t="s">
        <v>18</v>
      </c>
      <c r="GW1" s="493" t="s">
        <v>96</v>
      </c>
      <c r="GX1" s="494" t="s">
        <v>96</v>
      </c>
      <c r="GY1" s="494" t="s">
        <v>22</v>
      </c>
      <c r="GZ1" s="494" t="s">
        <v>23</v>
      </c>
      <c r="HA1" s="495" t="s">
        <v>24</v>
      </c>
      <c r="HB1" s="639" t="s">
        <v>130</v>
      </c>
      <c r="HC1" s="494" t="s">
        <v>156</v>
      </c>
      <c r="HD1" s="497" t="s">
        <v>97</v>
      </c>
      <c r="HE1" s="498" t="s">
        <v>201</v>
      </c>
      <c r="HF1" s="502" t="s">
        <v>198</v>
      </c>
      <c r="HG1" s="498" t="s">
        <v>164</v>
      </c>
      <c r="HH1" s="493" t="s">
        <v>524</v>
      </c>
      <c r="HI1" s="498" t="s">
        <v>157</v>
      </c>
      <c r="HJ1" s="499" t="s">
        <v>25</v>
      </c>
      <c r="HK1" s="501" t="s">
        <v>98</v>
      </c>
      <c r="HL1" s="503" t="s">
        <v>220</v>
      </c>
      <c r="HM1" s="499" t="s">
        <v>26</v>
      </c>
      <c r="HN1" s="504" t="s">
        <v>180</v>
      </c>
      <c r="HO1" s="504" t="s">
        <v>181</v>
      </c>
      <c r="HP1" s="505" t="s">
        <v>153</v>
      </c>
      <c r="HQ1" s="505" t="s">
        <v>120</v>
      </c>
      <c r="HR1" s="501" t="s">
        <v>121</v>
      </c>
      <c r="HS1" s="505" t="s">
        <v>131</v>
      </c>
      <c r="HT1" s="501" t="s">
        <v>133</v>
      </c>
      <c r="HU1" s="503" t="s">
        <v>182</v>
      </c>
      <c r="HV1" s="505" t="s">
        <v>166</v>
      </c>
      <c r="HW1" s="505" t="s">
        <v>132</v>
      </c>
      <c r="HX1" s="498" t="s">
        <v>138</v>
      </c>
      <c r="HY1" s="498" t="s">
        <v>163</v>
      </c>
      <c r="HZ1" s="506" t="s">
        <v>395</v>
      </c>
      <c r="IA1" s="506" t="s">
        <v>427</v>
      </c>
      <c r="IB1" s="506" t="s">
        <v>396</v>
      </c>
      <c r="IC1" s="507">
        <v>0.1</v>
      </c>
      <c r="ID1" s="506" t="s">
        <v>654</v>
      </c>
      <c r="IE1" s="508">
        <v>0.05</v>
      </c>
      <c r="IF1" s="506" t="s">
        <v>397</v>
      </c>
      <c r="IG1" s="509">
        <v>0.05</v>
      </c>
      <c r="IH1" s="506" t="s">
        <v>398</v>
      </c>
      <c r="II1" s="510">
        <v>0.1</v>
      </c>
      <c r="IJ1" s="506" t="s">
        <v>399</v>
      </c>
      <c r="IK1" s="511">
        <v>0.1</v>
      </c>
      <c r="IL1" s="506" t="s">
        <v>400</v>
      </c>
      <c r="IM1" s="512">
        <v>0.1</v>
      </c>
      <c r="IN1" s="506" t="s">
        <v>679</v>
      </c>
      <c r="IO1" s="513">
        <v>0.05</v>
      </c>
      <c r="IP1" s="506" t="s">
        <v>509</v>
      </c>
      <c r="IQ1" s="514">
        <v>0.05</v>
      </c>
      <c r="IR1" s="506" t="s">
        <v>510</v>
      </c>
      <c r="IS1" s="515">
        <v>0.1</v>
      </c>
      <c r="IT1" s="506" t="s">
        <v>514</v>
      </c>
      <c r="IU1" s="516">
        <v>0.05</v>
      </c>
      <c r="IV1" s="506" t="s">
        <v>515</v>
      </c>
      <c r="IW1" s="517">
        <v>0.05</v>
      </c>
      <c r="IX1" s="506" t="s">
        <v>550</v>
      </c>
      <c r="IY1" s="518">
        <v>0.05</v>
      </c>
      <c r="IZ1" s="506" t="s">
        <v>577</v>
      </c>
      <c r="JA1" s="519">
        <v>0.05</v>
      </c>
      <c r="JB1" s="506" t="s">
        <v>590</v>
      </c>
      <c r="JC1" s="520">
        <v>0.05</v>
      </c>
      <c r="JD1" s="510" t="s">
        <v>680</v>
      </c>
      <c r="JE1" s="521">
        <v>0.03</v>
      </c>
      <c r="JF1" s="510" t="s">
        <v>681</v>
      </c>
      <c r="JG1" s="522">
        <v>0.02</v>
      </c>
      <c r="JH1" s="510" t="s">
        <v>682</v>
      </c>
      <c r="JI1" s="523">
        <v>0.05</v>
      </c>
    </row>
    <row r="2" spans="1:269" ht="24.95" customHeight="1">
      <c r="A2" s="4" t="s">
        <v>151</v>
      </c>
      <c r="B2" s="5" t="s">
        <v>79</v>
      </c>
      <c r="C2" s="5" t="s">
        <v>112</v>
      </c>
      <c r="D2" s="5">
        <v>2010</v>
      </c>
      <c r="E2" s="5" t="s">
        <v>152</v>
      </c>
      <c r="F2" s="5" t="s">
        <v>30</v>
      </c>
      <c r="G2" s="5" t="s">
        <v>418</v>
      </c>
      <c r="H2" s="5" t="s">
        <v>248</v>
      </c>
      <c r="I2" s="50" t="s">
        <v>118</v>
      </c>
      <c r="J2" s="50"/>
      <c r="K2" s="398" t="s">
        <v>652</v>
      </c>
      <c r="L2" s="415"/>
      <c r="M2" s="415"/>
      <c r="N2" s="415"/>
      <c r="O2" s="207">
        <v>9556</v>
      </c>
      <c r="P2" s="207">
        <v>407560.68000000005</v>
      </c>
      <c r="Q2" s="207">
        <v>222180</v>
      </c>
      <c r="R2" s="207">
        <f>P2/AD2</f>
        <v>15094.840000000002</v>
      </c>
      <c r="S2" s="207">
        <f>P2/O2</f>
        <v>42.649715362076186</v>
      </c>
      <c r="T2" s="207">
        <f>Q2/O2</f>
        <v>23.250313938886563</v>
      </c>
      <c r="U2" s="207">
        <f>Q2/AL2</f>
        <v>100.51347010789659</v>
      </c>
      <c r="V2" s="207">
        <f>Q2/AD2</f>
        <v>8228.8888888888887</v>
      </c>
      <c r="W2" s="207">
        <f>O2/AD2</f>
        <v>353.92592592592592</v>
      </c>
      <c r="X2" s="208"/>
      <c r="Y2" s="209">
        <f>AL2/O2</f>
        <v>0.23131540393470068</v>
      </c>
      <c r="Z2" s="208" t="s">
        <v>203</v>
      </c>
      <c r="AA2" s="210"/>
      <c r="AB2" s="210"/>
      <c r="AC2" s="5" t="s">
        <v>16</v>
      </c>
      <c r="AD2" s="318">
        <f t="shared" ref="AD2:AD33" si="0">SUM(AE2:AH2)</f>
        <v>27</v>
      </c>
      <c r="AE2" s="418"/>
      <c r="AF2" s="419">
        <v>27</v>
      </c>
      <c r="AG2" s="611"/>
      <c r="AH2" s="611"/>
      <c r="AI2" s="54"/>
      <c r="AJ2" s="7">
        <v>2110.92</v>
      </c>
      <c r="AK2" s="54"/>
      <c r="AL2" s="79">
        <v>2210.4499999999998</v>
      </c>
      <c r="AM2" s="7">
        <f t="shared" ref="AM2:AM42" si="1">AL2/AD2</f>
        <v>81.868518518518513</v>
      </c>
      <c r="AN2" s="75"/>
      <c r="AO2" s="75">
        <v>0.22</v>
      </c>
      <c r="AP2" s="75">
        <v>0.3</v>
      </c>
      <c r="AQ2" s="75">
        <v>0.3</v>
      </c>
      <c r="AR2" s="75">
        <v>0.19</v>
      </c>
      <c r="AS2" s="7">
        <v>1400</v>
      </c>
      <c r="AT2" s="73"/>
      <c r="AU2" s="75">
        <f t="shared" ref="AU2:AU7" si="2">AT2/O2</f>
        <v>0</v>
      </c>
      <c r="AV2" s="54">
        <v>3</v>
      </c>
      <c r="AW2" s="53" t="s">
        <v>561</v>
      </c>
      <c r="AX2" s="419" t="s">
        <v>119</v>
      </c>
      <c r="AY2" s="825"/>
      <c r="AZ2" s="53"/>
      <c r="BA2" s="115"/>
      <c r="BB2" s="184">
        <v>40816</v>
      </c>
      <c r="BC2" s="191" t="s">
        <v>165</v>
      </c>
      <c r="BD2" s="191" t="s">
        <v>165</v>
      </c>
      <c r="BE2" s="423"/>
      <c r="BF2" s="204">
        <v>40491</v>
      </c>
      <c r="BG2" s="96"/>
      <c r="BH2" s="96"/>
      <c r="BI2" s="204"/>
      <c r="BJ2" s="96"/>
      <c r="BK2" s="32"/>
      <c r="BL2" s="427"/>
      <c r="BM2" s="111"/>
      <c r="BN2" s="111"/>
      <c r="BO2" s="188"/>
      <c r="BP2" s="188">
        <f t="shared" ref="BP2:BP49" si="3">DATE(YEAR(BO2),MONTH(BO2)+24,DAY(BO2))</f>
        <v>731</v>
      </c>
      <c r="BQ2" s="188">
        <f t="shared" ref="BQ2:BQ49" si="4">DATE(YEAR(BO2),MONTH(BO2)+36,DAY(BO2))</f>
        <v>1096</v>
      </c>
      <c r="BR2" s="188"/>
      <c r="BS2" s="188"/>
      <c r="BT2" s="686" t="e">
        <f t="shared" ref="BT2:BT33" si="5">DATEDIF(EU2,BQ2,"M")</f>
        <v>#NUM!</v>
      </c>
      <c r="BU2" s="686" t="e">
        <f t="shared" ref="BU2:BU33" si="6">BT2*EX2</f>
        <v>#NUM!</v>
      </c>
      <c r="BV2" s="686" t="e">
        <f t="shared" ref="BV2:BV33" si="7">IF((BU2-BR2&gt;0),0,(BU2-BR2))</f>
        <v>#NUM!</v>
      </c>
      <c r="BW2" s="111"/>
      <c r="BX2" s="32"/>
      <c r="BY2" s="111"/>
      <c r="BZ2" s="100"/>
      <c r="CA2" s="100"/>
      <c r="CB2" s="100"/>
      <c r="CC2" s="737"/>
      <c r="CD2" s="306" t="s">
        <v>165</v>
      </c>
      <c r="CE2" s="408"/>
      <c r="CF2" s="587" t="s">
        <v>165</v>
      </c>
      <c r="CG2" s="588" t="s">
        <v>165</v>
      </c>
      <c r="CH2" s="408"/>
      <c r="CI2" s="408"/>
      <c r="CJ2" s="408" t="s">
        <v>165</v>
      </c>
      <c r="CK2" s="604"/>
      <c r="CL2" s="123"/>
      <c r="CM2" s="115"/>
      <c r="CN2" s="115"/>
      <c r="CO2" s="529" t="str">
        <f t="shared" ref="CO2:CO33" si="8">IF(AND(CM2&gt;0,CN2&gt;0),CN2-CM2,"0")</f>
        <v>0</v>
      </c>
      <c r="CP2" s="123"/>
      <c r="CQ2" s="123"/>
      <c r="CR2" s="529" t="str">
        <f t="shared" ref="CR2:CR33" si="9">IF(AND(CP2&gt;0,CQ2&gt;0),CQ2-CP2,"0")</f>
        <v>0</v>
      </c>
      <c r="CS2" s="126"/>
      <c r="CT2" s="123"/>
      <c r="CU2" s="529" t="str">
        <f t="shared" ref="CU2:CU33" si="10">IF(AND(CS2&gt;0,CT2&gt;0),CT2-CS2,"0")</f>
        <v>0</v>
      </c>
      <c r="CV2" s="126"/>
      <c r="CW2" s="123"/>
      <c r="CX2" s="529" t="str">
        <f t="shared" ref="CX2:CX33" si="11">IF(AND(CV2&gt;0,CW2&gt;0),CW2-CV2,"0")</f>
        <v>0</v>
      </c>
      <c r="CY2" s="126"/>
      <c r="CZ2" s="575"/>
      <c r="DA2" s="529" t="str">
        <f t="shared" ref="DA2:DA33" si="12">IF(AND(CY2&gt;0,CZ2&gt;0),CZ2-CY2,"0")</f>
        <v>0</v>
      </c>
      <c r="DB2" s="459"/>
      <c r="DC2" s="233"/>
      <c r="DD2" s="539"/>
      <c r="DE2" s="534"/>
      <c r="DF2" s="535" t="str">
        <f t="shared" ref="DF2:DF33" si="13">IF(AND(DD2&gt;0,DE2&gt;0),DE2-DD2,"0")</f>
        <v>0</v>
      </c>
      <c r="DG2" s="539"/>
      <c r="DH2" s="352">
        <v>40721</v>
      </c>
      <c r="DI2" s="345">
        <v>2011</v>
      </c>
      <c r="DJ2" s="447">
        <f t="shared" ref="DJ2:DJ33" si="14">(DATEDIF(BF2,DH2,"d"))/30</f>
        <v>7.666666666666667</v>
      </c>
      <c r="DK2" s="535" t="str">
        <f t="shared" ref="DK2:DK33" si="15">IF(AND(DG2&gt;0,DH2&gt;0),DH2-DG2,"0")</f>
        <v>0</v>
      </c>
      <c r="DL2" s="126">
        <v>15</v>
      </c>
      <c r="DM2" s="126">
        <f t="shared" ref="DM2:DM33" si="16">DATEDIF(DH2,EM2,"M")</f>
        <v>24</v>
      </c>
      <c r="DN2" s="316"/>
      <c r="DO2" s="315"/>
      <c r="DP2" s="701" t="str">
        <f t="shared" ref="DP2:DP33" si="17">IF(AND(DN2&gt;0,DO2&gt;0),DO2-DN2,"0")</f>
        <v>0</v>
      </c>
      <c r="DQ2" s="720"/>
      <c r="DR2" s="622"/>
      <c r="DS2" s="623" t="str">
        <f t="shared" ref="DS2:DS33" si="18">IF(AND(DQ2&gt;0,DR2&gt;0),DR2-DQ2,"0")</f>
        <v>0</v>
      </c>
      <c r="DT2" s="255"/>
      <c r="DU2" s="316"/>
      <c r="DV2" s="701" t="str">
        <f t="shared" ref="DV2:DV33" si="19">IF(AND(DT2&gt;0,DU2&gt;0),DU2-DT2,"0")</f>
        <v>0</v>
      </c>
      <c r="DW2" s="315"/>
      <c r="DX2" s="316"/>
      <c r="DY2" s="701" t="str">
        <f t="shared" ref="DY2:DY33" si="20">IF(AND(DW2&gt;0,DX2&gt;0),DX2-DW2,"0")</f>
        <v>0</v>
      </c>
      <c r="DZ2" s="323"/>
      <c r="EA2" s="323"/>
      <c r="EB2" s="701" t="str">
        <f t="shared" ref="EB2:EB33" si="21">IF(AND(DZ2&gt;0,EA2&gt;0),EA2-DZ2,"0")</f>
        <v>0</v>
      </c>
      <c r="EC2" s="323"/>
      <c r="ED2" s="316"/>
      <c r="EE2" s="701" t="str">
        <f t="shared" ref="EE2:EE33" si="22">IF(AND(EC2&gt;0,ED2&gt;0),ED2-EC2,"0")</f>
        <v>0</v>
      </c>
      <c r="EF2" s="324"/>
      <c r="EG2" s="324"/>
      <c r="EH2" s="701" t="str">
        <f t="shared" ref="EH2:EH33" si="23">IF(AND(EF2&gt;0,EG2&gt;0),EG2-EF2,"0")</f>
        <v>0</v>
      </c>
      <c r="EI2" s="324"/>
      <c r="EJ2" s="324"/>
      <c r="EK2" s="324"/>
      <c r="EL2" s="608">
        <f t="shared" ref="EL2:EL33" si="24">DATE(YEAR(DH2),MONTH(DH2)+DL2,DAY(DH2))</f>
        <v>41179</v>
      </c>
      <c r="EM2" s="355">
        <v>41464</v>
      </c>
      <c r="EN2" s="730">
        <f t="shared" ref="EN2:EN33" si="25">(DATEDIF(EL2,EM2,"d"))/30</f>
        <v>9.5</v>
      </c>
      <c r="EO2" s="606"/>
      <c r="EP2" s="114">
        <v>41606</v>
      </c>
      <c r="EQ2" s="123" t="s">
        <v>126</v>
      </c>
      <c r="ER2" s="116">
        <v>41481</v>
      </c>
      <c r="ES2" s="461"/>
      <c r="ET2" s="461">
        <f t="shared" ref="ET2:ET33" si="26">DATE(YEAR(EL2),MONTH(EL2)+1,DAY(EL2))</f>
        <v>41209</v>
      </c>
      <c r="EU2" s="355">
        <v>41481</v>
      </c>
      <c r="EV2" s="462">
        <v>2013</v>
      </c>
      <c r="EW2" s="728">
        <f t="shared" ref="EW2:EW33" si="27">(DATEDIF(ET2,EU2,"d"))/30</f>
        <v>9.0666666666666664</v>
      </c>
      <c r="EX2" s="719">
        <v>11101</v>
      </c>
      <c r="EY2" s="233">
        <f t="shared" ref="EY2:EY33" si="28">EX2*EW2</f>
        <v>100649.06666666667</v>
      </c>
      <c r="EZ2" s="127"/>
      <c r="FA2" s="558"/>
      <c r="FB2" s="710">
        <f t="shared" ref="FB2:FB29" si="29">HX2</f>
        <v>1409</v>
      </c>
      <c r="FC2" s="562"/>
      <c r="FD2" s="562"/>
      <c r="FE2" s="562"/>
      <c r="FF2" s="562"/>
      <c r="FG2" s="559"/>
      <c r="FH2" s="571" t="s">
        <v>742</v>
      </c>
      <c r="FI2" s="559"/>
      <c r="FJ2" s="559"/>
      <c r="FK2" s="123"/>
      <c r="FL2" s="123"/>
      <c r="FM2" s="123"/>
      <c r="FN2" s="123"/>
      <c r="FO2" s="123"/>
      <c r="FP2" s="115"/>
      <c r="FQ2" s="114">
        <f t="shared" ref="FQ2:FQ11" si="30">DATE(YEAR(EM2)+1,MONTH(EM2),DAY(EM2))</f>
        <v>41829</v>
      </c>
      <c r="FR2" s="692">
        <v>51423</v>
      </c>
      <c r="FS2" s="114" t="s">
        <v>126</v>
      </c>
      <c r="FT2" s="114"/>
      <c r="FU2" s="114">
        <v>41926</v>
      </c>
      <c r="FV2" s="114" t="s">
        <v>290</v>
      </c>
      <c r="FW2" s="114"/>
      <c r="FX2" s="114" t="s">
        <v>165</v>
      </c>
      <c r="FY2" s="114"/>
      <c r="FZ2" s="114" t="s">
        <v>165</v>
      </c>
      <c r="GA2" s="114"/>
      <c r="GB2" s="114"/>
      <c r="GC2" s="114"/>
      <c r="GD2" s="194">
        <v>42114</v>
      </c>
      <c r="GE2" s="194">
        <v>42424</v>
      </c>
      <c r="GF2" s="429"/>
      <c r="GG2" s="405"/>
      <c r="GH2" s="8">
        <v>3574937</v>
      </c>
      <c r="GI2" s="430">
        <f>GS2+GX2+HE2+HX2+HC2+HI2</f>
        <v>3574937</v>
      </c>
      <c r="GJ2" s="10">
        <f t="shared" ref="GJ2:GJ42" si="31">GI2-GH2</f>
        <v>0</v>
      </c>
      <c r="GK2" s="46">
        <f t="shared" ref="GK2:GK33" si="32">GI2/AJ2</f>
        <v>1693.5445208724157</v>
      </c>
      <c r="GL2" s="46">
        <f t="shared" ref="GL2:GL33" si="33">GI2/AD2</f>
        <v>132405.07407407407</v>
      </c>
      <c r="GM2" s="454"/>
      <c r="GN2" s="9">
        <v>0</v>
      </c>
      <c r="GO2" s="10">
        <f t="shared" ref="GO2:GO33" si="34">GN2-GM2</f>
        <v>0</v>
      </c>
      <c r="GP2" s="128">
        <f t="shared" ref="GP2:GP34" si="35">GM2*1.021/GH2</f>
        <v>0</v>
      </c>
      <c r="GQ2" s="129"/>
      <c r="GR2" s="432">
        <v>0</v>
      </c>
      <c r="GS2" s="13">
        <v>0</v>
      </c>
      <c r="GT2" s="744"/>
      <c r="GU2" s="19">
        <f t="shared" ref="GU2:GU33" si="36">GS2/AD2</f>
        <v>0</v>
      </c>
      <c r="GV2" s="33">
        <f t="shared" ref="GV2:GV42" si="37">GS2-GR2</f>
        <v>0</v>
      </c>
      <c r="GW2" s="8">
        <v>2306000</v>
      </c>
      <c r="GX2" s="9">
        <f t="shared" ref="GX2:GX34" si="38">+GY2+GZ2</f>
        <v>2306000</v>
      </c>
      <c r="GY2" s="11">
        <v>511146</v>
      </c>
      <c r="GZ2" s="11">
        <v>1794854</v>
      </c>
      <c r="HA2" s="33">
        <f t="shared" ref="HA2:HA42" si="39">GX2-GW2</f>
        <v>0</v>
      </c>
      <c r="HB2" s="640">
        <f t="shared" ref="HB2:HB33" si="40">GX2/AD2</f>
        <v>85407.407407407401</v>
      </c>
      <c r="HC2" s="9"/>
      <c r="HD2" s="432">
        <f>HE2+HF2</f>
        <v>1362028</v>
      </c>
      <c r="HE2" s="13">
        <v>1267528</v>
      </c>
      <c r="HF2" s="63">
        <v>94500</v>
      </c>
      <c r="HG2" s="36">
        <f t="shared" ref="HG2:HG33" si="41">HE2/GI2</f>
        <v>0.35455953489530023</v>
      </c>
      <c r="HH2" s="302"/>
      <c r="HI2" s="13"/>
      <c r="HJ2" s="20">
        <f>HE2-HD2+HF2</f>
        <v>0</v>
      </c>
      <c r="HK2" s="19">
        <f t="shared" ref="HK2:HK33" si="42">HE2/AD2</f>
        <v>46945.481481481482</v>
      </c>
      <c r="HL2" s="46">
        <f t="shared" ref="HL2:HL33" si="43">(GS2+HE2)/AD2</f>
        <v>46945.481481481482</v>
      </c>
      <c r="HM2" s="20">
        <f t="shared" ref="HM2:HM37" si="44">HJ2/AD2</f>
        <v>0</v>
      </c>
      <c r="HN2" s="45"/>
      <c r="HO2" s="45"/>
      <c r="HP2" s="35">
        <v>1734704.6581725003</v>
      </c>
      <c r="HQ2" s="35">
        <v>660000</v>
      </c>
      <c r="HR2" s="19">
        <f t="shared" ref="HR2:HR37" si="45">(GS2+HE2+HQ2)/AD2</f>
        <v>71389.925925925927</v>
      </c>
      <c r="HS2" s="35">
        <v>767026.95965000009</v>
      </c>
      <c r="HT2" s="19">
        <f t="shared" ref="HT2:HT37" si="46">(GS2+HE2+HQ2+HS2)/AD2</f>
        <v>99798.331838888887</v>
      </c>
      <c r="HU2" s="47">
        <f t="shared" ref="HU2:HU48" si="47">(GS2+HE2+HQ2+HS2)/(HP2+GI2-HV2)</f>
        <v>0.52964624417787332</v>
      </c>
      <c r="HV2" s="35">
        <v>222180</v>
      </c>
      <c r="HW2" s="35"/>
      <c r="HX2" s="9">
        <v>1409</v>
      </c>
      <c r="HY2" s="37">
        <f t="shared" ref="HY2:HY33" si="48">GI2+HP2</f>
        <v>5309641.6581725003</v>
      </c>
      <c r="HZ2" s="233"/>
      <c r="IA2" s="233">
        <f t="shared" ref="IA2:IA37" si="49">IC2+IE2+IG2+II2+IK2+IM2+IO2+IQ2+IS2+IU2+IW2+IY2+JA2+JC2+JE2+JG2+JI2</f>
        <v>0</v>
      </c>
      <c r="IB2" s="114"/>
      <c r="IC2" s="233"/>
      <c r="ID2" s="233"/>
      <c r="IE2" s="114"/>
      <c r="IF2" s="114"/>
      <c r="IG2" s="233"/>
      <c r="IH2" s="114"/>
      <c r="II2" s="233"/>
      <c r="IJ2" s="114"/>
      <c r="IK2" s="233"/>
      <c r="IL2" s="115"/>
      <c r="IM2" s="322"/>
      <c r="IN2" s="314"/>
      <c r="IO2" s="314"/>
      <c r="IP2" s="123"/>
      <c r="IQ2" s="233"/>
      <c r="IR2" s="123"/>
      <c r="IS2" s="233"/>
      <c r="IT2" s="323"/>
      <c r="IU2" s="323"/>
      <c r="IV2" s="323"/>
      <c r="IW2" s="323"/>
      <c r="IX2" s="123"/>
      <c r="IY2" s="233"/>
      <c r="IZ2" s="268"/>
      <c r="JA2" s="268"/>
      <c r="JB2" s="268"/>
      <c r="JC2" s="268"/>
      <c r="JD2" s="233"/>
      <c r="JE2" s="123"/>
      <c r="JF2" s="115"/>
      <c r="JG2" s="123"/>
      <c r="JH2" s="123"/>
      <c r="JI2" s="115"/>
    </row>
    <row r="3" spans="1:269" ht="54.75" customHeight="1">
      <c r="A3" s="4" t="s">
        <v>150</v>
      </c>
      <c r="B3" s="5" t="s">
        <v>79</v>
      </c>
      <c r="C3" s="5" t="s">
        <v>112</v>
      </c>
      <c r="D3" s="5">
        <v>2010</v>
      </c>
      <c r="E3" s="5" t="s">
        <v>154</v>
      </c>
      <c r="F3" s="50" t="s">
        <v>37</v>
      </c>
      <c r="G3" s="5" t="s">
        <v>176</v>
      </c>
      <c r="H3" s="50" t="s">
        <v>248</v>
      </c>
      <c r="I3" s="50"/>
      <c r="J3" s="50"/>
      <c r="K3" s="398" t="s">
        <v>562</v>
      </c>
      <c r="L3" s="303"/>
      <c r="M3" s="303"/>
      <c r="N3" s="303"/>
      <c r="O3" s="207">
        <v>9462</v>
      </c>
      <c r="P3" s="207">
        <v>874165.66</v>
      </c>
      <c r="Q3" s="207">
        <v>262890</v>
      </c>
      <c r="R3" s="207">
        <f>P3/AD3</f>
        <v>29138.855333333333</v>
      </c>
      <c r="S3" s="207">
        <f>P3/O3</f>
        <v>92.386985838089203</v>
      </c>
      <c r="T3" s="207">
        <f>Q3/O3</f>
        <v>27.783766645529486</v>
      </c>
      <c r="U3" s="207">
        <f>Q3/AL3</f>
        <v>117.46438848277958</v>
      </c>
      <c r="V3" s="207">
        <f>Q3/AD3</f>
        <v>8763</v>
      </c>
      <c r="W3" s="207">
        <f>O3/AD3</f>
        <v>315.39999999999998</v>
      </c>
      <c r="X3" s="208">
        <v>379.2</v>
      </c>
      <c r="Y3" s="209">
        <f>AL3/O3</f>
        <v>0.23652927499471571</v>
      </c>
      <c r="Z3" s="208" t="s">
        <v>203</v>
      </c>
      <c r="AA3" s="208"/>
      <c r="AB3" s="208"/>
      <c r="AC3" s="50" t="s">
        <v>16</v>
      </c>
      <c r="AD3" s="318">
        <f t="shared" si="0"/>
        <v>30</v>
      </c>
      <c r="AE3" s="402"/>
      <c r="AF3" s="56">
        <v>30</v>
      </c>
      <c r="AG3" s="56"/>
      <c r="AH3" s="56"/>
      <c r="AI3" s="54"/>
      <c r="AJ3" s="54">
        <v>2238.04</v>
      </c>
      <c r="AK3" s="54"/>
      <c r="AL3" s="403">
        <v>2238.04</v>
      </c>
      <c r="AM3" s="54">
        <f t="shared" si="1"/>
        <v>74.601333333333329</v>
      </c>
      <c r="AN3" s="75"/>
      <c r="AO3" s="75">
        <v>0.17</v>
      </c>
      <c r="AP3" s="75">
        <v>0.37</v>
      </c>
      <c r="AQ3" s="75">
        <v>0.33</v>
      </c>
      <c r="AR3" s="75">
        <v>0.13</v>
      </c>
      <c r="AS3" s="54">
        <v>1419.56</v>
      </c>
      <c r="AT3" s="73">
        <v>664</v>
      </c>
      <c r="AU3" s="75">
        <f t="shared" si="2"/>
        <v>7.0175438596491224E-2</v>
      </c>
      <c r="AV3" s="54"/>
      <c r="AW3" s="53" t="s">
        <v>561</v>
      </c>
      <c r="AX3" s="53"/>
      <c r="AY3" s="825"/>
      <c r="AZ3" s="53"/>
      <c r="BA3" s="50"/>
      <c r="BB3" s="184">
        <v>40816</v>
      </c>
      <c r="BC3" s="191" t="s">
        <v>165</v>
      </c>
      <c r="BD3" s="191" t="s">
        <v>165</v>
      </c>
      <c r="BE3" s="712"/>
      <c r="BF3" s="204">
        <v>40491</v>
      </c>
      <c r="BG3" s="96"/>
      <c r="BH3" s="96"/>
      <c r="BI3" s="204"/>
      <c r="BJ3" s="96"/>
      <c r="BK3" s="111"/>
      <c r="BL3" s="713"/>
      <c r="BM3" s="111"/>
      <c r="BN3" s="111"/>
      <c r="BO3" s="188"/>
      <c r="BP3" s="188">
        <f t="shared" si="3"/>
        <v>731</v>
      </c>
      <c r="BQ3" s="188">
        <f t="shared" si="4"/>
        <v>1096</v>
      </c>
      <c r="BR3" s="188"/>
      <c r="BS3" s="188"/>
      <c r="BT3" s="686" t="e">
        <f t="shared" si="5"/>
        <v>#NUM!</v>
      </c>
      <c r="BU3" s="686" t="e">
        <f t="shared" si="6"/>
        <v>#NUM!</v>
      </c>
      <c r="BV3" s="686" t="e">
        <f t="shared" si="7"/>
        <v>#NUM!</v>
      </c>
      <c r="BW3" s="111"/>
      <c r="BX3" s="111"/>
      <c r="BY3" s="111"/>
      <c r="BZ3" s="100"/>
      <c r="CA3" s="100"/>
      <c r="CB3" s="100"/>
      <c r="CC3" s="155"/>
      <c r="CD3" s="306" t="s">
        <v>165</v>
      </c>
      <c r="CE3" s="251"/>
      <c r="CF3" s="157" t="s">
        <v>165</v>
      </c>
      <c r="CG3" s="588" t="s">
        <v>165</v>
      </c>
      <c r="CH3" s="408"/>
      <c r="CI3" s="408" t="s">
        <v>165</v>
      </c>
      <c r="CJ3" s="251" t="s">
        <v>165</v>
      </c>
      <c r="CK3" s="604"/>
      <c r="CL3" s="123"/>
      <c r="CM3" s="123"/>
      <c r="CN3" s="123"/>
      <c r="CO3" s="529" t="str">
        <f t="shared" si="8"/>
        <v>0</v>
      </c>
      <c r="CP3" s="123"/>
      <c r="CQ3" s="123"/>
      <c r="CR3" s="529" t="str">
        <f t="shared" si="9"/>
        <v>0</v>
      </c>
      <c r="CS3" s="123"/>
      <c r="CT3" s="123"/>
      <c r="CU3" s="529" t="str">
        <f t="shared" si="10"/>
        <v>0</v>
      </c>
      <c r="CV3" s="123"/>
      <c r="CW3" s="123"/>
      <c r="CX3" s="529" t="str">
        <f t="shared" si="11"/>
        <v>0</v>
      </c>
      <c r="CY3" s="126"/>
      <c r="CZ3" s="575"/>
      <c r="DA3" s="529" t="str">
        <f t="shared" si="12"/>
        <v>0</v>
      </c>
      <c r="DB3" s="459"/>
      <c r="DC3" s="233"/>
      <c r="DD3" s="539"/>
      <c r="DE3" s="534"/>
      <c r="DF3" s="535" t="str">
        <f t="shared" si="13"/>
        <v>0</v>
      </c>
      <c r="DG3" s="539"/>
      <c r="DH3" s="352">
        <v>40945</v>
      </c>
      <c r="DI3" s="345">
        <v>2012</v>
      </c>
      <c r="DJ3" s="447">
        <f t="shared" si="14"/>
        <v>15.133333333333333</v>
      </c>
      <c r="DK3" s="535" t="str">
        <f t="shared" si="15"/>
        <v>0</v>
      </c>
      <c r="DL3" s="126">
        <v>15</v>
      </c>
      <c r="DM3" s="126">
        <f t="shared" si="16"/>
        <v>21</v>
      </c>
      <c r="DN3" s="316"/>
      <c r="DO3" s="315"/>
      <c r="DP3" s="701" t="str">
        <f t="shared" si="17"/>
        <v>0</v>
      </c>
      <c r="DQ3" s="720"/>
      <c r="DR3" s="622"/>
      <c r="DS3" s="623" t="str">
        <f t="shared" si="18"/>
        <v>0</v>
      </c>
      <c r="DT3" s="255"/>
      <c r="DU3" s="316"/>
      <c r="DV3" s="701" t="str">
        <f t="shared" si="19"/>
        <v>0</v>
      </c>
      <c r="DW3" s="315"/>
      <c r="DX3" s="316"/>
      <c r="DY3" s="701" t="str">
        <f t="shared" si="20"/>
        <v>0</v>
      </c>
      <c r="DZ3" s="323"/>
      <c r="EA3" s="323"/>
      <c r="EB3" s="701" t="str">
        <f t="shared" si="21"/>
        <v>0</v>
      </c>
      <c r="EC3" s="323"/>
      <c r="ED3" s="324"/>
      <c r="EE3" s="701" t="str">
        <f t="shared" si="22"/>
        <v>0</v>
      </c>
      <c r="EF3" s="316"/>
      <c r="EG3" s="316"/>
      <c r="EH3" s="701" t="str">
        <f t="shared" si="23"/>
        <v>0</v>
      </c>
      <c r="EI3" s="324"/>
      <c r="EJ3" s="324"/>
      <c r="EK3" s="324"/>
      <c r="EL3" s="608">
        <f t="shared" si="24"/>
        <v>41400</v>
      </c>
      <c r="EM3" s="355">
        <v>41601</v>
      </c>
      <c r="EN3" s="730">
        <f t="shared" si="25"/>
        <v>6.7</v>
      </c>
      <c r="EO3" s="606"/>
      <c r="EP3" s="127">
        <v>41669</v>
      </c>
      <c r="EQ3" s="123" t="s">
        <v>126</v>
      </c>
      <c r="ER3" s="185">
        <v>41663</v>
      </c>
      <c r="ES3" s="764"/>
      <c r="ET3" s="461">
        <f t="shared" si="26"/>
        <v>41431</v>
      </c>
      <c r="EU3" s="610">
        <v>41663</v>
      </c>
      <c r="EV3" s="596">
        <v>2014</v>
      </c>
      <c r="EW3" s="725">
        <f t="shared" si="27"/>
        <v>7.7333333333333334</v>
      </c>
      <c r="EX3" s="719">
        <v>11928</v>
      </c>
      <c r="EY3" s="233">
        <f t="shared" si="28"/>
        <v>92243.199999999997</v>
      </c>
      <c r="EZ3" s="185"/>
      <c r="FA3" s="558"/>
      <c r="FB3" s="710">
        <f t="shared" si="29"/>
        <v>70784</v>
      </c>
      <c r="FC3" s="562"/>
      <c r="FD3" s="562"/>
      <c r="FE3" s="562"/>
      <c r="FF3" s="562"/>
      <c r="FG3" s="559"/>
      <c r="FH3" s="571" t="s">
        <v>748</v>
      </c>
      <c r="FI3" s="559"/>
      <c r="FJ3" s="559"/>
      <c r="FK3" s="123"/>
      <c r="FL3" s="123"/>
      <c r="FM3" s="123" t="s">
        <v>126</v>
      </c>
      <c r="FN3" s="123" t="s">
        <v>126</v>
      </c>
      <c r="FO3" s="123"/>
      <c r="FP3" s="114">
        <v>42697</v>
      </c>
      <c r="FQ3" s="114">
        <f t="shared" si="30"/>
        <v>41966</v>
      </c>
      <c r="FR3" s="692">
        <v>59348.24</v>
      </c>
      <c r="FS3" s="114" t="s">
        <v>126</v>
      </c>
      <c r="FT3" s="114"/>
      <c r="FU3" s="114">
        <v>41925</v>
      </c>
      <c r="FV3" s="114">
        <v>41928</v>
      </c>
      <c r="FW3" s="114"/>
      <c r="FX3" s="114"/>
      <c r="FY3" s="114"/>
      <c r="FZ3" s="114" t="s">
        <v>165</v>
      </c>
      <c r="GA3" s="114"/>
      <c r="GB3" s="114"/>
      <c r="GC3" s="114"/>
      <c r="GD3" s="114"/>
      <c r="GE3" s="114"/>
      <c r="GF3" s="405"/>
      <c r="GG3" s="405"/>
      <c r="GH3" s="8">
        <v>3911389</v>
      </c>
      <c r="GI3" s="430">
        <f>GS3+GX3+HE3+HX3+HC3+HI3</f>
        <v>3911389</v>
      </c>
      <c r="GJ3" s="91">
        <f t="shared" si="31"/>
        <v>0</v>
      </c>
      <c r="GK3" s="46">
        <f t="shared" si="32"/>
        <v>1747.6850279709031</v>
      </c>
      <c r="GL3" s="46">
        <f t="shared" si="33"/>
        <v>130379.63333333333</v>
      </c>
      <c r="GM3" s="642"/>
      <c r="GN3" s="64"/>
      <c r="GO3" s="91">
        <f t="shared" si="34"/>
        <v>0</v>
      </c>
      <c r="GP3" s="129">
        <f t="shared" si="35"/>
        <v>0</v>
      </c>
      <c r="GQ3" s="129"/>
      <c r="GR3" s="406">
        <v>0</v>
      </c>
      <c r="GS3" s="13">
        <v>0</v>
      </c>
      <c r="GT3" s="63"/>
      <c r="GU3" s="46">
        <f t="shared" si="36"/>
        <v>0</v>
      </c>
      <c r="GV3" s="92">
        <f t="shared" si="37"/>
        <v>0</v>
      </c>
      <c r="GW3" s="90">
        <v>2481000</v>
      </c>
      <c r="GX3" s="64">
        <f t="shared" si="38"/>
        <v>2481000</v>
      </c>
      <c r="GY3" s="84">
        <v>486094</v>
      </c>
      <c r="GZ3" s="84">
        <v>1994906</v>
      </c>
      <c r="HA3" s="92">
        <f t="shared" si="39"/>
        <v>0</v>
      </c>
      <c r="HB3" s="641">
        <f t="shared" si="40"/>
        <v>82700</v>
      </c>
      <c r="HC3" s="64"/>
      <c r="HD3" s="406">
        <f>HE3</f>
        <v>1359605</v>
      </c>
      <c r="HE3" s="63">
        <v>1359605</v>
      </c>
      <c r="HF3" s="63"/>
      <c r="HG3" s="85">
        <f t="shared" si="41"/>
        <v>0.34760158092176463</v>
      </c>
      <c r="HH3" s="302"/>
      <c r="HI3" s="63"/>
      <c r="HJ3" s="86">
        <f t="shared" ref="HJ3:HJ11" si="50">HE3-HD3</f>
        <v>0</v>
      </c>
      <c r="HK3" s="46">
        <f t="shared" si="42"/>
        <v>45320.166666666664</v>
      </c>
      <c r="HL3" s="46">
        <f t="shared" si="43"/>
        <v>45320.166666666664</v>
      </c>
      <c r="HM3" s="86">
        <f t="shared" si="44"/>
        <v>0</v>
      </c>
      <c r="HN3" s="45"/>
      <c r="HO3" s="45"/>
      <c r="HP3" s="88">
        <v>2106869</v>
      </c>
      <c r="HQ3" s="88">
        <v>550000</v>
      </c>
      <c r="HR3" s="46">
        <f t="shared" si="45"/>
        <v>63653.5</v>
      </c>
      <c r="HS3" s="88">
        <v>1220907.39295</v>
      </c>
      <c r="HT3" s="46">
        <f t="shared" si="46"/>
        <v>104350.41309833335</v>
      </c>
      <c r="HU3" s="47">
        <f t="shared" si="47"/>
        <v>0.5439291445742479</v>
      </c>
      <c r="HV3" s="88">
        <v>262890</v>
      </c>
      <c r="HW3" s="88"/>
      <c r="HX3" s="64">
        <v>70784</v>
      </c>
      <c r="HY3" s="93">
        <f t="shared" si="48"/>
        <v>6018258</v>
      </c>
      <c r="HZ3" s="233"/>
      <c r="IA3" s="233">
        <f t="shared" si="49"/>
        <v>0</v>
      </c>
      <c r="IB3" s="114"/>
      <c r="IC3" s="233"/>
      <c r="ID3" s="233"/>
      <c r="IE3" s="114"/>
      <c r="IF3" s="114"/>
      <c r="IG3" s="233"/>
      <c r="IH3" s="114"/>
      <c r="II3" s="233"/>
      <c r="IJ3" s="114"/>
      <c r="IK3" s="233"/>
      <c r="IL3" s="115"/>
      <c r="IM3" s="322"/>
      <c r="IN3" s="314"/>
      <c r="IO3" s="314"/>
      <c r="IP3" s="123"/>
      <c r="IQ3" s="233"/>
      <c r="IR3" s="123"/>
      <c r="IS3" s="233"/>
      <c r="IT3" s="323"/>
      <c r="IU3" s="323"/>
      <c r="IV3" s="323"/>
      <c r="IW3" s="323"/>
      <c r="IX3" s="268"/>
      <c r="IY3" s="268"/>
      <c r="IZ3" s="268"/>
      <c r="JA3" s="268"/>
      <c r="JB3" s="268"/>
      <c r="JC3" s="268"/>
      <c r="JD3" s="233"/>
      <c r="JE3" s="123"/>
      <c r="JF3" s="115"/>
      <c r="JG3" s="123"/>
      <c r="JH3" s="123"/>
      <c r="JI3" s="115"/>
    </row>
    <row r="4" spans="1:269" ht="34.5" customHeight="1">
      <c r="A4" s="4" t="s">
        <v>297</v>
      </c>
      <c r="B4" s="5" t="s">
        <v>100</v>
      </c>
      <c r="C4" s="5" t="s">
        <v>112</v>
      </c>
      <c r="D4" s="5">
        <v>2011</v>
      </c>
      <c r="E4" s="5" t="s">
        <v>103</v>
      </c>
      <c r="F4" s="5" t="s">
        <v>106</v>
      </c>
      <c r="G4" s="5"/>
      <c r="H4" s="50" t="s">
        <v>248</v>
      </c>
      <c r="I4" s="50"/>
      <c r="J4" s="50"/>
      <c r="K4" s="256"/>
      <c r="L4" s="415"/>
      <c r="M4" s="415"/>
      <c r="N4" s="415"/>
      <c r="O4" s="207">
        <v>4531</v>
      </c>
      <c r="P4" s="207">
        <f>Q4</f>
        <v>799078</v>
      </c>
      <c r="Q4" s="207">
        <v>799078</v>
      </c>
      <c r="R4" s="207">
        <f>P4/AD4</f>
        <v>34742.521739130432</v>
      </c>
      <c r="S4" s="207">
        <f>P4/O4</f>
        <v>176.35797837122047</v>
      </c>
      <c r="T4" s="207">
        <f>Q4/O4</f>
        <v>176.35797837122047</v>
      </c>
      <c r="U4" s="207">
        <f>Q4/AL4</f>
        <v>416.95086825847386</v>
      </c>
      <c r="V4" s="207">
        <f>Q4/AD4</f>
        <v>34742.521739130432</v>
      </c>
      <c r="W4" s="207">
        <f>O4/AD4</f>
        <v>197</v>
      </c>
      <c r="X4" s="208"/>
      <c r="Y4" s="209">
        <f>AL4/O4</f>
        <v>0.42297064665636724</v>
      </c>
      <c r="Z4" s="208" t="s">
        <v>207</v>
      </c>
      <c r="AA4" s="210"/>
      <c r="AB4" s="210"/>
      <c r="AC4" s="5" t="s">
        <v>15</v>
      </c>
      <c r="AD4" s="318">
        <f t="shared" si="0"/>
        <v>23</v>
      </c>
      <c r="AE4" s="5">
        <v>23</v>
      </c>
      <c r="AF4" s="418"/>
      <c r="AG4" s="402"/>
      <c r="AH4" s="402"/>
      <c r="AI4" s="54">
        <v>1916.48</v>
      </c>
      <c r="AJ4" s="7">
        <v>1916.48</v>
      </c>
      <c r="AK4" s="54">
        <v>1916.48</v>
      </c>
      <c r="AL4" s="79">
        <v>1916.48</v>
      </c>
      <c r="AM4" s="7">
        <f t="shared" si="1"/>
        <v>83.325217391304349</v>
      </c>
      <c r="AN4" s="54"/>
      <c r="AO4" s="54"/>
      <c r="AP4" s="54"/>
      <c r="AQ4" s="54"/>
      <c r="AR4" s="54"/>
      <c r="AS4" s="7"/>
      <c r="AT4" s="73"/>
      <c r="AU4" s="75">
        <f t="shared" si="2"/>
        <v>0</v>
      </c>
      <c r="AV4" s="54">
        <v>2.5</v>
      </c>
      <c r="AW4" s="53" t="s">
        <v>561</v>
      </c>
      <c r="AX4" s="419" t="s">
        <v>119</v>
      </c>
      <c r="AY4" s="825">
        <v>3772000</v>
      </c>
      <c r="AZ4" s="53"/>
      <c r="BA4" s="50"/>
      <c r="BB4" s="184">
        <v>40816</v>
      </c>
      <c r="BC4" s="422" t="s">
        <v>12</v>
      </c>
      <c r="BD4" s="422" t="s">
        <v>221</v>
      </c>
      <c r="BE4" s="423"/>
      <c r="BF4" s="204">
        <v>40730</v>
      </c>
      <c r="BG4" s="96"/>
      <c r="BH4" s="96"/>
      <c r="BI4" s="204"/>
      <c r="BJ4" s="96"/>
      <c r="BK4" s="32"/>
      <c r="BL4" s="427"/>
      <c r="BM4" s="111"/>
      <c r="BN4" s="111"/>
      <c r="BO4" s="188"/>
      <c r="BP4" s="188">
        <f t="shared" si="3"/>
        <v>731</v>
      </c>
      <c r="BQ4" s="188">
        <f t="shared" si="4"/>
        <v>1096</v>
      </c>
      <c r="BR4" s="188"/>
      <c r="BS4" s="188"/>
      <c r="BT4" s="686" t="e">
        <f t="shared" si="5"/>
        <v>#NUM!</v>
      </c>
      <c r="BU4" s="686" t="e">
        <f t="shared" si="6"/>
        <v>#NUM!</v>
      </c>
      <c r="BV4" s="686" t="e">
        <f t="shared" si="7"/>
        <v>#NUM!</v>
      </c>
      <c r="BW4" s="111"/>
      <c r="BX4" s="32"/>
      <c r="BY4" s="111"/>
      <c r="BZ4" s="100"/>
      <c r="CA4" s="100"/>
      <c r="CB4" s="100"/>
      <c r="CC4" s="155" t="s">
        <v>136</v>
      </c>
      <c r="CD4" s="306">
        <v>41264</v>
      </c>
      <c r="CE4" s="408"/>
      <c r="CF4" s="587">
        <v>3694417.2380019594</v>
      </c>
      <c r="CG4" s="588" t="s">
        <v>165</v>
      </c>
      <c r="CH4" s="408"/>
      <c r="CI4" s="344">
        <v>40984</v>
      </c>
      <c r="CJ4" s="251">
        <v>41364</v>
      </c>
      <c r="CK4" s="603">
        <f>(EU4-CJ4)/30</f>
        <v>4.0666666666666664</v>
      </c>
      <c r="CL4" s="123"/>
      <c r="CM4" s="123"/>
      <c r="CN4" s="123"/>
      <c r="CO4" s="529" t="str">
        <f t="shared" si="8"/>
        <v>0</v>
      </c>
      <c r="CP4" s="123"/>
      <c r="CQ4" s="123"/>
      <c r="CR4" s="529" t="str">
        <f t="shared" si="9"/>
        <v>0</v>
      </c>
      <c r="CS4" s="123"/>
      <c r="CT4" s="123"/>
      <c r="CU4" s="529" t="str">
        <f t="shared" si="10"/>
        <v>0</v>
      </c>
      <c r="CV4" s="123"/>
      <c r="CW4" s="123"/>
      <c r="CX4" s="529" t="str">
        <f t="shared" si="11"/>
        <v>0</v>
      </c>
      <c r="CY4" s="126"/>
      <c r="CZ4" s="575"/>
      <c r="DA4" s="529" t="str">
        <f t="shared" si="12"/>
        <v>0</v>
      </c>
      <c r="DB4" s="459"/>
      <c r="DC4" s="233"/>
      <c r="DD4" s="539"/>
      <c r="DE4" s="534"/>
      <c r="DF4" s="535" t="str">
        <f t="shared" si="13"/>
        <v>0</v>
      </c>
      <c r="DG4" s="539"/>
      <c r="DH4" s="352">
        <v>40898</v>
      </c>
      <c r="DI4" s="345">
        <v>2011</v>
      </c>
      <c r="DJ4" s="447">
        <f t="shared" si="14"/>
        <v>5.6</v>
      </c>
      <c r="DK4" s="535" t="str">
        <f t="shared" si="15"/>
        <v>0</v>
      </c>
      <c r="DL4" s="126">
        <v>16</v>
      </c>
      <c r="DM4" s="126">
        <f t="shared" si="16"/>
        <v>18</v>
      </c>
      <c r="DN4" s="316"/>
      <c r="DO4" s="315"/>
      <c r="DP4" s="701" t="str">
        <f t="shared" si="17"/>
        <v>0</v>
      </c>
      <c r="DQ4" s="720"/>
      <c r="DR4" s="622"/>
      <c r="DS4" s="623" t="str">
        <f t="shared" si="18"/>
        <v>0</v>
      </c>
      <c r="DT4" s="255"/>
      <c r="DU4" s="316"/>
      <c r="DV4" s="701" t="str">
        <f t="shared" si="19"/>
        <v>0</v>
      </c>
      <c r="DW4" s="316"/>
      <c r="DX4" s="316"/>
      <c r="DY4" s="701" t="str">
        <f t="shared" si="20"/>
        <v>0</v>
      </c>
      <c r="DZ4" s="316"/>
      <c r="EA4" s="316"/>
      <c r="EB4" s="701" t="str">
        <f t="shared" si="21"/>
        <v>0</v>
      </c>
      <c r="EC4" s="316"/>
      <c r="ED4" s="316"/>
      <c r="EE4" s="701" t="str">
        <f t="shared" si="22"/>
        <v>0</v>
      </c>
      <c r="EF4" s="316"/>
      <c r="EG4" s="316"/>
      <c r="EH4" s="701" t="str">
        <f t="shared" si="23"/>
        <v>0</v>
      </c>
      <c r="EI4" s="316"/>
      <c r="EJ4" s="316"/>
      <c r="EK4" s="316"/>
      <c r="EL4" s="608">
        <f t="shared" si="24"/>
        <v>41385</v>
      </c>
      <c r="EM4" s="355">
        <v>41473</v>
      </c>
      <c r="EN4" s="730">
        <f t="shared" si="25"/>
        <v>2.9333333333333331</v>
      </c>
      <c r="EO4" s="606"/>
      <c r="EP4" s="114">
        <v>41470</v>
      </c>
      <c r="EQ4" s="123" t="s">
        <v>126</v>
      </c>
      <c r="ER4" s="127">
        <v>41486</v>
      </c>
      <c r="ES4" s="606"/>
      <c r="ET4" s="461">
        <f t="shared" si="26"/>
        <v>41415</v>
      </c>
      <c r="EU4" s="355">
        <v>41486</v>
      </c>
      <c r="EV4" s="462">
        <v>2013</v>
      </c>
      <c r="EW4" s="724">
        <f t="shared" si="27"/>
        <v>2.3666666666666667</v>
      </c>
      <c r="EX4" s="719">
        <v>12116</v>
      </c>
      <c r="EY4" s="233">
        <f t="shared" si="28"/>
        <v>28674.533333333333</v>
      </c>
      <c r="EZ4" s="127"/>
      <c r="FA4" s="558"/>
      <c r="FB4" s="710">
        <f t="shared" si="29"/>
        <v>0</v>
      </c>
      <c r="FC4" s="562"/>
      <c r="FD4" s="562"/>
      <c r="FE4" s="562"/>
      <c r="FF4" s="562"/>
      <c r="FG4" s="559"/>
      <c r="FH4" s="571"/>
      <c r="FI4" s="559"/>
      <c r="FJ4" s="559"/>
      <c r="FK4" s="123"/>
      <c r="FL4" s="123"/>
      <c r="FM4" s="123"/>
      <c r="FN4" s="123"/>
      <c r="FO4" s="123"/>
      <c r="FP4" s="115"/>
      <c r="FQ4" s="123">
        <f t="shared" si="30"/>
        <v>41838</v>
      </c>
      <c r="FR4" s="692">
        <v>0</v>
      </c>
      <c r="FS4" s="123" t="s">
        <v>126</v>
      </c>
      <c r="FT4" s="123"/>
      <c r="FU4" s="123"/>
      <c r="FV4" s="181" t="s">
        <v>291</v>
      </c>
      <c r="FW4" s="181"/>
      <c r="FX4" s="181" t="s">
        <v>126</v>
      </c>
      <c r="FY4" s="181"/>
      <c r="FZ4" s="114">
        <v>42664</v>
      </c>
      <c r="GA4" s="114"/>
      <c r="GB4" s="194"/>
      <c r="GC4" s="194"/>
      <c r="GD4" s="194" t="s">
        <v>126</v>
      </c>
      <c r="GE4" s="194" t="s">
        <v>126</v>
      </c>
      <c r="GF4" s="429"/>
      <c r="GG4" s="405"/>
      <c r="GH4" s="8">
        <v>4024614</v>
      </c>
      <c r="GI4" s="430">
        <f>GS4+GX4+HE4+HX4+HC4+HI4</f>
        <v>4024614</v>
      </c>
      <c r="GJ4" s="10">
        <f t="shared" si="31"/>
        <v>0</v>
      </c>
      <c r="GK4" s="46">
        <f t="shared" si="32"/>
        <v>2100.0031307396894</v>
      </c>
      <c r="GL4" s="46">
        <f t="shared" si="33"/>
        <v>174983.21739130435</v>
      </c>
      <c r="GM4" s="8">
        <v>3671820</v>
      </c>
      <c r="GN4" s="9"/>
      <c r="GO4" s="10">
        <f t="shared" si="34"/>
        <v>-3671820</v>
      </c>
      <c r="GP4" s="128">
        <f t="shared" si="35"/>
        <v>0.93150006932341833</v>
      </c>
      <c r="GQ4" s="129"/>
      <c r="GR4" s="8">
        <v>1191366</v>
      </c>
      <c r="GS4" s="13">
        <v>1191366</v>
      </c>
      <c r="GT4" s="63"/>
      <c r="GU4" s="19">
        <f t="shared" si="36"/>
        <v>51798.521739130432</v>
      </c>
      <c r="GV4" s="33">
        <f t="shared" si="37"/>
        <v>0</v>
      </c>
      <c r="GW4" s="8">
        <v>2593661</v>
      </c>
      <c r="GX4" s="9">
        <f t="shared" si="38"/>
        <v>2593661</v>
      </c>
      <c r="GY4" s="11">
        <v>592565</v>
      </c>
      <c r="GZ4" s="11">
        <v>2001096</v>
      </c>
      <c r="HA4" s="33">
        <f t="shared" si="39"/>
        <v>0</v>
      </c>
      <c r="HB4" s="640">
        <f t="shared" si="40"/>
        <v>112767.86956521739</v>
      </c>
      <c r="HC4" s="9">
        <v>0</v>
      </c>
      <c r="HD4" s="432">
        <v>239587</v>
      </c>
      <c r="HE4" s="13">
        <v>239587</v>
      </c>
      <c r="HF4" s="63"/>
      <c r="HG4" s="36">
        <f t="shared" si="41"/>
        <v>5.9530429502059078E-2</v>
      </c>
      <c r="HH4" s="302"/>
      <c r="HI4" s="13">
        <v>0</v>
      </c>
      <c r="HJ4" s="20">
        <f t="shared" si="50"/>
        <v>0</v>
      </c>
      <c r="HK4" s="19">
        <f t="shared" si="42"/>
        <v>10416.826086956522</v>
      </c>
      <c r="HL4" s="46">
        <f t="shared" si="43"/>
        <v>62215.34782608696</v>
      </c>
      <c r="HM4" s="20">
        <f t="shared" si="44"/>
        <v>0</v>
      </c>
      <c r="HN4" s="45"/>
      <c r="HO4" s="45"/>
      <c r="HP4" s="35">
        <v>0</v>
      </c>
      <c r="HQ4" s="35">
        <v>0</v>
      </c>
      <c r="HR4" s="19">
        <f t="shared" si="45"/>
        <v>62215.34782608696</v>
      </c>
      <c r="HS4" s="35">
        <v>0</v>
      </c>
      <c r="HT4" s="19">
        <f t="shared" si="46"/>
        <v>62215.34782608696</v>
      </c>
      <c r="HU4" s="47">
        <f t="shared" si="47"/>
        <v>0.3555503707933233</v>
      </c>
      <c r="HV4" s="35"/>
      <c r="HW4" s="35"/>
      <c r="HX4" s="9">
        <v>0</v>
      </c>
      <c r="HY4" s="37">
        <f t="shared" si="48"/>
        <v>4024614</v>
      </c>
      <c r="HZ4" s="233"/>
      <c r="IA4" s="233">
        <f t="shared" si="49"/>
        <v>0</v>
      </c>
      <c r="IB4" s="114"/>
      <c r="IC4" s="233"/>
      <c r="ID4" s="233"/>
      <c r="IE4" s="114"/>
      <c r="IF4" s="114"/>
      <c r="IG4" s="233"/>
      <c r="IH4" s="114"/>
      <c r="II4" s="233"/>
      <c r="IJ4" s="114"/>
      <c r="IK4" s="233"/>
      <c r="IL4" s="115"/>
      <c r="IM4" s="322"/>
      <c r="IN4" s="314"/>
      <c r="IO4" s="314"/>
      <c r="IP4" s="123"/>
      <c r="IQ4" s="233"/>
      <c r="IR4" s="123"/>
      <c r="IS4" s="233"/>
      <c r="IT4" s="323"/>
      <c r="IU4" s="323"/>
      <c r="IV4" s="323"/>
      <c r="IW4" s="323"/>
      <c r="IX4" s="268"/>
      <c r="IY4" s="268"/>
      <c r="IZ4" s="268"/>
      <c r="JA4" s="268"/>
      <c r="JB4" s="268"/>
      <c r="JC4" s="268"/>
      <c r="JD4" s="233"/>
      <c r="JE4" s="123"/>
      <c r="JF4" s="115"/>
      <c r="JG4" s="123"/>
      <c r="JH4" s="123"/>
      <c r="JI4" s="115"/>
    </row>
    <row r="5" spans="1:269" ht="24.95" customHeight="1">
      <c r="A5" s="4" t="s">
        <v>298</v>
      </c>
      <c r="B5" s="5" t="s">
        <v>35</v>
      </c>
      <c r="C5" s="5" t="s">
        <v>110</v>
      </c>
      <c r="D5" s="5">
        <v>2011</v>
      </c>
      <c r="E5" s="5" t="s">
        <v>101</v>
      </c>
      <c r="F5" s="5" t="s">
        <v>37</v>
      </c>
      <c r="G5" s="5" t="s">
        <v>176</v>
      </c>
      <c r="H5" s="50" t="s">
        <v>248</v>
      </c>
      <c r="I5" s="50"/>
      <c r="J5" s="50"/>
      <c r="K5" s="256"/>
      <c r="L5" s="415"/>
      <c r="M5" s="415"/>
      <c r="N5" s="415"/>
      <c r="O5" s="207">
        <v>3280</v>
      </c>
      <c r="P5" s="207">
        <f>Q5</f>
        <v>700000</v>
      </c>
      <c r="Q5" s="207">
        <v>700000</v>
      </c>
      <c r="R5" s="207">
        <f>P5/AD5</f>
        <v>35000</v>
      </c>
      <c r="S5" s="207">
        <f>P5/O5</f>
        <v>213.41463414634146</v>
      </c>
      <c r="T5" s="207">
        <f>Q5/O5</f>
        <v>213.41463414634146</v>
      </c>
      <c r="U5" s="207">
        <f>Q5/AL5</f>
        <v>409.99209300963486</v>
      </c>
      <c r="V5" s="207">
        <f>Q5/AD5</f>
        <v>35000</v>
      </c>
      <c r="W5" s="207">
        <f>O5/AD5</f>
        <v>164</v>
      </c>
      <c r="X5" s="208"/>
      <c r="Y5" s="209">
        <f>AL5/O5</f>
        <v>0.52053353658536583</v>
      </c>
      <c r="Z5" s="208" t="s">
        <v>203</v>
      </c>
      <c r="AA5" s="210"/>
      <c r="AB5" s="210"/>
      <c r="AC5" s="5" t="s">
        <v>15</v>
      </c>
      <c r="AD5" s="318">
        <f t="shared" si="0"/>
        <v>20</v>
      </c>
      <c r="AE5" s="5">
        <v>20</v>
      </c>
      <c r="AF5" s="418"/>
      <c r="AG5" s="402"/>
      <c r="AH5" s="402"/>
      <c r="AI5" s="54">
        <v>1707.35</v>
      </c>
      <c r="AJ5" s="7">
        <v>1707.35</v>
      </c>
      <c r="AK5" s="54">
        <v>1707.35</v>
      </c>
      <c r="AL5" s="79">
        <v>1707.35</v>
      </c>
      <c r="AM5" s="7">
        <f t="shared" si="1"/>
        <v>85.367499999999993</v>
      </c>
      <c r="AN5" s="75">
        <v>0</v>
      </c>
      <c r="AO5" s="75">
        <v>0</v>
      </c>
      <c r="AP5" s="75">
        <f>2/AD5</f>
        <v>0.1</v>
      </c>
      <c r="AQ5" s="75">
        <f>18/AD5</f>
        <v>0.9</v>
      </c>
      <c r="AR5" s="75">
        <v>0</v>
      </c>
      <c r="AS5" s="7">
        <v>461.7</v>
      </c>
      <c r="AT5" s="73"/>
      <c r="AU5" s="75">
        <f t="shared" si="2"/>
        <v>0</v>
      </c>
      <c r="AV5" s="54">
        <v>2</v>
      </c>
      <c r="AW5" s="53" t="s">
        <v>561</v>
      </c>
      <c r="AX5" s="419"/>
      <c r="AY5" s="825">
        <v>3506440.94</v>
      </c>
      <c r="AZ5" s="53"/>
      <c r="BA5" s="50"/>
      <c r="BB5" s="184">
        <v>40816</v>
      </c>
      <c r="BC5" s="422" t="s">
        <v>12</v>
      </c>
      <c r="BD5" s="422" t="s">
        <v>232</v>
      </c>
      <c r="BE5" s="423"/>
      <c r="BF5" s="204">
        <v>40722</v>
      </c>
      <c r="BG5" s="96"/>
      <c r="BH5" s="96"/>
      <c r="BI5" s="204"/>
      <c r="BJ5" s="96"/>
      <c r="BK5" s="32"/>
      <c r="BL5" s="427"/>
      <c r="BM5" s="111"/>
      <c r="BN5" s="111"/>
      <c r="BO5" s="188"/>
      <c r="BP5" s="188">
        <f t="shared" si="3"/>
        <v>731</v>
      </c>
      <c r="BQ5" s="188">
        <f t="shared" si="4"/>
        <v>1096</v>
      </c>
      <c r="BR5" s="188"/>
      <c r="BS5" s="188"/>
      <c r="BT5" s="686" t="e">
        <f t="shared" si="5"/>
        <v>#NUM!</v>
      </c>
      <c r="BU5" s="686" t="e">
        <f t="shared" si="6"/>
        <v>#NUM!</v>
      </c>
      <c r="BV5" s="686" t="e">
        <f t="shared" si="7"/>
        <v>#NUM!</v>
      </c>
      <c r="BW5" s="111"/>
      <c r="BX5" s="32"/>
      <c r="BY5" s="111"/>
      <c r="BZ5" s="100"/>
      <c r="CA5" s="100"/>
      <c r="CB5" s="100"/>
      <c r="CC5" s="155" t="s">
        <v>179</v>
      </c>
      <c r="CD5" s="306">
        <v>41265</v>
      </c>
      <c r="CE5" s="251"/>
      <c r="CF5" s="587">
        <v>3434319.2948090113</v>
      </c>
      <c r="CG5" s="588" t="s">
        <v>165</v>
      </c>
      <c r="CH5" s="408"/>
      <c r="CI5" s="344">
        <v>41044</v>
      </c>
      <c r="CJ5" s="251">
        <v>41477</v>
      </c>
      <c r="CK5" s="603">
        <f>(EU5-CJ5)/30</f>
        <v>1.7333333333333334</v>
      </c>
      <c r="CL5" s="123"/>
      <c r="CM5" s="123"/>
      <c r="CN5" s="123"/>
      <c r="CO5" s="529" t="str">
        <f t="shared" si="8"/>
        <v>0</v>
      </c>
      <c r="CP5" s="123"/>
      <c r="CQ5" s="123"/>
      <c r="CR5" s="529" t="str">
        <f t="shared" si="9"/>
        <v>0</v>
      </c>
      <c r="CS5" s="123"/>
      <c r="CT5" s="123"/>
      <c r="CU5" s="529" t="str">
        <f t="shared" si="10"/>
        <v>0</v>
      </c>
      <c r="CV5" s="123"/>
      <c r="CW5" s="123"/>
      <c r="CX5" s="529" t="str">
        <f t="shared" si="11"/>
        <v>0</v>
      </c>
      <c r="CY5" s="126"/>
      <c r="CZ5" s="575"/>
      <c r="DA5" s="529" t="str">
        <f t="shared" si="12"/>
        <v>0</v>
      </c>
      <c r="DB5" s="459"/>
      <c r="DC5" s="233"/>
      <c r="DD5" s="539"/>
      <c r="DE5" s="534"/>
      <c r="DF5" s="535" t="str">
        <f t="shared" si="13"/>
        <v>0</v>
      </c>
      <c r="DG5" s="539"/>
      <c r="DH5" s="352">
        <v>40899</v>
      </c>
      <c r="DI5" s="345">
        <v>2011</v>
      </c>
      <c r="DJ5" s="447">
        <f t="shared" si="14"/>
        <v>5.9</v>
      </c>
      <c r="DK5" s="535" t="str">
        <f t="shared" si="15"/>
        <v>0</v>
      </c>
      <c r="DL5" s="126">
        <v>15</v>
      </c>
      <c r="DM5" s="126">
        <f t="shared" si="16"/>
        <v>19</v>
      </c>
      <c r="DN5" s="316"/>
      <c r="DO5" s="315"/>
      <c r="DP5" s="701" t="str">
        <f t="shared" si="17"/>
        <v>0</v>
      </c>
      <c r="DQ5" s="720"/>
      <c r="DR5" s="622"/>
      <c r="DS5" s="623" t="str">
        <f t="shared" si="18"/>
        <v>0</v>
      </c>
      <c r="DT5" s="255"/>
      <c r="DU5" s="316"/>
      <c r="DV5" s="701" t="str">
        <f t="shared" si="19"/>
        <v>0</v>
      </c>
      <c r="DW5" s="316"/>
      <c r="DX5" s="316"/>
      <c r="DY5" s="701" t="str">
        <f t="shared" si="20"/>
        <v>0</v>
      </c>
      <c r="DZ5" s="316"/>
      <c r="EA5" s="316"/>
      <c r="EB5" s="701" t="str">
        <f t="shared" si="21"/>
        <v>0</v>
      </c>
      <c r="EC5" s="316"/>
      <c r="ED5" s="316"/>
      <c r="EE5" s="701" t="str">
        <f t="shared" si="22"/>
        <v>0</v>
      </c>
      <c r="EF5" s="316"/>
      <c r="EG5" s="316"/>
      <c r="EH5" s="701" t="str">
        <f t="shared" si="23"/>
        <v>0</v>
      </c>
      <c r="EI5" s="316"/>
      <c r="EJ5" s="316"/>
      <c r="EK5" s="316"/>
      <c r="EL5" s="608">
        <f t="shared" si="24"/>
        <v>41355</v>
      </c>
      <c r="EM5" s="355">
        <v>41500</v>
      </c>
      <c r="EN5" s="730">
        <f t="shared" si="25"/>
        <v>4.833333333333333</v>
      </c>
      <c r="EO5" s="606"/>
      <c r="EP5" s="114">
        <v>41429</v>
      </c>
      <c r="EQ5" s="123" t="s">
        <v>126</v>
      </c>
      <c r="ER5" s="127">
        <v>41508</v>
      </c>
      <c r="ES5" s="606"/>
      <c r="ET5" s="461">
        <f t="shared" si="26"/>
        <v>41386</v>
      </c>
      <c r="EU5" s="355">
        <v>41529</v>
      </c>
      <c r="EV5" s="462">
        <v>2013</v>
      </c>
      <c r="EW5" s="724">
        <f t="shared" si="27"/>
        <v>4.7666666666666666</v>
      </c>
      <c r="EX5" s="719">
        <v>10566</v>
      </c>
      <c r="EY5" s="233">
        <f t="shared" si="28"/>
        <v>50364.6</v>
      </c>
      <c r="EZ5" s="127"/>
      <c r="FA5" s="558"/>
      <c r="FB5" s="710">
        <f t="shared" si="29"/>
        <v>0</v>
      </c>
      <c r="FC5" s="562"/>
      <c r="FD5" s="562"/>
      <c r="FE5" s="562"/>
      <c r="FF5" s="562"/>
      <c r="FG5" s="559"/>
      <c r="FH5" s="571"/>
      <c r="FI5" s="559"/>
      <c r="FJ5" s="559"/>
      <c r="FK5" s="123"/>
      <c r="FL5" s="123"/>
      <c r="FM5" s="123"/>
      <c r="FN5" s="123"/>
      <c r="FO5" s="123"/>
      <c r="FP5" s="115"/>
      <c r="FQ5" s="123">
        <f t="shared" si="30"/>
        <v>41865</v>
      </c>
      <c r="FR5" s="692">
        <v>0</v>
      </c>
      <c r="FS5" s="123" t="s">
        <v>292</v>
      </c>
      <c r="FT5" s="123" t="s">
        <v>126</v>
      </c>
      <c r="FU5" s="123" t="s">
        <v>126</v>
      </c>
      <c r="FV5" s="123">
        <v>41932</v>
      </c>
      <c r="FW5" s="123"/>
      <c r="FX5" s="123" t="s">
        <v>126</v>
      </c>
      <c r="FY5" s="123"/>
      <c r="FZ5" s="114">
        <v>42178</v>
      </c>
      <c r="GA5" s="114"/>
      <c r="GB5" s="114"/>
      <c r="GC5" s="114"/>
      <c r="GD5" s="194" t="s">
        <v>126</v>
      </c>
      <c r="GE5" s="194" t="s">
        <v>126</v>
      </c>
      <c r="GF5" s="429"/>
      <c r="GG5" s="405"/>
      <c r="GH5" s="8">
        <v>3732556</v>
      </c>
      <c r="GI5" s="430">
        <f>GS5+GX5+HE5+HX5+HC5+HI5</f>
        <v>3732556</v>
      </c>
      <c r="GJ5" s="10">
        <f t="shared" si="31"/>
        <v>0</v>
      </c>
      <c r="GK5" s="46">
        <f t="shared" si="32"/>
        <v>2186.1692095938151</v>
      </c>
      <c r="GL5" s="46">
        <f t="shared" si="33"/>
        <v>186627.8</v>
      </c>
      <c r="GM5" s="454">
        <v>3491780</v>
      </c>
      <c r="GN5" s="9"/>
      <c r="GO5" s="10">
        <f t="shared" si="34"/>
        <v>-3491780</v>
      </c>
      <c r="GP5" s="128">
        <f t="shared" si="35"/>
        <v>0.95513835023506677</v>
      </c>
      <c r="GQ5" s="129"/>
      <c r="GR5" s="8">
        <v>1090090</v>
      </c>
      <c r="GS5" s="13">
        <v>1090090</v>
      </c>
      <c r="GT5" s="63"/>
      <c r="GU5" s="19">
        <f t="shared" si="36"/>
        <v>54504.5</v>
      </c>
      <c r="GV5" s="33">
        <f t="shared" si="37"/>
        <v>0</v>
      </c>
      <c r="GW5" s="8">
        <v>2287466</v>
      </c>
      <c r="GX5" s="9">
        <f t="shared" si="38"/>
        <v>2287466</v>
      </c>
      <c r="GY5" s="11">
        <v>616923</v>
      </c>
      <c r="GZ5" s="11">
        <v>1670543</v>
      </c>
      <c r="HA5" s="33">
        <f t="shared" si="39"/>
        <v>0</v>
      </c>
      <c r="HB5" s="640">
        <f t="shared" si="40"/>
        <v>114373.3</v>
      </c>
      <c r="HC5" s="9">
        <v>0</v>
      </c>
      <c r="HD5" s="432">
        <v>355000</v>
      </c>
      <c r="HE5" s="13">
        <v>355000</v>
      </c>
      <c r="HF5" s="63"/>
      <c r="HG5" s="36">
        <f t="shared" si="41"/>
        <v>9.5109088785272078E-2</v>
      </c>
      <c r="HH5" s="302"/>
      <c r="HI5" s="13">
        <v>0</v>
      </c>
      <c r="HJ5" s="20">
        <f t="shared" si="50"/>
        <v>0</v>
      </c>
      <c r="HK5" s="19">
        <f t="shared" si="42"/>
        <v>17750</v>
      </c>
      <c r="HL5" s="46">
        <f t="shared" si="43"/>
        <v>72254.5</v>
      </c>
      <c r="HM5" s="20">
        <f t="shared" si="44"/>
        <v>0</v>
      </c>
      <c r="HN5" s="45"/>
      <c r="HO5" s="45"/>
      <c r="HP5" s="35">
        <v>0</v>
      </c>
      <c r="HQ5" s="35">
        <v>0</v>
      </c>
      <c r="HR5" s="19">
        <f t="shared" si="45"/>
        <v>72254.5</v>
      </c>
      <c r="HS5" s="35">
        <v>0</v>
      </c>
      <c r="HT5" s="19">
        <f t="shared" si="46"/>
        <v>72254.5</v>
      </c>
      <c r="HU5" s="47">
        <f t="shared" si="47"/>
        <v>0.38715829045833472</v>
      </c>
      <c r="HV5" s="35"/>
      <c r="HW5" s="35"/>
      <c r="HX5" s="9">
        <v>0</v>
      </c>
      <c r="HY5" s="37">
        <f t="shared" si="48"/>
        <v>3732556</v>
      </c>
      <c r="HZ5" s="233"/>
      <c r="IA5" s="233">
        <f t="shared" si="49"/>
        <v>0</v>
      </c>
      <c r="IB5" s="114"/>
      <c r="IC5" s="233"/>
      <c r="ID5" s="233"/>
      <c r="IE5" s="114"/>
      <c r="IF5" s="114"/>
      <c r="IG5" s="233"/>
      <c r="IH5" s="114"/>
      <c r="II5" s="233"/>
      <c r="IJ5" s="114"/>
      <c r="IK5" s="233"/>
      <c r="IL5" s="115"/>
      <c r="IM5" s="322"/>
      <c r="IN5" s="314"/>
      <c r="IO5" s="314"/>
      <c r="IP5" s="123"/>
      <c r="IQ5" s="233"/>
      <c r="IR5" s="123"/>
      <c r="IS5" s="233"/>
      <c r="IT5" s="323"/>
      <c r="IU5" s="323"/>
      <c r="IV5" s="323"/>
      <c r="IW5" s="323"/>
      <c r="IX5" s="268"/>
      <c r="IY5" s="268"/>
      <c r="IZ5" s="268"/>
      <c r="JA5" s="268"/>
      <c r="JB5" s="268"/>
      <c r="JC5" s="268"/>
      <c r="JD5" s="233"/>
      <c r="JE5" s="123"/>
      <c r="JF5" s="115"/>
      <c r="JG5" s="123"/>
      <c r="JH5" s="123"/>
      <c r="JI5" s="115"/>
    </row>
    <row r="6" spans="1:269" ht="15" customHeight="1">
      <c r="A6" s="4" t="s">
        <v>295</v>
      </c>
      <c r="B6" s="5" t="s">
        <v>35</v>
      </c>
      <c r="C6" s="5" t="s">
        <v>110</v>
      </c>
      <c r="D6" s="5">
        <v>2011</v>
      </c>
      <c r="E6" s="5" t="s">
        <v>105</v>
      </c>
      <c r="F6" s="5"/>
      <c r="G6" s="5"/>
      <c r="H6" s="50" t="s">
        <v>248</v>
      </c>
      <c r="I6" s="50"/>
      <c r="J6" s="50"/>
      <c r="K6" s="256"/>
      <c r="L6" s="415"/>
      <c r="M6" s="415"/>
      <c r="N6" s="415"/>
      <c r="O6" s="207">
        <v>5169</v>
      </c>
      <c r="P6" s="207">
        <f>Q6</f>
        <v>908948</v>
      </c>
      <c r="Q6" s="207">
        <v>908948</v>
      </c>
      <c r="R6" s="207">
        <f>P6/(AD6+AD33)</f>
        <v>10693.505882352942</v>
      </c>
      <c r="S6" s="207">
        <f>P6/O6</f>
        <v>175.84600502998646</v>
      </c>
      <c r="T6" s="207">
        <f>Q6/O6</f>
        <v>175.84600502998646</v>
      </c>
      <c r="U6" s="207">
        <f>Q6/(AL6+AL33)</f>
        <v>121.44908133011054</v>
      </c>
      <c r="V6" s="207">
        <f>Q6/(AD6+AD33)</f>
        <v>10693.505882352942</v>
      </c>
      <c r="W6" s="207">
        <f>O6/(AD6+AD33)</f>
        <v>60.811764705882354</v>
      </c>
      <c r="X6" s="208"/>
      <c r="Y6" s="209">
        <f>(AL6+AL33)/O6</f>
        <v>1.4478990133488101</v>
      </c>
      <c r="Z6" s="208" t="s">
        <v>185</v>
      </c>
      <c r="AA6" s="210"/>
      <c r="AB6" s="210"/>
      <c r="AC6" s="5" t="s">
        <v>15</v>
      </c>
      <c r="AD6" s="318">
        <f t="shared" si="0"/>
        <v>51</v>
      </c>
      <c r="AE6" s="5">
        <v>51</v>
      </c>
      <c r="AF6" s="418"/>
      <c r="AG6" s="402"/>
      <c r="AH6" s="402"/>
      <c r="AI6" s="54">
        <v>4165.7300000000005</v>
      </c>
      <c r="AJ6" s="7">
        <v>4837.3599999999997</v>
      </c>
      <c r="AK6" s="54">
        <v>4837.3599999999997</v>
      </c>
      <c r="AL6" s="79">
        <v>4837.3599999999997</v>
      </c>
      <c r="AM6" s="7">
        <f t="shared" si="1"/>
        <v>94.850196078431367</v>
      </c>
      <c r="AN6" s="54"/>
      <c r="AO6" s="54"/>
      <c r="AP6" s="54"/>
      <c r="AQ6" s="54"/>
      <c r="AR6" s="54"/>
      <c r="AS6" s="7">
        <v>900</v>
      </c>
      <c r="AT6" s="73">
        <v>0</v>
      </c>
      <c r="AU6" s="75">
        <f t="shared" si="2"/>
        <v>0</v>
      </c>
      <c r="AV6" s="54"/>
      <c r="AW6" s="53" t="s">
        <v>561</v>
      </c>
      <c r="AX6" s="419" t="s">
        <v>118</v>
      </c>
      <c r="AY6" s="825">
        <v>8947368.421052631</v>
      </c>
      <c r="AZ6" s="53"/>
      <c r="BA6" s="50"/>
      <c r="BB6" s="184">
        <v>40816</v>
      </c>
      <c r="BC6" s="422" t="s">
        <v>12</v>
      </c>
      <c r="BD6" s="422" t="s">
        <v>230</v>
      </c>
      <c r="BE6" s="423"/>
      <c r="BF6" s="204">
        <v>40722</v>
      </c>
      <c r="BG6" s="96">
        <v>42317</v>
      </c>
      <c r="BH6" s="96"/>
      <c r="BI6" s="204"/>
      <c r="BJ6" s="96"/>
      <c r="BK6" s="32"/>
      <c r="BL6" s="427"/>
      <c r="BM6" s="111"/>
      <c r="BN6" s="111"/>
      <c r="BO6" s="188"/>
      <c r="BP6" s="188">
        <f t="shared" si="3"/>
        <v>731</v>
      </c>
      <c r="BQ6" s="188">
        <f t="shared" si="4"/>
        <v>1096</v>
      </c>
      <c r="BR6" s="188"/>
      <c r="BS6" s="188"/>
      <c r="BT6" s="686" t="e">
        <f t="shared" si="5"/>
        <v>#NUM!</v>
      </c>
      <c r="BU6" s="686" t="e">
        <f t="shared" si="6"/>
        <v>#NUM!</v>
      </c>
      <c r="BV6" s="686" t="e">
        <f t="shared" si="7"/>
        <v>#NUM!</v>
      </c>
      <c r="BW6" s="111"/>
      <c r="BX6" s="32"/>
      <c r="BY6" s="111"/>
      <c r="BZ6" s="100"/>
      <c r="CA6" s="100"/>
      <c r="CB6" s="98"/>
      <c r="CC6" s="155" t="s">
        <v>142</v>
      </c>
      <c r="CD6" s="306">
        <v>40898</v>
      </c>
      <c r="CE6" s="251"/>
      <c r="CF6" s="587">
        <v>9794319.2948090117</v>
      </c>
      <c r="CG6" s="588" t="s">
        <v>165</v>
      </c>
      <c r="CH6" s="408"/>
      <c r="CI6" s="344">
        <v>41176</v>
      </c>
      <c r="CJ6" s="251">
        <v>41568</v>
      </c>
      <c r="CK6" s="603">
        <f>(EU6-CJ6)/30</f>
        <v>3.8333333333333335</v>
      </c>
      <c r="CL6" s="123"/>
      <c r="CM6" s="123"/>
      <c r="CN6" s="123"/>
      <c r="CO6" s="529" t="str">
        <f t="shared" si="8"/>
        <v>0</v>
      </c>
      <c r="CP6" s="123"/>
      <c r="CQ6" s="123"/>
      <c r="CR6" s="529" t="str">
        <f t="shared" si="9"/>
        <v>0</v>
      </c>
      <c r="CS6" s="123"/>
      <c r="CT6" s="123"/>
      <c r="CU6" s="529" t="str">
        <f t="shared" si="10"/>
        <v>0</v>
      </c>
      <c r="CV6" s="123"/>
      <c r="CW6" s="123"/>
      <c r="CX6" s="529" t="str">
        <f t="shared" si="11"/>
        <v>0</v>
      </c>
      <c r="CY6" s="126"/>
      <c r="CZ6" s="575"/>
      <c r="DA6" s="529" t="str">
        <f t="shared" si="12"/>
        <v>0</v>
      </c>
      <c r="DB6" s="459"/>
      <c r="DC6" s="233"/>
      <c r="DD6" s="539"/>
      <c r="DE6" s="534"/>
      <c r="DF6" s="535" t="str">
        <f t="shared" si="13"/>
        <v>0</v>
      </c>
      <c r="DG6" s="539"/>
      <c r="DH6" s="352">
        <v>40898</v>
      </c>
      <c r="DI6" s="345">
        <v>2011</v>
      </c>
      <c r="DJ6" s="447">
        <f t="shared" si="14"/>
        <v>5.8666666666666663</v>
      </c>
      <c r="DK6" s="535" t="str">
        <f t="shared" si="15"/>
        <v>0</v>
      </c>
      <c r="DL6" s="126">
        <v>22</v>
      </c>
      <c r="DM6" s="126">
        <f t="shared" si="16"/>
        <v>22</v>
      </c>
      <c r="DN6" s="316"/>
      <c r="DO6" s="315"/>
      <c r="DP6" s="701" t="str">
        <f t="shared" si="17"/>
        <v>0</v>
      </c>
      <c r="DQ6" s="720"/>
      <c r="DR6" s="622"/>
      <c r="DS6" s="623" t="str">
        <f t="shared" si="18"/>
        <v>0</v>
      </c>
      <c r="DT6" s="255"/>
      <c r="DU6" s="316"/>
      <c r="DV6" s="701" t="str">
        <f t="shared" si="19"/>
        <v>0</v>
      </c>
      <c r="DW6" s="316"/>
      <c r="DX6" s="316"/>
      <c r="DY6" s="701" t="str">
        <f t="shared" si="20"/>
        <v>0</v>
      </c>
      <c r="DZ6" s="316"/>
      <c r="EA6" s="316"/>
      <c r="EB6" s="701" t="str">
        <f t="shared" si="21"/>
        <v>0</v>
      </c>
      <c r="EC6" s="316"/>
      <c r="ED6" s="316"/>
      <c r="EE6" s="701" t="str">
        <f t="shared" si="22"/>
        <v>0</v>
      </c>
      <c r="EF6" s="316"/>
      <c r="EG6" s="316"/>
      <c r="EH6" s="701" t="str">
        <f t="shared" si="23"/>
        <v>0</v>
      </c>
      <c r="EI6" s="316"/>
      <c r="EJ6" s="316"/>
      <c r="EK6" s="316"/>
      <c r="EL6" s="461">
        <f t="shared" si="24"/>
        <v>41568</v>
      </c>
      <c r="EM6" s="355">
        <v>41568</v>
      </c>
      <c r="EN6" s="730">
        <f t="shared" si="25"/>
        <v>0</v>
      </c>
      <c r="EO6" s="606"/>
      <c r="EP6" s="127">
        <v>41611</v>
      </c>
      <c r="EQ6" s="127" t="s">
        <v>126</v>
      </c>
      <c r="ER6" s="185">
        <v>41683</v>
      </c>
      <c r="ES6" s="764"/>
      <c r="ET6" s="461">
        <f t="shared" si="26"/>
        <v>41599</v>
      </c>
      <c r="EU6" s="610">
        <v>41683</v>
      </c>
      <c r="EV6" s="596">
        <v>2014</v>
      </c>
      <c r="EW6" s="725">
        <f t="shared" si="27"/>
        <v>2.8</v>
      </c>
      <c r="EX6" s="719">
        <v>30568</v>
      </c>
      <c r="EY6" s="233">
        <f t="shared" si="28"/>
        <v>85590.399999999994</v>
      </c>
      <c r="EZ6" s="185"/>
      <c r="FA6" s="558"/>
      <c r="FB6" s="710">
        <f t="shared" si="29"/>
        <v>0</v>
      </c>
      <c r="FC6" s="562"/>
      <c r="FD6" s="562"/>
      <c r="FE6" s="562"/>
      <c r="FF6" s="562"/>
      <c r="FG6" s="559"/>
      <c r="FH6" s="571"/>
      <c r="FI6" s="559"/>
      <c r="FJ6" s="559"/>
      <c r="FK6" s="123"/>
      <c r="FL6" s="123"/>
      <c r="FM6" s="123"/>
      <c r="FN6" s="123"/>
      <c r="FO6" s="123"/>
      <c r="FP6" s="115"/>
      <c r="FQ6" s="123">
        <f t="shared" si="30"/>
        <v>41933</v>
      </c>
      <c r="FR6" s="692">
        <v>0</v>
      </c>
      <c r="FS6" s="123" t="s">
        <v>293</v>
      </c>
      <c r="FT6" s="123" t="s">
        <v>126</v>
      </c>
      <c r="FU6" s="123"/>
      <c r="FV6" s="123"/>
      <c r="FW6" s="123"/>
      <c r="FX6" s="123"/>
      <c r="FY6" s="123"/>
      <c r="FZ6" s="114">
        <v>42121</v>
      </c>
      <c r="GA6" s="114"/>
      <c r="GB6" s="194"/>
      <c r="GC6" s="194"/>
      <c r="GD6" s="123"/>
      <c r="GE6" s="123"/>
      <c r="GF6" s="429"/>
      <c r="GG6" s="405"/>
      <c r="GH6" s="8">
        <v>9522775</v>
      </c>
      <c r="GI6" s="430">
        <f>GS6+GX6+HE6+HX6+HC6+HI6</f>
        <v>9522775</v>
      </c>
      <c r="GJ6" s="10">
        <f t="shared" si="31"/>
        <v>0</v>
      </c>
      <c r="GK6" s="46">
        <f t="shared" si="32"/>
        <v>1968.5892718342238</v>
      </c>
      <c r="GL6" s="46">
        <f t="shared" si="33"/>
        <v>186721.07843137256</v>
      </c>
      <c r="GM6" s="8"/>
      <c r="GN6" s="9"/>
      <c r="GO6" s="10">
        <f t="shared" si="34"/>
        <v>0</v>
      </c>
      <c r="GP6" s="128">
        <f t="shared" si="35"/>
        <v>0</v>
      </c>
      <c r="GQ6" s="129"/>
      <c r="GR6" s="8">
        <v>2932668</v>
      </c>
      <c r="GS6" s="13">
        <v>2932668</v>
      </c>
      <c r="GT6" s="63"/>
      <c r="GU6" s="19">
        <f t="shared" si="36"/>
        <v>57503.294117647056</v>
      </c>
      <c r="GV6" s="33">
        <f t="shared" si="37"/>
        <v>0</v>
      </c>
      <c r="GW6" s="8">
        <v>6290107</v>
      </c>
      <c r="GX6" s="9">
        <f t="shared" si="38"/>
        <v>6290107</v>
      </c>
      <c r="GY6" s="11">
        <v>1887032</v>
      </c>
      <c r="GZ6" s="11">
        <v>4403075</v>
      </c>
      <c r="HA6" s="33">
        <f t="shared" si="39"/>
        <v>0</v>
      </c>
      <c r="HB6" s="640">
        <f t="shared" si="40"/>
        <v>123335.43137254902</v>
      </c>
      <c r="HC6" s="9">
        <v>0</v>
      </c>
      <c r="HD6" s="432">
        <v>300000</v>
      </c>
      <c r="HE6" s="13">
        <v>300000</v>
      </c>
      <c r="HF6" s="63"/>
      <c r="HG6" s="36">
        <f t="shared" si="41"/>
        <v>3.150342205922118E-2</v>
      </c>
      <c r="HH6" s="302"/>
      <c r="HI6" s="13">
        <v>0</v>
      </c>
      <c r="HJ6" s="20">
        <f t="shared" si="50"/>
        <v>0</v>
      </c>
      <c r="HK6" s="19">
        <f t="shared" si="42"/>
        <v>5882.3529411764703</v>
      </c>
      <c r="HL6" s="46">
        <f t="shared" si="43"/>
        <v>63385.647058823532</v>
      </c>
      <c r="HM6" s="20">
        <f t="shared" si="44"/>
        <v>0</v>
      </c>
      <c r="HN6" s="45"/>
      <c r="HO6" s="45"/>
      <c r="HP6" s="35">
        <v>0</v>
      </c>
      <c r="HQ6" s="35">
        <v>0</v>
      </c>
      <c r="HR6" s="19">
        <f t="shared" si="45"/>
        <v>63385.647058823532</v>
      </c>
      <c r="HS6" s="35">
        <v>0</v>
      </c>
      <c r="HT6" s="19">
        <f t="shared" si="46"/>
        <v>63385.647058823532</v>
      </c>
      <c r="HU6" s="47">
        <f t="shared" si="47"/>
        <v>0.33946701460446144</v>
      </c>
      <c r="HV6" s="35"/>
      <c r="HW6" s="35"/>
      <c r="HX6" s="9">
        <v>0</v>
      </c>
      <c r="HY6" s="37">
        <f t="shared" si="48"/>
        <v>9522775</v>
      </c>
      <c r="HZ6" s="233"/>
      <c r="IA6" s="233">
        <f t="shared" si="49"/>
        <v>0</v>
      </c>
      <c r="IB6" s="114"/>
      <c r="IC6" s="233"/>
      <c r="ID6" s="233"/>
      <c r="IE6" s="114"/>
      <c r="IF6" s="114"/>
      <c r="IG6" s="233"/>
      <c r="IH6" s="114"/>
      <c r="II6" s="233"/>
      <c r="IJ6" s="114"/>
      <c r="IK6" s="233"/>
      <c r="IL6" s="115"/>
      <c r="IM6" s="322"/>
      <c r="IN6" s="314"/>
      <c r="IO6" s="314"/>
      <c r="IP6" s="123"/>
      <c r="IQ6" s="233"/>
      <c r="IR6" s="123"/>
      <c r="IS6" s="233"/>
      <c r="IT6" s="323"/>
      <c r="IU6" s="323"/>
      <c r="IV6" s="323"/>
      <c r="IW6" s="323"/>
      <c r="IX6" s="268"/>
      <c r="IY6" s="268"/>
      <c r="IZ6" s="268"/>
      <c r="JA6" s="268"/>
      <c r="JB6" s="268"/>
      <c r="JC6" s="268"/>
      <c r="JD6" s="233"/>
      <c r="JE6" s="123"/>
      <c r="JF6" s="115"/>
      <c r="JG6" s="123"/>
      <c r="JH6" s="123"/>
      <c r="JI6" s="115"/>
    </row>
    <row r="7" spans="1:269" ht="35.1" customHeight="1">
      <c r="A7" s="4" t="s">
        <v>296</v>
      </c>
      <c r="B7" s="5" t="s">
        <v>35</v>
      </c>
      <c r="C7" s="5" t="s">
        <v>110</v>
      </c>
      <c r="D7" s="5">
        <v>2011</v>
      </c>
      <c r="E7" s="5" t="s">
        <v>105</v>
      </c>
      <c r="F7" s="5"/>
      <c r="G7" s="5"/>
      <c r="H7" s="50" t="s">
        <v>248</v>
      </c>
      <c r="I7" s="50"/>
      <c r="J7" s="50"/>
      <c r="K7" s="256"/>
      <c r="L7" s="415"/>
      <c r="M7" s="415"/>
      <c r="N7" s="415"/>
      <c r="O7" s="62"/>
      <c r="P7" s="62"/>
      <c r="Q7" s="62"/>
      <c r="R7" s="62"/>
      <c r="S7" s="62"/>
      <c r="T7" s="62"/>
      <c r="U7" s="62"/>
      <c r="V7" s="62"/>
      <c r="W7" s="62"/>
      <c r="X7" s="208"/>
      <c r="Y7" s="107"/>
      <c r="Z7" s="208" t="s">
        <v>185</v>
      </c>
      <c r="AA7" s="210"/>
      <c r="AB7" s="210"/>
      <c r="AC7" s="5" t="s">
        <v>16</v>
      </c>
      <c r="AD7" s="318">
        <f t="shared" si="0"/>
        <v>6</v>
      </c>
      <c r="AE7" s="6"/>
      <c r="AF7" s="5">
        <v>6</v>
      </c>
      <c r="AG7" s="50"/>
      <c r="AH7" s="50"/>
      <c r="AI7" s="54">
        <v>391.83999999999992</v>
      </c>
      <c r="AJ7" s="7">
        <v>470.86</v>
      </c>
      <c r="AK7" s="54">
        <v>470.86</v>
      </c>
      <c r="AL7" s="79">
        <v>470.86</v>
      </c>
      <c r="AM7" s="7">
        <f t="shared" si="1"/>
        <v>78.476666666666674</v>
      </c>
      <c r="AN7" s="54"/>
      <c r="AO7" s="54"/>
      <c r="AP7" s="54"/>
      <c r="AQ7" s="54"/>
      <c r="AR7" s="54"/>
      <c r="AS7" s="6"/>
      <c r="AT7" s="73">
        <v>0</v>
      </c>
      <c r="AU7" s="75" t="e">
        <f t="shared" si="2"/>
        <v>#DIV/0!</v>
      </c>
      <c r="AV7" s="54"/>
      <c r="AW7" s="53" t="s">
        <v>561</v>
      </c>
      <c r="AX7" s="419" t="s">
        <v>118</v>
      </c>
      <c r="AY7" s="825">
        <v>1052631.5789473683</v>
      </c>
      <c r="AZ7" s="53"/>
      <c r="BA7" s="50"/>
      <c r="BB7" s="184">
        <v>40816</v>
      </c>
      <c r="BC7" s="422" t="s">
        <v>12</v>
      </c>
      <c r="BD7" s="422" t="s">
        <v>230</v>
      </c>
      <c r="BE7" s="423"/>
      <c r="BF7" s="204">
        <v>40730</v>
      </c>
      <c r="BG7" s="96">
        <v>42317</v>
      </c>
      <c r="BH7" s="96"/>
      <c r="BI7" s="204"/>
      <c r="BJ7" s="96"/>
      <c r="BK7" s="32"/>
      <c r="BL7" s="427"/>
      <c r="BM7" s="111"/>
      <c r="BN7" s="111"/>
      <c r="BO7" s="188"/>
      <c r="BP7" s="188">
        <f t="shared" si="3"/>
        <v>731</v>
      </c>
      <c r="BQ7" s="188">
        <f t="shared" si="4"/>
        <v>1096</v>
      </c>
      <c r="BR7" s="188"/>
      <c r="BS7" s="188"/>
      <c r="BT7" s="686" t="e">
        <f t="shared" si="5"/>
        <v>#NUM!</v>
      </c>
      <c r="BU7" s="686" t="e">
        <f t="shared" si="6"/>
        <v>#NUM!</v>
      </c>
      <c r="BV7" s="686" t="e">
        <f t="shared" si="7"/>
        <v>#NUM!</v>
      </c>
      <c r="BW7" s="111"/>
      <c r="BX7" s="32"/>
      <c r="BY7" s="111"/>
      <c r="BZ7" s="100"/>
      <c r="CA7" s="100"/>
      <c r="CB7" s="100"/>
      <c r="CC7" s="155"/>
      <c r="CD7" s="306">
        <v>41264</v>
      </c>
      <c r="CE7" s="251"/>
      <c r="CF7" s="587"/>
      <c r="CG7" s="588" t="s">
        <v>165</v>
      </c>
      <c r="CH7" s="408"/>
      <c r="CI7" s="344">
        <v>41176</v>
      </c>
      <c r="CJ7" s="408"/>
      <c r="CK7" s="408"/>
      <c r="CL7" s="123"/>
      <c r="CM7" s="123"/>
      <c r="CN7" s="123"/>
      <c r="CO7" s="529" t="str">
        <f t="shared" si="8"/>
        <v>0</v>
      </c>
      <c r="CP7" s="123"/>
      <c r="CQ7" s="123"/>
      <c r="CR7" s="529" t="str">
        <f t="shared" si="9"/>
        <v>0</v>
      </c>
      <c r="CS7" s="123"/>
      <c r="CT7" s="123"/>
      <c r="CU7" s="529" t="str">
        <f t="shared" si="10"/>
        <v>0</v>
      </c>
      <c r="CV7" s="123"/>
      <c r="CW7" s="123"/>
      <c r="CX7" s="529" t="str">
        <f t="shared" si="11"/>
        <v>0</v>
      </c>
      <c r="CY7" s="126"/>
      <c r="CZ7" s="575"/>
      <c r="DA7" s="529" t="str">
        <f t="shared" si="12"/>
        <v>0</v>
      </c>
      <c r="DB7" s="459"/>
      <c r="DC7" s="233"/>
      <c r="DD7" s="539"/>
      <c r="DE7" s="534"/>
      <c r="DF7" s="535" t="str">
        <f t="shared" si="13"/>
        <v>0</v>
      </c>
      <c r="DG7" s="539"/>
      <c r="DH7" s="352">
        <v>40898</v>
      </c>
      <c r="DI7" s="345">
        <v>2011</v>
      </c>
      <c r="DJ7" s="447">
        <f t="shared" si="14"/>
        <v>5.6</v>
      </c>
      <c r="DK7" s="535" t="str">
        <f t="shared" si="15"/>
        <v>0</v>
      </c>
      <c r="DL7" s="126">
        <v>22</v>
      </c>
      <c r="DM7" s="126">
        <f t="shared" si="16"/>
        <v>22</v>
      </c>
      <c r="DN7" s="316"/>
      <c r="DO7" s="315"/>
      <c r="DP7" s="701" t="str">
        <f t="shared" si="17"/>
        <v>0</v>
      </c>
      <c r="DQ7" s="720"/>
      <c r="DR7" s="622"/>
      <c r="DS7" s="623" t="str">
        <f t="shared" si="18"/>
        <v>0</v>
      </c>
      <c r="DT7" s="255"/>
      <c r="DU7" s="316"/>
      <c r="DV7" s="701" t="str">
        <f t="shared" si="19"/>
        <v>0</v>
      </c>
      <c r="DW7" s="316"/>
      <c r="DX7" s="316"/>
      <c r="DY7" s="701" t="str">
        <f t="shared" si="20"/>
        <v>0</v>
      </c>
      <c r="DZ7" s="316"/>
      <c r="EA7" s="316"/>
      <c r="EB7" s="701" t="str">
        <f t="shared" si="21"/>
        <v>0</v>
      </c>
      <c r="EC7" s="316"/>
      <c r="ED7" s="316"/>
      <c r="EE7" s="701" t="str">
        <f t="shared" si="22"/>
        <v>0</v>
      </c>
      <c r="EF7" s="316"/>
      <c r="EG7" s="316"/>
      <c r="EH7" s="701" t="str">
        <f t="shared" si="23"/>
        <v>0</v>
      </c>
      <c r="EI7" s="316"/>
      <c r="EJ7" s="316"/>
      <c r="EK7" s="316"/>
      <c r="EL7" s="461">
        <f t="shared" si="24"/>
        <v>41568</v>
      </c>
      <c r="EM7" s="355">
        <v>41568</v>
      </c>
      <c r="EN7" s="730">
        <f t="shared" si="25"/>
        <v>0</v>
      </c>
      <c r="EO7" s="606"/>
      <c r="EP7" s="127">
        <v>41611</v>
      </c>
      <c r="EQ7" s="127" t="s">
        <v>126</v>
      </c>
      <c r="ER7" s="185">
        <v>41683</v>
      </c>
      <c r="ES7" s="764"/>
      <c r="ET7" s="461">
        <f t="shared" si="26"/>
        <v>41599</v>
      </c>
      <c r="EU7" s="610">
        <v>41683</v>
      </c>
      <c r="EV7" s="596">
        <v>2014</v>
      </c>
      <c r="EW7" s="725">
        <f t="shared" si="27"/>
        <v>2.8</v>
      </c>
      <c r="EX7" s="719">
        <v>2502</v>
      </c>
      <c r="EY7" s="233">
        <f t="shared" si="28"/>
        <v>7005.5999999999995</v>
      </c>
      <c r="EZ7" s="185"/>
      <c r="FA7" s="558"/>
      <c r="FB7" s="710">
        <f t="shared" si="29"/>
        <v>0</v>
      </c>
      <c r="FC7" s="562"/>
      <c r="FD7" s="562"/>
      <c r="FE7" s="562"/>
      <c r="FF7" s="562"/>
      <c r="FG7" s="559"/>
      <c r="FH7" s="571"/>
      <c r="FI7" s="559"/>
      <c r="FJ7" s="559"/>
      <c r="FK7" s="123"/>
      <c r="FL7" s="123"/>
      <c r="FM7" s="123"/>
      <c r="FN7" s="123"/>
      <c r="FO7" s="123"/>
      <c r="FP7" s="115"/>
      <c r="FQ7" s="123">
        <f t="shared" si="30"/>
        <v>41933</v>
      </c>
      <c r="FR7" s="692">
        <v>0</v>
      </c>
      <c r="FS7" s="123" t="s">
        <v>293</v>
      </c>
      <c r="FT7" s="123" t="s">
        <v>126</v>
      </c>
      <c r="FU7" s="123"/>
      <c r="FV7" s="123"/>
      <c r="FW7" s="123"/>
      <c r="FX7" s="123"/>
      <c r="FY7" s="123"/>
      <c r="FZ7" s="114">
        <v>42121</v>
      </c>
      <c r="GA7" s="114"/>
      <c r="GB7" s="194"/>
      <c r="GC7" s="194"/>
      <c r="GD7" s="123"/>
      <c r="GE7" s="123"/>
      <c r="GF7" s="429"/>
      <c r="GG7" s="405"/>
      <c r="GH7" s="8">
        <v>926283</v>
      </c>
      <c r="GI7" s="430">
        <f>GS7+GX7+HE7+HX7+HF7+HI7</f>
        <v>926283</v>
      </c>
      <c r="GJ7" s="10">
        <f t="shared" si="31"/>
        <v>0</v>
      </c>
      <c r="GK7" s="46">
        <f t="shared" si="32"/>
        <v>1967.2153081595377</v>
      </c>
      <c r="GL7" s="46">
        <f t="shared" si="33"/>
        <v>154380.5</v>
      </c>
      <c r="GM7" s="8"/>
      <c r="GN7" s="9"/>
      <c r="GO7" s="10">
        <f t="shared" si="34"/>
        <v>0</v>
      </c>
      <c r="GP7" s="128">
        <f t="shared" si="35"/>
        <v>0</v>
      </c>
      <c r="GQ7" s="129"/>
      <c r="GR7" s="8">
        <v>340124</v>
      </c>
      <c r="GS7" s="13">
        <v>340124</v>
      </c>
      <c r="GT7" s="63"/>
      <c r="GU7" s="19">
        <f t="shared" si="36"/>
        <v>56687.333333333336</v>
      </c>
      <c r="GV7" s="33">
        <f t="shared" si="37"/>
        <v>0</v>
      </c>
      <c r="GW7" s="8">
        <v>486159</v>
      </c>
      <c r="GX7" s="9">
        <f t="shared" si="38"/>
        <v>486159</v>
      </c>
      <c r="GY7" s="11">
        <v>145848</v>
      </c>
      <c r="GZ7" s="11">
        <v>340311</v>
      </c>
      <c r="HA7" s="33">
        <f t="shared" si="39"/>
        <v>0</v>
      </c>
      <c r="HB7" s="640">
        <f t="shared" si="40"/>
        <v>81026.5</v>
      </c>
      <c r="HC7" s="9">
        <v>0</v>
      </c>
      <c r="HD7" s="432">
        <v>100000</v>
      </c>
      <c r="HE7" s="13">
        <v>100000</v>
      </c>
      <c r="HF7" s="63"/>
      <c r="HG7" s="36">
        <f t="shared" si="41"/>
        <v>0.10795836693537504</v>
      </c>
      <c r="HH7" s="302"/>
      <c r="HI7" s="13">
        <v>0</v>
      </c>
      <c r="HJ7" s="20">
        <f t="shared" si="50"/>
        <v>0</v>
      </c>
      <c r="HK7" s="19">
        <f t="shared" si="42"/>
        <v>16666.666666666668</v>
      </c>
      <c r="HL7" s="46">
        <f t="shared" si="43"/>
        <v>73354</v>
      </c>
      <c r="HM7" s="20">
        <f t="shared" si="44"/>
        <v>0</v>
      </c>
      <c r="HN7" s="45"/>
      <c r="HO7" s="45"/>
      <c r="HP7" s="35">
        <v>0</v>
      </c>
      <c r="HQ7" s="35">
        <v>0</v>
      </c>
      <c r="HR7" s="19">
        <f t="shared" si="45"/>
        <v>73354</v>
      </c>
      <c r="HS7" s="35">
        <v>0</v>
      </c>
      <c r="HT7" s="19">
        <f t="shared" si="46"/>
        <v>73354</v>
      </c>
      <c r="HU7" s="47">
        <f t="shared" si="47"/>
        <v>0.47515068289065004</v>
      </c>
      <c r="HV7" s="35"/>
      <c r="HW7" s="35"/>
      <c r="HX7" s="9">
        <v>0</v>
      </c>
      <c r="HY7" s="37">
        <f t="shared" si="48"/>
        <v>926283</v>
      </c>
      <c r="HZ7" s="233"/>
      <c r="IA7" s="233">
        <f t="shared" si="49"/>
        <v>0</v>
      </c>
      <c r="IB7" s="114"/>
      <c r="IC7" s="233"/>
      <c r="ID7" s="233"/>
      <c r="IE7" s="114"/>
      <c r="IF7" s="114"/>
      <c r="IG7" s="233"/>
      <c r="IH7" s="114"/>
      <c r="II7" s="233"/>
      <c r="IJ7" s="114"/>
      <c r="IK7" s="233"/>
      <c r="IL7" s="115"/>
      <c r="IM7" s="322"/>
      <c r="IN7" s="314"/>
      <c r="IO7" s="314"/>
      <c r="IP7" s="123"/>
      <c r="IQ7" s="233"/>
      <c r="IR7" s="123"/>
      <c r="IS7" s="233"/>
      <c r="IT7" s="323"/>
      <c r="IU7" s="323"/>
      <c r="IV7" s="323"/>
      <c r="IW7" s="323"/>
      <c r="IX7" s="268"/>
      <c r="IY7" s="268"/>
      <c r="IZ7" s="268"/>
      <c r="JA7" s="268"/>
      <c r="JB7" s="268"/>
      <c r="JC7" s="268"/>
      <c r="JD7" s="233"/>
      <c r="JE7" s="123"/>
      <c r="JF7" s="115"/>
      <c r="JG7" s="123"/>
      <c r="JH7" s="123"/>
      <c r="JI7" s="115"/>
    </row>
    <row r="8" spans="1:269" s="22" customFormat="1" ht="15" customHeight="1">
      <c r="A8" s="4" t="s">
        <v>108</v>
      </c>
      <c r="B8" s="5" t="s">
        <v>34</v>
      </c>
      <c r="C8" s="5" t="s">
        <v>111</v>
      </c>
      <c r="D8" s="5">
        <v>2011</v>
      </c>
      <c r="E8" s="5" t="s">
        <v>104</v>
      </c>
      <c r="F8" s="5"/>
      <c r="G8" s="5"/>
      <c r="H8" s="50" t="s">
        <v>248</v>
      </c>
      <c r="I8" s="50"/>
      <c r="J8" s="50"/>
      <c r="K8" s="398" t="s">
        <v>619</v>
      </c>
      <c r="L8" s="415"/>
      <c r="M8" s="415"/>
      <c r="N8" s="415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210"/>
      <c r="AB8" s="210"/>
      <c r="AC8" s="5" t="s">
        <v>16</v>
      </c>
      <c r="AD8" s="318">
        <f t="shared" si="0"/>
        <v>16</v>
      </c>
      <c r="AE8" s="6"/>
      <c r="AF8" s="5">
        <v>16</v>
      </c>
      <c r="AG8" s="50"/>
      <c r="AH8" s="50"/>
      <c r="AI8" s="54"/>
      <c r="AJ8" s="7">
        <v>1432.77</v>
      </c>
      <c r="AK8" s="54"/>
      <c r="AL8" s="79">
        <v>1432.77</v>
      </c>
      <c r="AM8" s="7">
        <f t="shared" si="1"/>
        <v>89.548124999999999</v>
      </c>
      <c r="AN8" s="54"/>
      <c r="AO8" s="54"/>
      <c r="AP8" s="54"/>
      <c r="AQ8" s="54"/>
      <c r="AR8" s="54"/>
      <c r="AS8" s="6"/>
      <c r="AT8" s="182"/>
      <c r="AU8" s="107"/>
      <c r="AV8" s="54">
        <v>2.5</v>
      </c>
      <c r="AW8" s="53" t="s">
        <v>561</v>
      </c>
      <c r="AX8" s="419" t="s">
        <v>118</v>
      </c>
      <c r="AY8" s="825"/>
      <c r="AZ8" s="53"/>
      <c r="BA8" s="50"/>
      <c r="BB8" s="184">
        <v>40816</v>
      </c>
      <c r="BC8" s="422" t="s">
        <v>12</v>
      </c>
      <c r="BD8" s="422" t="s">
        <v>222</v>
      </c>
      <c r="BE8" s="423"/>
      <c r="BF8" s="204">
        <v>40722</v>
      </c>
      <c r="BG8" s="96">
        <v>42291</v>
      </c>
      <c r="BH8" s="96"/>
      <c r="BI8" s="204"/>
      <c r="BJ8" s="96"/>
      <c r="BK8" s="32"/>
      <c r="BL8" s="427"/>
      <c r="BM8" s="111"/>
      <c r="BN8" s="111"/>
      <c r="BO8" s="188"/>
      <c r="BP8" s="188">
        <f t="shared" si="3"/>
        <v>731</v>
      </c>
      <c r="BQ8" s="188">
        <f t="shared" si="4"/>
        <v>1096</v>
      </c>
      <c r="BR8" s="188"/>
      <c r="BS8" s="188"/>
      <c r="BT8" s="686" t="e">
        <f t="shared" si="5"/>
        <v>#NUM!</v>
      </c>
      <c r="BU8" s="686" t="e">
        <f t="shared" si="6"/>
        <v>#NUM!</v>
      </c>
      <c r="BV8" s="686" t="e">
        <f t="shared" si="7"/>
        <v>#NUM!</v>
      </c>
      <c r="BW8" s="111"/>
      <c r="BX8" s="32"/>
      <c r="BY8" s="111"/>
      <c r="BZ8" s="100"/>
      <c r="CA8" s="100"/>
      <c r="CB8" s="100"/>
      <c r="CC8" s="155"/>
      <c r="CD8" s="306">
        <v>41266</v>
      </c>
      <c r="CE8" s="251"/>
      <c r="CF8" s="156"/>
      <c r="CG8" s="588" t="s">
        <v>165</v>
      </c>
      <c r="CH8" s="408"/>
      <c r="CI8" s="344">
        <v>41137</v>
      </c>
      <c r="CJ8" s="251">
        <v>41631</v>
      </c>
      <c r="CK8" s="603">
        <f>(EU8-CJ8)/30</f>
        <v>2.1666666666666665</v>
      </c>
      <c r="CL8" s="123"/>
      <c r="CM8" s="123"/>
      <c r="CN8" s="123"/>
      <c r="CO8" s="529" t="str">
        <f t="shared" si="8"/>
        <v>0</v>
      </c>
      <c r="CP8" s="123"/>
      <c r="CQ8" s="123"/>
      <c r="CR8" s="529" t="str">
        <f t="shared" si="9"/>
        <v>0</v>
      </c>
      <c r="CS8" s="123"/>
      <c r="CT8" s="123"/>
      <c r="CU8" s="529" t="str">
        <f t="shared" si="10"/>
        <v>0</v>
      </c>
      <c r="CV8" s="123"/>
      <c r="CW8" s="123"/>
      <c r="CX8" s="529" t="str">
        <f t="shared" si="11"/>
        <v>0</v>
      </c>
      <c r="CY8" s="126"/>
      <c r="CZ8" s="575"/>
      <c r="DA8" s="529" t="str">
        <f t="shared" si="12"/>
        <v>0</v>
      </c>
      <c r="DB8" s="459"/>
      <c r="DC8" s="233"/>
      <c r="DD8" s="539"/>
      <c r="DE8" s="534"/>
      <c r="DF8" s="535" t="str">
        <f t="shared" si="13"/>
        <v>0</v>
      </c>
      <c r="DG8" s="539"/>
      <c r="DH8" s="352">
        <v>40940</v>
      </c>
      <c r="DI8" s="345">
        <v>2012</v>
      </c>
      <c r="DJ8" s="447">
        <f t="shared" si="14"/>
        <v>7.2666666666666666</v>
      </c>
      <c r="DK8" s="535" t="str">
        <f t="shared" si="15"/>
        <v>0</v>
      </c>
      <c r="DL8" s="126">
        <v>13</v>
      </c>
      <c r="DM8" s="126">
        <f t="shared" si="16"/>
        <v>24</v>
      </c>
      <c r="DN8" s="316"/>
      <c r="DO8" s="315"/>
      <c r="DP8" s="701" t="str">
        <f t="shared" si="17"/>
        <v>0</v>
      </c>
      <c r="DQ8" s="720"/>
      <c r="DR8" s="622"/>
      <c r="DS8" s="623" t="str">
        <f t="shared" si="18"/>
        <v>0</v>
      </c>
      <c r="DT8" s="255"/>
      <c r="DU8" s="316"/>
      <c r="DV8" s="701" t="str">
        <f t="shared" si="19"/>
        <v>0</v>
      </c>
      <c r="DW8" s="316"/>
      <c r="DX8" s="316"/>
      <c r="DY8" s="701" t="str">
        <f t="shared" si="20"/>
        <v>0</v>
      </c>
      <c r="DZ8" s="316"/>
      <c r="EA8" s="316"/>
      <c r="EB8" s="701" t="str">
        <f t="shared" si="21"/>
        <v>0</v>
      </c>
      <c r="EC8" s="316"/>
      <c r="ED8" s="316"/>
      <c r="EE8" s="701" t="str">
        <f t="shared" si="22"/>
        <v>0</v>
      </c>
      <c r="EF8" s="316"/>
      <c r="EG8" s="316"/>
      <c r="EH8" s="701" t="str">
        <f t="shared" si="23"/>
        <v>0</v>
      </c>
      <c r="EI8" s="316"/>
      <c r="EJ8" s="316"/>
      <c r="EK8" s="316"/>
      <c r="EL8" s="461">
        <f t="shared" si="24"/>
        <v>41334</v>
      </c>
      <c r="EM8" s="355">
        <v>41688</v>
      </c>
      <c r="EN8" s="730">
        <f t="shared" si="25"/>
        <v>11.8</v>
      </c>
      <c r="EO8" s="606"/>
      <c r="EP8" s="127">
        <v>41689</v>
      </c>
      <c r="EQ8" s="127" t="s">
        <v>126</v>
      </c>
      <c r="ER8" s="127">
        <v>41696</v>
      </c>
      <c r="ES8" s="606"/>
      <c r="ET8" s="461">
        <f t="shared" si="26"/>
        <v>41365</v>
      </c>
      <c r="EU8" s="355">
        <v>41696</v>
      </c>
      <c r="EV8" s="596">
        <v>2014</v>
      </c>
      <c r="EW8" s="724">
        <f t="shared" si="27"/>
        <v>11.033333333333333</v>
      </c>
      <c r="EX8" s="719">
        <v>7110</v>
      </c>
      <c r="EY8" s="233">
        <f t="shared" si="28"/>
        <v>78447</v>
      </c>
      <c r="EZ8" s="127"/>
      <c r="FA8" s="558"/>
      <c r="FB8" s="710">
        <f t="shared" si="29"/>
        <v>0</v>
      </c>
      <c r="FC8" s="562"/>
      <c r="FD8" s="562"/>
      <c r="FE8" s="562"/>
      <c r="FF8" s="562"/>
      <c r="FG8" s="559"/>
      <c r="FH8" s="571"/>
      <c r="FI8" s="559"/>
      <c r="FJ8" s="559"/>
      <c r="FK8" s="123"/>
      <c r="FL8" s="123"/>
      <c r="FM8" s="123"/>
      <c r="FN8" s="123"/>
      <c r="FO8" s="123">
        <v>41787</v>
      </c>
      <c r="FP8" s="115"/>
      <c r="FQ8" s="123">
        <f t="shared" si="30"/>
        <v>42053</v>
      </c>
      <c r="FR8" s="692">
        <v>35103.575989752957</v>
      </c>
      <c r="FS8" s="123" t="s">
        <v>126</v>
      </c>
      <c r="FT8" s="123"/>
      <c r="FU8" s="123">
        <v>41919</v>
      </c>
      <c r="FV8" s="123">
        <v>41921</v>
      </c>
      <c r="FW8" s="123"/>
      <c r="FX8" s="123" t="s">
        <v>126</v>
      </c>
      <c r="FY8" s="123"/>
      <c r="FZ8" s="114">
        <v>42290</v>
      </c>
      <c r="GA8" s="114"/>
      <c r="GB8" s="114"/>
      <c r="GC8" s="114"/>
      <c r="GD8" s="194" t="s">
        <v>126</v>
      </c>
      <c r="GE8" s="194" t="s">
        <v>126</v>
      </c>
      <c r="GF8" s="429"/>
      <c r="GG8" s="405"/>
      <c r="GH8" s="8">
        <v>2817333</v>
      </c>
      <c r="GI8" s="430">
        <f>GS8+GX8+HE8+HX8+HF8+HI8</f>
        <v>2817333</v>
      </c>
      <c r="GJ8" s="10">
        <f t="shared" si="31"/>
        <v>0</v>
      </c>
      <c r="GK8" s="46">
        <f t="shared" si="32"/>
        <v>1966.3539856362152</v>
      </c>
      <c r="GL8" s="46">
        <f t="shared" si="33"/>
        <v>176083.3125</v>
      </c>
      <c r="GM8" s="8"/>
      <c r="GN8" s="9"/>
      <c r="GO8" s="10">
        <f t="shared" si="34"/>
        <v>0</v>
      </c>
      <c r="GP8" s="128">
        <f t="shared" si="35"/>
        <v>0</v>
      </c>
      <c r="GQ8" s="129"/>
      <c r="GR8" s="8">
        <v>853424</v>
      </c>
      <c r="GS8" s="13">
        <v>853424</v>
      </c>
      <c r="GT8" s="63"/>
      <c r="GU8" s="19">
        <f t="shared" si="36"/>
        <v>53339</v>
      </c>
      <c r="GV8" s="33">
        <f t="shared" si="37"/>
        <v>0</v>
      </c>
      <c r="GW8" s="8">
        <v>1530227</v>
      </c>
      <c r="GX8" s="9">
        <f t="shared" si="38"/>
        <v>1530227</v>
      </c>
      <c r="GY8" s="11">
        <v>304961</v>
      </c>
      <c r="GZ8" s="11">
        <v>1225266</v>
      </c>
      <c r="HA8" s="33">
        <f t="shared" si="39"/>
        <v>0</v>
      </c>
      <c r="HB8" s="640">
        <f t="shared" si="40"/>
        <v>95639.1875</v>
      </c>
      <c r="HC8" s="9">
        <v>0</v>
      </c>
      <c r="HD8" s="432">
        <f>380000+41063</f>
        <v>421063</v>
      </c>
      <c r="HE8" s="13">
        <v>380000</v>
      </c>
      <c r="HF8" s="63"/>
      <c r="HG8" s="36">
        <f t="shared" si="41"/>
        <v>0.13487933446277028</v>
      </c>
      <c r="HH8" s="302"/>
      <c r="HI8" s="13">
        <v>53682</v>
      </c>
      <c r="HJ8" s="20">
        <f t="shared" si="50"/>
        <v>-41063</v>
      </c>
      <c r="HK8" s="19">
        <f t="shared" si="42"/>
        <v>23750</v>
      </c>
      <c r="HL8" s="46">
        <f t="shared" si="43"/>
        <v>77089</v>
      </c>
      <c r="HM8" s="20">
        <f t="shared" si="44"/>
        <v>-2566.4375</v>
      </c>
      <c r="HN8" s="45"/>
      <c r="HO8" s="45"/>
      <c r="HP8" s="35">
        <v>0</v>
      </c>
      <c r="HQ8" s="35">
        <v>0</v>
      </c>
      <c r="HR8" s="19">
        <f t="shared" si="45"/>
        <v>77089</v>
      </c>
      <c r="HS8" s="35">
        <v>0</v>
      </c>
      <c r="HT8" s="19">
        <f t="shared" si="46"/>
        <v>77089</v>
      </c>
      <c r="HU8" s="47">
        <f t="shared" si="47"/>
        <v>0.46171877778297693</v>
      </c>
      <c r="HV8" s="35">
        <v>145958</v>
      </c>
      <c r="HW8" s="35"/>
      <c r="HX8" s="9">
        <v>0</v>
      </c>
      <c r="HY8" s="37">
        <f t="shared" si="48"/>
        <v>2817333</v>
      </c>
      <c r="HZ8" s="233"/>
      <c r="IA8" s="233">
        <f t="shared" si="49"/>
        <v>0</v>
      </c>
      <c r="IB8" s="114"/>
      <c r="IC8" s="233"/>
      <c r="ID8" s="233"/>
      <c r="IE8" s="114"/>
      <c r="IF8" s="114"/>
      <c r="IG8" s="233"/>
      <c r="IH8" s="114"/>
      <c r="II8" s="233"/>
      <c r="IJ8" s="114"/>
      <c r="IK8" s="233"/>
      <c r="IL8" s="115"/>
      <c r="IM8" s="322"/>
      <c r="IN8" s="314"/>
      <c r="IO8" s="314"/>
      <c r="IP8" s="123"/>
      <c r="IQ8" s="233"/>
      <c r="IR8" s="123"/>
      <c r="IS8" s="233"/>
      <c r="IT8" s="323"/>
      <c r="IU8" s="323"/>
      <c r="IV8" s="323"/>
      <c r="IW8" s="323"/>
      <c r="IX8" s="268"/>
      <c r="IY8" s="268"/>
      <c r="IZ8" s="268"/>
      <c r="JA8" s="268"/>
      <c r="JB8" s="268"/>
      <c r="JC8" s="268"/>
      <c r="JD8" s="233"/>
      <c r="JE8" s="123"/>
      <c r="JF8" s="115"/>
      <c r="JG8" s="123"/>
      <c r="JH8" s="123"/>
      <c r="JI8" s="115"/>
    </row>
    <row r="9" spans="1:269" ht="15" customHeight="1">
      <c r="A9" s="4" t="s">
        <v>107</v>
      </c>
      <c r="B9" s="5" t="s">
        <v>34</v>
      </c>
      <c r="C9" s="5" t="s">
        <v>111</v>
      </c>
      <c r="D9" s="5">
        <v>2011</v>
      </c>
      <c r="E9" s="5" t="s">
        <v>104</v>
      </c>
      <c r="F9" s="5"/>
      <c r="G9" s="5"/>
      <c r="H9" s="50" t="s">
        <v>248</v>
      </c>
      <c r="I9" s="50"/>
      <c r="J9" s="50"/>
      <c r="K9" s="398" t="s">
        <v>619</v>
      </c>
      <c r="L9" s="415"/>
      <c r="M9" s="415"/>
      <c r="N9" s="415"/>
      <c r="O9" s="207">
        <v>8131</v>
      </c>
      <c r="P9" s="207">
        <v>227747.25</v>
      </c>
      <c r="Q9" s="207">
        <v>178042</v>
      </c>
      <c r="R9" s="207" t="e">
        <f>P9/(AD9+#REF!)</f>
        <v>#REF!</v>
      </c>
      <c r="S9" s="207">
        <f t="shared" ref="S9:S15" si="51">P9/O9</f>
        <v>28.009746648628706</v>
      </c>
      <c r="T9" s="207">
        <f t="shared" ref="T9:T15" si="52">Q9/O9</f>
        <v>21.896691673840856</v>
      </c>
      <c r="U9" s="207" t="e">
        <f>Q9/(AL9+#REF!)</f>
        <v>#REF!</v>
      </c>
      <c r="V9" s="207" t="e">
        <f>Q9/(AD9+#REF!)</f>
        <v>#REF!</v>
      </c>
      <c r="W9" s="207" t="e">
        <f>O9/(AD9+#REF!)</f>
        <v>#REF!</v>
      </c>
      <c r="X9" s="208">
        <v>1079</v>
      </c>
      <c r="Y9" s="209" t="e">
        <f>(AL9+#REF!)/O9</f>
        <v>#REF!</v>
      </c>
      <c r="Z9" s="208" t="s">
        <v>203</v>
      </c>
      <c r="AA9" s="210"/>
      <c r="AB9" s="210"/>
      <c r="AC9" s="5" t="s">
        <v>15</v>
      </c>
      <c r="AD9" s="318">
        <f t="shared" si="0"/>
        <v>4</v>
      </c>
      <c r="AE9" s="5">
        <v>4</v>
      </c>
      <c r="AF9" s="418"/>
      <c r="AG9" s="402"/>
      <c r="AH9" s="402"/>
      <c r="AI9" s="55"/>
      <c r="AJ9" s="7">
        <v>317.76</v>
      </c>
      <c r="AK9" s="54"/>
      <c r="AL9" s="79">
        <v>317.76</v>
      </c>
      <c r="AM9" s="7">
        <f t="shared" si="1"/>
        <v>79.44</v>
      </c>
      <c r="AN9" s="54"/>
      <c r="AO9" s="54"/>
      <c r="AP9" s="54"/>
      <c r="AQ9" s="54"/>
      <c r="AR9" s="54"/>
      <c r="AS9" s="7">
        <f>830+889+461</f>
        <v>2180</v>
      </c>
      <c r="AT9" s="73">
        <v>850</v>
      </c>
      <c r="AU9" s="75">
        <f t="shared" ref="AU9:AU15" si="53">AT9/O9</f>
        <v>0.10453818718484811</v>
      </c>
      <c r="AV9" s="54">
        <v>2.5</v>
      </c>
      <c r="AW9" s="53" t="s">
        <v>561</v>
      </c>
      <c r="AX9" s="419" t="s">
        <v>118</v>
      </c>
      <c r="AY9" s="825"/>
      <c r="AZ9" s="53"/>
      <c r="BA9" s="50"/>
      <c r="BB9" s="184">
        <v>40816</v>
      </c>
      <c r="BC9" s="191" t="s">
        <v>12</v>
      </c>
      <c r="BD9" s="191" t="s">
        <v>222</v>
      </c>
      <c r="BE9" s="423"/>
      <c r="BF9" s="204">
        <v>40730</v>
      </c>
      <c r="BG9" s="96">
        <v>42291</v>
      </c>
      <c r="BH9" s="96"/>
      <c r="BI9" s="204"/>
      <c r="BJ9" s="96"/>
      <c r="BK9" s="32"/>
      <c r="BL9" s="427"/>
      <c r="BM9" s="111"/>
      <c r="BN9" s="111"/>
      <c r="BO9" s="188"/>
      <c r="BP9" s="188">
        <f t="shared" si="3"/>
        <v>731</v>
      </c>
      <c r="BQ9" s="188">
        <f t="shared" si="4"/>
        <v>1096</v>
      </c>
      <c r="BR9" s="188"/>
      <c r="BS9" s="188"/>
      <c r="BT9" s="686" t="e">
        <f t="shared" si="5"/>
        <v>#NUM!</v>
      </c>
      <c r="BU9" s="686" t="e">
        <f t="shared" si="6"/>
        <v>#NUM!</v>
      </c>
      <c r="BV9" s="686" t="e">
        <f t="shared" si="7"/>
        <v>#NUM!</v>
      </c>
      <c r="BW9" s="111"/>
      <c r="BX9" s="32"/>
      <c r="BY9" s="111"/>
      <c r="BZ9" s="100"/>
      <c r="CA9" s="100"/>
      <c r="CB9" s="100"/>
      <c r="CC9" s="155" t="s">
        <v>69</v>
      </c>
      <c r="CD9" s="306">
        <v>41266</v>
      </c>
      <c r="CE9" s="251"/>
      <c r="CF9" s="156"/>
      <c r="CG9" s="588" t="s">
        <v>165</v>
      </c>
      <c r="CH9" s="408"/>
      <c r="CI9" s="344">
        <v>41137</v>
      </c>
      <c r="CJ9" s="408"/>
      <c r="CK9" s="408"/>
      <c r="CL9" s="123"/>
      <c r="CM9" s="123"/>
      <c r="CN9" s="123"/>
      <c r="CO9" s="529" t="str">
        <f t="shared" si="8"/>
        <v>0</v>
      </c>
      <c r="CP9" s="123"/>
      <c r="CQ9" s="123"/>
      <c r="CR9" s="529" t="str">
        <f t="shared" si="9"/>
        <v>0</v>
      </c>
      <c r="CS9" s="123"/>
      <c r="CT9" s="123"/>
      <c r="CU9" s="529" t="str">
        <f t="shared" si="10"/>
        <v>0</v>
      </c>
      <c r="CV9" s="123"/>
      <c r="CW9" s="123"/>
      <c r="CX9" s="529" t="str">
        <f t="shared" si="11"/>
        <v>0</v>
      </c>
      <c r="CY9" s="126"/>
      <c r="CZ9" s="575"/>
      <c r="DA9" s="529" t="str">
        <f t="shared" si="12"/>
        <v>0</v>
      </c>
      <c r="DB9" s="459"/>
      <c r="DC9" s="233"/>
      <c r="DD9" s="539"/>
      <c r="DE9" s="534"/>
      <c r="DF9" s="535" t="str">
        <f t="shared" si="13"/>
        <v>0</v>
      </c>
      <c r="DG9" s="539"/>
      <c r="DH9" s="352">
        <v>40940</v>
      </c>
      <c r="DI9" s="345">
        <v>2012</v>
      </c>
      <c r="DJ9" s="447">
        <f t="shared" si="14"/>
        <v>7</v>
      </c>
      <c r="DK9" s="535" t="str">
        <f t="shared" si="15"/>
        <v>0</v>
      </c>
      <c r="DL9" s="126">
        <v>13</v>
      </c>
      <c r="DM9" s="126">
        <f t="shared" si="16"/>
        <v>24</v>
      </c>
      <c r="DN9" s="316"/>
      <c r="DO9" s="315"/>
      <c r="DP9" s="701" t="str">
        <f t="shared" si="17"/>
        <v>0</v>
      </c>
      <c r="DQ9" s="720"/>
      <c r="DR9" s="622"/>
      <c r="DS9" s="623" t="str">
        <f t="shared" si="18"/>
        <v>0</v>
      </c>
      <c r="DT9" s="255"/>
      <c r="DU9" s="316"/>
      <c r="DV9" s="701" t="str">
        <f t="shared" si="19"/>
        <v>0</v>
      </c>
      <c r="DW9" s="316"/>
      <c r="DX9" s="316"/>
      <c r="DY9" s="701" t="str">
        <f t="shared" si="20"/>
        <v>0</v>
      </c>
      <c r="DZ9" s="316"/>
      <c r="EA9" s="316"/>
      <c r="EB9" s="701" t="str">
        <f t="shared" si="21"/>
        <v>0</v>
      </c>
      <c r="EC9" s="316"/>
      <c r="ED9" s="316"/>
      <c r="EE9" s="701" t="str">
        <f t="shared" si="22"/>
        <v>0</v>
      </c>
      <c r="EF9" s="316"/>
      <c r="EG9" s="316"/>
      <c r="EH9" s="701" t="str">
        <f t="shared" si="23"/>
        <v>0</v>
      </c>
      <c r="EI9" s="316"/>
      <c r="EJ9" s="316"/>
      <c r="EK9" s="316"/>
      <c r="EL9" s="461">
        <f t="shared" si="24"/>
        <v>41334</v>
      </c>
      <c r="EM9" s="355">
        <v>41688</v>
      </c>
      <c r="EN9" s="730">
        <f t="shared" si="25"/>
        <v>11.8</v>
      </c>
      <c r="EO9" s="606"/>
      <c r="EP9" s="127">
        <v>41689</v>
      </c>
      <c r="EQ9" s="127" t="s">
        <v>126</v>
      </c>
      <c r="ER9" s="127">
        <v>41696</v>
      </c>
      <c r="ES9" s="606"/>
      <c r="ET9" s="461">
        <f t="shared" si="26"/>
        <v>41365</v>
      </c>
      <c r="EU9" s="355">
        <v>41696</v>
      </c>
      <c r="EV9" s="596">
        <v>2014</v>
      </c>
      <c r="EW9" s="724">
        <f t="shared" si="27"/>
        <v>11.033333333333333</v>
      </c>
      <c r="EX9" s="719">
        <v>2035</v>
      </c>
      <c r="EY9" s="233">
        <f t="shared" si="28"/>
        <v>22452.833333333332</v>
      </c>
      <c r="EZ9" s="127"/>
      <c r="FA9" s="558"/>
      <c r="FB9" s="710">
        <f t="shared" si="29"/>
        <v>0</v>
      </c>
      <c r="FC9" s="562"/>
      <c r="FD9" s="562"/>
      <c r="FE9" s="562"/>
      <c r="FF9" s="562"/>
      <c r="FG9" s="563"/>
      <c r="FH9" s="583"/>
      <c r="FI9" s="563"/>
      <c r="FJ9" s="563"/>
      <c r="FK9" s="123"/>
      <c r="FL9" s="123"/>
      <c r="FM9" s="123"/>
      <c r="FN9" s="123"/>
      <c r="FO9" s="123">
        <v>41787</v>
      </c>
      <c r="FP9" s="115"/>
      <c r="FQ9" s="123">
        <f t="shared" si="30"/>
        <v>42053</v>
      </c>
      <c r="FR9" s="692">
        <v>7942.4140102470437</v>
      </c>
      <c r="FS9" s="123" t="s">
        <v>126</v>
      </c>
      <c r="FT9" s="123"/>
      <c r="FU9" s="123">
        <v>41919</v>
      </c>
      <c r="FV9" s="123">
        <v>41921</v>
      </c>
      <c r="FW9" s="123"/>
      <c r="FX9" s="123" t="s">
        <v>126</v>
      </c>
      <c r="FY9" s="123"/>
      <c r="FZ9" s="114">
        <v>42290</v>
      </c>
      <c r="GA9" s="114"/>
      <c r="GB9" s="114"/>
      <c r="GC9" s="114"/>
      <c r="GD9" s="123"/>
      <c r="GE9" s="123"/>
      <c r="GF9" s="429"/>
      <c r="GG9" s="405"/>
      <c r="GH9" s="8">
        <v>642137</v>
      </c>
      <c r="GI9" s="430">
        <f>GS9+GX9+HE9+HX9+HC9+HI9</f>
        <v>642137</v>
      </c>
      <c r="GJ9" s="10">
        <f t="shared" si="31"/>
        <v>0</v>
      </c>
      <c r="GK9" s="46">
        <f t="shared" si="32"/>
        <v>2020.8238922457201</v>
      </c>
      <c r="GL9" s="46">
        <f t="shared" si="33"/>
        <v>160534.25</v>
      </c>
      <c r="GM9" s="8"/>
      <c r="GN9" s="9"/>
      <c r="GO9" s="10">
        <f t="shared" si="34"/>
        <v>0</v>
      </c>
      <c r="GP9" s="128">
        <f t="shared" si="35"/>
        <v>0</v>
      </c>
      <c r="GQ9" s="129"/>
      <c r="GR9" s="8">
        <v>75000</v>
      </c>
      <c r="GS9" s="13">
        <v>75000</v>
      </c>
      <c r="GT9" s="63"/>
      <c r="GU9" s="19">
        <f t="shared" si="36"/>
        <v>18750</v>
      </c>
      <c r="GV9" s="33">
        <f t="shared" si="37"/>
        <v>0</v>
      </c>
      <c r="GW9" s="8">
        <v>335412</v>
      </c>
      <c r="GX9" s="9">
        <f t="shared" si="38"/>
        <v>335412</v>
      </c>
      <c r="GY9" s="11">
        <v>85556</v>
      </c>
      <c r="GZ9" s="11">
        <v>249856</v>
      </c>
      <c r="HA9" s="33">
        <f t="shared" si="39"/>
        <v>0</v>
      </c>
      <c r="HB9" s="640">
        <f t="shared" si="40"/>
        <v>83853</v>
      </c>
      <c r="HC9" s="9">
        <v>100000</v>
      </c>
      <c r="HD9" s="432">
        <f>HE9</f>
        <v>119398</v>
      </c>
      <c r="HE9" s="13">
        <v>119398</v>
      </c>
      <c r="HF9" s="63"/>
      <c r="HG9" s="36">
        <f t="shared" si="41"/>
        <v>0.18593851467833189</v>
      </c>
      <c r="HH9" s="302"/>
      <c r="HI9" s="13">
        <v>12327</v>
      </c>
      <c r="HJ9" s="20">
        <f t="shared" si="50"/>
        <v>0</v>
      </c>
      <c r="HK9" s="19">
        <f t="shared" si="42"/>
        <v>29849.5</v>
      </c>
      <c r="HL9" s="46">
        <f t="shared" si="43"/>
        <v>48599.5</v>
      </c>
      <c r="HM9" s="20">
        <f t="shared" si="44"/>
        <v>0</v>
      </c>
      <c r="HN9" s="45"/>
      <c r="HO9" s="45"/>
      <c r="HP9" s="35">
        <v>1087937.9071325003</v>
      </c>
      <c r="HQ9" s="35">
        <v>400000</v>
      </c>
      <c r="HR9" s="19">
        <f t="shared" si="45"/>
        <v>148599.5</v>
      </c>
      <c r="HS9" s="35">
        <v>474274.71</v>
      </c>
      <c r="HT9" s="19">
        <f t="shared" si="46"/>
        <v>267168.17749999999</v>
      </c>
      <c r="HU9" s="47">
        <f t="shared" si="47"/>
        <v>0.62937481320481981</v>
      </c>
      <c r="HV9" s="35">
        <v>32084</v>
      </c>
      <c r="HW9" s="35"/>
      <c r="HX9" s="9">
        <v>0</v>
      </c>
      <c r="HY9" s="37">
        <f t="shared" si="48"/>
        <v>1730074.9071325003</v>
      </c>
      <c r="HZ9" s="233"/>
      <c r="IA9" s="233">
        <f t="shared" si="49"/>
        <v>0</v>
      </c>
      <c r="IB9" s="114"/>
      <c r="IC9" s="233"/>
      <c r="ID9" s="233"/>
      <c r="IE9" s="114"/>
      <c r="IF9" s="114"/>
      <c r="IG9" s="233"/>
      <c r="IH9" s="114"/>
      <c r="II9" s="233"/>
      <c r="IJ9" s="114"/>
      <c r="IK9" s="233"/>
      <c r="IL9" s="115"/>
      <c r="IM9" s="322"/>
      <c r="IN9" s="314"/>
      <c r="IO9" s="314"/>
      <c r="IP9" s="123"/>
      <c r="IQ9" s="233"/>
      <c r="IR9" s="123"/>
      <c r="IS9" s="233"/>
      <c r="IT9" s="323"/>
      <c r="IU9" s="323"/>
      <c r="IV9" s="323"/>
      <c r="IW9" s="323"/>
      <c r="IX9" s="268"/>
      <c r="IY9" s="268"/>
      <c r="IZ9" s="238"/>
      <c r="JA9" s="233"/>
      <c r="JB9" s="238"/>
      <c r="JC9" s="233"/>
      <c r="JD9" s="233"/>
      <c r="JE9" s="123"/>
      <c r="JF9" s="115"/>
      <c r="JG9" s="123"/>
      <c r="JH9" s="123"/>
      <c r="JI9" s="115"/>
    </row>
    <row r="10" spans="1:269" ht="15" customHeight="1">
      <c r="A10" s="4" t="s">
        <v>99</v>
      </c>
      <c r="B10" s="5" t="s">
        <v>34</v>
      </c>
      <c r="C10" s="5" t="s">
        <v>111</v>
      </c>
      <c r="D10" s="5">
        <v>2011</v>
      </c>
      <c r="E10" s="5" t="s">
        <v>102</v>
      </c>
      <c r="F10" s="5" t="s">
        <v>55</v>
      </c>
      <c r="G10" s="5" t="s">
        <v>177</v>
      </c>
      <c r="H10" s="5" t="s">
        <v>248</v>
      </c>
      <c r="I10" s="50"/>
      <c r="J10" s="50"/>
      <c r="K10" s="256"/>
      <c r="L10" s="415"/>
      <c r="M10" s="415"/>
      <c r="N10" s="415"/>
      <c r="O10" s="207">
        <f>2009+396</f>
        <v>2405</v>
      </c>
      <c r="P10" s="207">
        <v>133800</v>
      </c>
      <c r="Q10" s="207">
        <v>120788</v>
      </c>
      <c r="R10" s="207">
        <f>P10/AD10</f>
        <v>9557.1428571428569</v>
      </c>
      <c r="S10" s="207">
        <f t="shared" si="51"/>
        <v>55.634095634095637</v>
      </c>
      <c r="T10" s="207">
        <f t="shared" si="52"/>
        <v>50.223700623700623</v>
      </c>
      <c r="U10" s="207">
        <f>Q10/AL10</f>
        <v>115.00004760408635</v>
      </c>
      <c r="V10" s="207">
        <f>Q10/AD10</f>
        <v>8627.7142857142862</v>
      </c>
      <c r="W10" s="207">
        <f>O10/AD10</f>
        <v>171.78571428571428</v>
      </c>
      <c r="X10" s="208"/>
      <c r="Y10" s="209">
        <f>AL10/O10</f>
        <v>0.43672765072765068</v>
      </c>
      <c r="Z10" s="208" t="s">
        <v>203</v>
      </c>
      <c r="AA10" s="210"/>
      <c r="AB10" s="210"/>
      <c r="AC10" s="5" t="s">
        <v>16</v>
      </c>
      <c r="AD10" s="318">
        <f t="shared" si="0"/>
        <v>14</v>
      </c>
      <c r="AE10" s="418"/>
      <c r="AF10" s="5">
        <v>14</v>
      </c>
      <c r="AG10" s="50"/>
      <c r="AH10" s="50"/>
      <c r="AI10" s="54"/>
      <c r="AJ10" s="7">
        <v>1050.33</v>
      </c>
      <c r="AK10" s="54"/>
      <c r="AL10" s="79">
        <v>1050.33</v>
      </c>
      <c r="AM10" s="7">
        <f t="shared" si="1"/>
        <v>75.023571428571429</v>
      </c>
      <c r="AN10" s="54"/>
      <c r="AO10" s="54"/>
      <c r="AP10" s="54"/>
      <c r="AQ10" s="54"/>
      <c r="AR10" s="54"/>
      <c r="AS10" s="7">
        <v>600</v>
      </c>
      <c r="AT10" s="106" t="s">
        <v>321</v>
      </c>
      <c r="AU10" s="75" t="e">
        <f t="shared" si="53"/>
        <v>#VALUE!</v>
      </c>
      <c r="AV10" s="54">
        <v>2</v>
      </c>
      <c r="AW10" s="53" t="s">
        <v>561</v>
      </c>
      <c r="AX10" s="419" t="s">
        <v>118</v>
      </c>
      <c r="AY10" s="825"/>
      <c r="AZ10" s="53"/>
      <c r="BA10" s="50"/>
      <c r="BB10" s="184">
        <v>40816</v>
      </c>
      <c r="BC10" s="422" t="s">
        <v>165</v>
      </c>
      <c r="BD10" s="422" t="s">
        <v>165</v>
      </c>
      <c r="BE10" s="423"/>
      <c r="BF10" s="204">
        <v>40884</v>
      </c>
      <c r="BG10" s="96"/>
      <c r="BH10" s="96"/>
      <c r="BI10" s="204"/>
      <c r="BJ10" s="96"/>
      <c r="BK10" s="32"/>
      <c r="BL10" s="427"/>
      <c r="BM10" s="111"/>
      <c r="BN10" s="111"/>
      <c r="BO10" s="188"/>
      <c r="BP10" s="188">
        <f t="shared" si="3"/>
        <v>731</v>
      </c>
      <c r="BQ10" s="188">
        <f t="shared" si="4"/>
        <v>1096</v>
      </c>
      <c r="BR10" s="188"/>
      <c r="BS10" s="188"/>
      <c r="BT10" s="686" t="e">
        <f t="shared" si="5"/>
        <v>#NUM!</v>
      </c>
      <c r="BU10" s="686" t="e">
        <f t="shared" si="6"/>
        <v>#NUM!</v>
      </c>
      <c r="BV10" s="686" t="e">
        <f t="shared" si="7"/>
        <v>#NUM!</v>
      </c>
      <c r="BW10" s="111"/>
      <c r="BX10" s="32"/>
      <c r="BY10" s="111"/>
      <c r="BZ10" s="100"/>
      <c r="CA10" s="100"/>
      <c r="CB10" s="98"/>
      <c r="CC10" s="155"/>
      <c r="CD10" s="306" t="s">
        <v>165</v>
      </c>
      <c r="CE10" s="251"/>
      <c r="CF10" s="156" t="s">
        <v>165</v>
      </c>
      <c r="CG10" s="588" t="s">
        <v>165</v>
      </c>
      <c r="CH10" s="408"/>
      <c r="CI10" s="408"/>
      <c r="CJ10" s="251" t="s">
        <v>165</v>
      </c>
      <c r="CK10" s="604"/>
      <c r="CL10" s="123"/>
      <c r="CM10" s="123"/>
      <c r="CN10" s="123"/>
      <c r="CO10" s="529" t="str">
        <f t="shared" si="8"/>
        <v>0</v>
      </c>
      <c r="CP10" s="123"/>
      <c r="CQ10" s="123"/>
      <c r="CR10" s="529" t="str">
        <f t="shared" si="9"/>
        <v>0</v>
      </c>
      <c r="CS10" s="123"/>
      <c r="CT10" s="123"/>
      <c r="CU10" s="529" t="str">
        <f t="shared" si="10"/>
        <v>0</v>
      </c>
      <c r="CV10" s="123"/>
      <c r="CW10" s="123"/>
      <c r="CX10" s="529" t="str">
        <f t="shared" si="11"/>
        <v>0</v>
      </c>
      <c r="CY10" s="126"/>
      <c r="CZ10" s="575"/>
      <c r="DA10" s="529" t="str">
        <f t="shared" si="12"/>
        <v>0</v>
      </c>
      <c r="DB10" s="459"/>
      <c r="DC10" s="233"/>
      <c r="DD10" s="539"/>
      <c r="DE10" s="534"/>
      <c r="DF10" s="535" t="str">
        <f t="shared" si="13"/>
        <v>0</v>
      </c>
      <c r="DG10" s="539"/>
      <c r="DH10" s="352">
        <v>40970</v>
      </c>
      <c r="DI10" s="345">
        <v>2012</v>
      </c>
      <c r="DJ10" s="447">
        <f t="shared" si="14"/>
        <v>2.8666666666666667</v>
      </c>
      <c r="DK10" s="535" t="str">
        <f t="shared" si="15"/>
        <v>0</v>
      </c>
      <c r="DL10" s="126">
        <v>12</v>
      </c>
      <c r="DM10" s="126">
        <f t="shared" si="16"/>
        <v>20</v>
      </c>
      <c r="DN10" s="316"/>
      <c r="DO10" s="315"/>
      <c r="DP10" s="701" t="str">
        <f t="shared" si="17"/>
        <v>0</v>
      </c>
      <c r="DQ10" s="720"/>
      <c r="DR10" s="622"/>
      <c r="DS10" s="623" t="str">
        <f t="shared" si="18"/>
        <v>0</v>
      </c>
      <c r="DT10" s="255"/>
      <c r="DU10" s="316">
        <f ca="1">IF(DT10&lt;TODAY(),TODAY(),DT10)</f>
        <v>43332</v>
      </c>
      <c r="DV10" s="701" t="str">
        <f t="shared" ca="1" si="19"/>
        <v>0</v>
      </c>
      <c r="DW10" s="315"/>
      <c r="DX10" s="316"/>
      <c r="DY10" s="701" t="str">
        <f t="shared" si="20"/>
        <v>0</v>
      </c>
      <c r="DZ10" s="323"/>
      <c r="EA10" s="323"/>
      <c r="EB10" s="701" t="str">
        <f t="shared" si="21"/>
        <v>0</v>
      </c>
      <c r="EC10" s="323"/>
      <c r="ED10" s="324"/>
      <c r="EE10" s="701" t="str">
        <f t="shared" si="22"/>
        <v>0</v>
      </c>
      <c r="EF10" s="316"/>
      <c r="EG10" s="316"/>
      <c r="EH10" s="701" t="str">
        <f t="shared" si="23"/>
        <v>0</v>
      </c>
      <c r="EI10" s="324"/>
      <c r="EJ10" s="324"/>
      <c r="EK10" s="324"/>
      <c r="EL10" s="461">
        <f t="shared" si="24"/>
        <v>41335</v>
      </c>
      <c r="EM10" s="355">
        <v>41583</v>
      </c>
      <c r="EN10" s="730">
        <f t="shared" si="25"/>
        <v>8.2666666666666675</v>
      </c>
      <c r="EO10" s="606"/>
      <c r="EP10" s="127">
        <v>41627</v>
      </c>
      <c r="EQ10" s="127" t="s">
        <v>126</v>
      </c>
      <c r="ER10" s="127">
        <v>41774</v>
      </c>
      <c r="ES10" s="606"/>
      <c r="ET10" s="461">
        <f t="shared" si="26"/>
        <v>41366</v>
      </c>
      <c r="EU10" s="355">
        <v>41774</v>
      </c>
      <c r="EV10" s="596">
        <v>2014</v>
      </c>
      <c r="EW10" s="724">
        <f t="shared" si="27"/>
        <v>13.6</v>
      </c>
      <c r="EX10" s="719">
        <v>5964</v>
      </c>
      <c r="EY10" s="233">
        <f t="shared" si="28"/>
        <v>81110.399999999994</v>
      </c>
      <c r="EZ10" s="127"/>
      <c r="FA10" s="558"/>
      <c r="FB10" s="710">
        <f t="shared" si="29"/>
        <v>253357.88</v>
      </c>
      <c r="FC10" s="562"/>
      <c r="FD10" s="562"/>
      <c r="FE10" s="562"/>
      <c r="FF10" s="562"/>
      <c r="FG10" s="559"/>
      <c r="FH10" s="571" t="s">
        <v>750</v>
      </c>
      <c r="FI10" s="559"/>
      <c r="FJ10" s="559"/>
      <c r="FK10" s="123"/>
      <c r="FL10" s="123"/>
      <c r="FM10" s="123"/>
      <c r="FN10" s="123"/>
      <c r="FO10" s="123">
        <v>41661</v>
      </c>
      <c r="FP10" s="115" t="s">
        <v>126</v>
      </c>
      <c r="FQ10" s="123">
        <f t="shared" si="30"/>
        <v>41948</v>
      </c>
      <c r="FR10" s="692">
        <v>31451.360000000001</v>
      </c>
      <c r="FS10" s="123" t="s">
        <v>126</v>
      </c>
      <c r="FT10" s="123"/>
      <c r="FU10" s="123">
        <v>41919</v>
      </c>
      <c r="FV10" s="123">
        <v>41925</v>
      </c>
      <c r="FW10" s="123"/>
      <c r="FX10" s="123"/>
      <c r="FY10" s="123"/>
      <c r="FZ10" s="123" t="s">
        <v>165</v>
      </c>
      <c r="GA10" s="123"/>
      <c r="GB10" s="123"/>
      <c r="GC10" s="123"/>
      <c r="GD10" s="123"/>
      <c r="GE10" s="123"/>
      <c r="GF10" s="429"/>
      <c r="GG10" s="405"/>
      <c r="GH10" s="8">
        <v>2230353.88</v>
      </c>
      <c r="GI10" s="430">
        <f>GS10+GX10+HE10+HX10+HC10+HI10+HF10</f>
        <v>2230353.88</v>
      </c>
      <c r="GJ10" s="10">
        <f t="shared" si="31"/>
        <v>0</v>
      </c>
      <c r="GK10" s="46">
        <f t="shared" si="32"/>
        <v>2123.4791732122285</v>
      </c>
      <c r="GL10" s="46">
        <f t="shared" si="33"/>
        <v>159310.99142857143</v>
      </c>
      <c r="GM10" s="743"/>
      <c r="GN10" s="9">
        <v>0</v>
      </c>
      <c r="GO10" s="10">
        <f t="shared" si="34"/>
        <v>0</v>
      </c>
      <c r="GP10" s="128">
        <f t="shared" si="35"/>
        <v>0</v>
      </c>
      <c r="GQ10" s="129"/>
      <c r="GR10" s="432">
        <v>0</v>
      </c>
      <c r="GS10" s="13">
        <v>0</v>
      </c>
      <c r="GT10" s="63"/>
      <c r="GU10" s="19">
        <f t="shared" si="36"/>
        <v>0</v>
      </c>
      <c r="GV10" s="33">
        <f t="shared" si="37"/>
        <v>0</v>
      </c>
      <c r="GW10" s="8">
        <v>1285412</v>
      </c>
      <c r="GX10" s="9">
        <f t="shared" si="38"/>
        <v>1285412</v>
      </c>
      <c r="GY10" s="11">
        <v>305730</v>
      </c>
      <c r="GZ10" s="11">
        <v>979682</v>
      </c>
      <c r="HA10" s="33">
        <f t="shared" si="39"/>
        <v>0</v>
      </c>
      <c r="HB10" s="640">
        <f t="shared" si="40"/>
        <v>91815.142857142855</v>
      </c>
      <c r="HC10" s="9"/>
      <c r="HD10" s="432">
        <f>HE10</f>
        <v>620464</v>
      </c>
      <c r="HE10" s="13">
        <v>620464</v>
      </c>
      <c r="HF10" s="63">
        <v>70000</v>
      </c>
      <c r="HG10" s="36">
        <f t="shared" si="41"/>
        <v>0.27819083131328021</v>
      </c>
      <c r="HH10" s="302"/>
      <c r="HI10" s="13">
        <v>1120</v>
      </c>
      <c r="HJ10" s="20">
        <f t="shared" si="50"/>
        <v>0</v>
      </c>
      <c r="HK10" s="19">
        <f t="shared" si="42"/>
        <v>44318.857142857145</v>
      </c>
      <c r="HL10" s="46">
        <f t="shared" si="43"/>
        <v>44318.857142857145</v>
      </c>
      <c r="HM10" s="20">
        <f t="shared" si="44"/>
        <v>0</v>
      </c>
      <c r="HN10" s="45"/>
      <c r="HO10" s="45"/>
      <c r="HP10" s="35">
        <v>715424.22886499984</v>
      </c>
      <c r="HQ10" s="35">
        <v>280000</v>
      </c>
      <c r="HR10" s="19">
        <f t="shared" si="45"/>
        <v>64318.857142857145</v>
      </c>
      <c r="HS10" s="35">
        <v>259894.04</v>
      </c>
      <c r="HT10" s="19">
        <f t="shared" si="46"/>
        <v>82882.717142857146</v>
      </c>
      <c r="HU10" s="47">
        <f t="shared" si="47"/>
        <v>0.41111677977683803</v>
      </c>
      <c r="HV10" s="35">
        <v>123324.49695</v>
      </c>
      <c r="HW10" s="35"/>
      <c r="HX10" s="9">
        <v>253357.88</v>
      </c>
      <c r="HY10" s="37">
        <f t="shared" si="48"/>
        <v>2945778.1088649998</v>
      </c>
      <c r="HZ10" s="233"/>
      <c r="IA10" s="233">
        <f t="shared" si="49"/>
        <v>0</v>
      </c>
      <c r="IB10" s="114"/>
      <c r="IC10" s="233"/>
      <c r="ID10" s="233"/>
      <c r="IE10" s="114"/>
      <c r="IF10" s="114"/>
      <c r="IG10" s="233"/>
      <c r="IH10" s="114"/>
      <c r="II10" s="233"/>
      <c r="IJ10" s="114"/>
      <c r="IK10" s="233"/>
      <c r="IL10" s="115"/>
      <c r="IM10" s="322"/>
      <c r="IN10" s="314"/>
      <c r="IO10" s="314"/>
      <c r="IP10" s="123"/>
      <c r="IQ10" s="233"/>
      <c r="IR10" s="123"/>
      <c r="IS10" s="233"/>
      <c r="IT10" s="323"/>
      <c r="IU10" s="323"/>
      <c r="IV10" s="323"/>
      <c r="IW10" s="323"/>
      <c r="IX10" s="268"/>
      <c r="IY10" s="268"/>
      <c r="IZ10" s="268"/>
      <c r="JA10" s="268"/>
      <c r="JB10" s="268"/>
      <c r="JC10" s="268"/>
      <c r="JD10" s="233"/>
      <c r="JE10" s="123"/>
      <c r="JF10" s="115"/>
      <c r="JG10" s="123"/>
      <c r="JH10" s="123"/>
      <c r="JI10" s="115"/>
    </row>
    <row r="11" spans="1:269" ht="15" customHeight="1">
      <c r="A11" s="21" t="s">
        <v>74</v>
      </c>
      <c r="B11" s="5" t="s">
        <v>79</v>
      </c>
      <c r="C11" s="5" t="s">
        <v>112</v>
      </c>
      <c r="D11" s="5">
        <v>2012</v>
      </c>
      <c r="E11" s="5" t="s">
        <v>81</v>
      </c>
      <c r="F11" s="5" t="s">
        <v>55</v>
      </c>
      <c r="G11" s="5" t="s">
        <v>418</v>
      </c>
      <c r="H11" s="5" t="s">
        <v>248</v>
      </c>
      <c r="I11" s="50"/>
      <c r="J11" s="50"/>
      <c r="K11" s="256"/>
      <c r="L11" s="153"/>
      <c r="M11" s="153"/>
      <c r="N11" s="153"/>
      <c r="O11" s="207">
        <v>606</v>
      </c>
      <c r="P11" s="207">
        <v>89040</v>
      </c>
      <c r="Q11" s="207">
        <v>51520</v>
      </c>
      <c r="R11" s="207">
        <f>P11/AD11</f>
        <v>12720</v>
      </c>
      <c r="S11" s="207">
        <f t="shared" si="51"/>
        <v>146.93069306930693</v>
      </c>
      <c r="T11" s="207">
        <f t="shared" si="52"/>
        <v>85.016501650165011</v>
      </c>
      <c r="U11" s="207">
        <f>Q11/AL11</f>
        <v>96.464949071300168</v>
      </c>
      <c r="V11" s="207">
        <f>Q11/AD11</f>
        <v>7360</v>
      </c>
      <c r="W11" s="207">
        <f>O11/AD11</f>
        <v>86.571428571428569</v>
      </c>
      <c r="X11" s="208">
        <v>300</v>
      </c>
      <c r="Y11" s="209">
        <f>AL11/O11</f>
        <v>0.88132013201320136</v>
      </c>
      <c r="Z11" s="208" t="s">
        <v>203</v>
      </c>
      <c r="AA11" s="210"/>
      <c r="AB11" s="210"/>
      <c r="AC11" s="5" t="s">
        <v>16</v>
      </c>
      <c r="AD11" s="318">
        <f t="shared" si="0"/>
        <v>7</v>
      </c>
      <c r="AE11" s="6"/>
      <c r="AF11" s="5">
        <v>7</v>
      </c>
      <c r="AG11" s="50"/>
      <c r="AH11" s="50"/>
      <c r="AI11" s="55"/>
      <c r="AJ11" s="7">
        <v>534.08000000000004</v>
      </c>
      <c r="AK11" s="54"/>
      <c r="AL11" s="79">
        <v>534.08000000000004</v>
      </c>
      <c r="AM11" s="7">
        <f t="shared" si="1"/>
        <v>76.297142857142859</v>
      </c>
      <c r="AN11" s="75"/>
      <c r="AO11" s="75">
        <v>0.28999999999999998</v>
      </c>
      <c r="AP11" s="75">
        <v>0.56999999999999995</v>
      </c>
      <c r="AQ11" s="75">
        <v>0.14000000000000001</v>
      </c>
      <c r="AR11" s="75"/>
      <c r="AS11" s="7">
        <v>217.58</v>
      </c>
      <c r="AT11" s="106">
        <v>238</v>
      </c>
      <c r="AU11" s="75">
        <f t="shared" si="53"/>
        <v>0.39273927392739272</v>
      </c>
      <c r="AV11" s="54">
        <v>2</v>
      </c>
      <c r="AW11" s="53" t="s">
        <v>561</v>
      </c>
      <c r="AX11" s="7"/>
      <c r="AY11" s="785"/>
      <c r="AZ11" s="54"/>
      <c r="BA11" s="50"/>
      <c r="BB11" s="184">
        <v>40963</v>
      </c>
      <c r="BC11" s="422" t="s">
        <v>11</v>
      </c>
      <c r="BD11" s="422" t="s">
        <v>226</v>
      </c>
      <c r="BE11" s="1"/>
      <c r="BF11" s="204">
        <v>41171</v>
      </c>
      <c r="BG11" s="96"/>
      <c r="BH11" s="96"/>
      <c r="BI11" s="204">
        <v>41225</v>
      </c>
      <c r="BJ11" s="96"/>
      <c r="BK11" s="426"/>
      <c r="BL11" s="201"/>
      <c r="BM11" s="99"/>
      <c r="BN11" s="99"/>
      <c r="BO11" s="296"/>
      <c r="BP11" s="297">
        <f t="shared" si="3"/>
        <v>731</v>
      </c>
      <c r="BQ11" s="297">
        <f t="shared" si="4"/>
        <v>1096</v>
      </c>
      <c r="BR11" s="297"/>
      <c r="BS11" s="297" t="str">
        <f>IF(EU11&lt;$BP$11,"oui","non")</f>
        <v>non</v>
      </c>
      <c r="BT11" s="686" t="e">
        <f t="shared" si="5"/>
        <v>#NUM!</v>
      </c>
      <c r="BU11" s="686" t="e">
        <f t="shared" si="6"/>
        <v>#NUM!</v>
      </c>
      <c r="BV11" s="686" t="e">
        <f t="shared" si="7"/>
        <v>#NUM!</v>
      </c>
      <c r="BW11" s="99"/>
      <c r="BX11" s="426"/>
      <c r="BY11" s="99"/>
      <c r="BZ11" s="112"/>
      <c r="CA11" s="112"/>
      <c r="CB11" s="112"/>
      <c r="CC11" s="155" t="s">
        <v>69</v>
      </c>
      <c r="CD11" s="306">
        <v>41255</v>
      </c>
      <c r="CE11" s="251"/>
      <c r="CF11" s="156">
        <v>1051215.9099999999</v>
      </c>
      <c r="CG11" s="588">
        <f t="shared" ref="CG11:CG35" si="54">DATE(YEAR(CD11),MONTH(CD11)+18,DAY(CD11))</f>
        <v>41802</v>
      </c>
      <c r="CH11" s="408"/>
      <c r="CI11" s="344">
        <v>41612</v>
      </c>
      <c r="CJ11" s="251">
        <v>41835</v>
      </c>
      <c r="CK11" s="603">
        <f>(EU11-CJ11)/30</f>
        <v>1.9666666666666666</v>
      </c>
      <c r="CL11" s="123"/>
      <c r="CM11" s="115"/>
      <c r="CN11" s="115"/>
      <c r="CO11" s="529" t="str">
        <f t="shared" si="8"/>
        <v>0</v>
      </c>
      <c r="CP11" s="123"/>
      <c r="CQ11" s="123"/>
      <c r="CR11" s="529" t="str">
        <f t="shared" si="9"/>
        <v>0</v>
      </c>
      <c r="CS11" s="126"/>
      <c r="CT11" s="123"/>
      <c r="CU11" s="529" t="str">
        <f t="shared" si="10"/>
        <v>0</v>
      </c>
      <c r="CV11" s="126"/>
      <c r="CW11" s="123"/>
      <c r="CX11" s="529" t="str">
        <f t="shared" si="11"/>
        <v>0</v>
      </c>
      <c r="CY11" s="126"/>
      <c r="CZ11" s="575"/>
      <c r="DA11" s="529" t="str">
        <f t="shared" si="12"/>
        <v>0</v>
      </c>
      <c r="DB11" s="459"/>
      <c r="DC11" s="233"/>
      <c r="DD11" s="539"/>
      <c r="DE11" s="534"/>
      <c r="DF11" s="535" t="str">
        <f t="shared" si="13"/>
        <v>0</v>
      </c>
      <c r="DG11" s="539"/>
      <c r="DH11" s="353">
        <v>41400</v>
      </c>
      <c r="DI11" s="345">
        <v>2013</v>
      </c>
      <c r="DJ11" s="447">
        <f t="shared" si="14"/>
        <v>7.6333333333333337</v>
      </c>
      <c r="DK11" s="535" t="str">
        <f t="shared" si="15"/>
        <v>0</v>
      </c>
      <c r="DL11" s="126">
        <v>10</v>
      </c>
      <c r="DM11" s="117">
        <f t="shared" si="16"/>
        <v>14</v>
      </c>
      <c r="DN11" s="316"/>
      <c r="DO11" s="315"/>
      <c r="DP11" s="701" t="str">
        <f t="shared" si="17"/>
        <v>0</v>
      </c>
      <c r="DQ11" s="720"/>
      <c r="DR11" s="622"/>
      <c r="DS11" s="623" t="str">
        <f t="shared" si="18"/>
        <v>0</v>
      </c>
      <c r="DT11" s="255"/>
      <c r="DU11" s="316"/>
      <c r="DV11" s="701" t="str">
        <f t="shared" si="19"/>
        <v>0</v>
      </c>
      <c r="DW11" s="315"/>
      <c r="DX11" s="316"/>
      <c r="DY11" s="701" t="str">
        <f t="shared" si="20"/>
        <v>0</v>
      </c>
      <c r="DZ11" s="323"/>
      <c r="EA11" s="323"/>
      <c r="EB11" s="701" t="str">
        <f t="shared" si="21"/>
        <v>0</v>
      </c>
      <c r="EC11" s="323"/>
      <c r="ED11" s="324"/>
      <c r="EE11" s="701" t="str">
        <f t="shared" si="22"/>
        <v>0</v>
      </c>
      <c r="EF11" s="316"/>
      <c r="EG11" s="315"/>
      <c r="EH11" s="701" t="str">
        <f t="shared" si="23"/>
        <v>0</v>
      </c>
      <c r="EI11" s="315"/>
      <c r="EJ11" s="315"/>
      <c r="EK11" s="315"/>
      <c r="EL11" s="461">
        <f t="shared" si="24"/>
        <v>41704</v>
      </c>
      <c r="EM11" s="355">
        <v>41831</v>
      </c>
      <c r="EN11" s="729">
        <f t="shared" si="25"/>
        <v>4.2333333333333334</v>
      </c>
      <c r="EO11" s="606"/>
      <c r="EP11" s="127">
        <v>41883</v>
      </c>
      <c r="EQ11" s="116" t="s">
        <v>126</v>
      </c>
      <c r="ER11" s="116">
        <v>41894</v>
      </c>
      <c r="ES11" s="461"/>
      <c r="ET11" s="461">
        <f t="shared" si="26"/>
        <v>41735</v>
      </c>
      <c r="EU11" s="353">
        <v>41894</v>
      </c>
      <c r="EV11" s="596">
        <v>2014</v>
      </c>
      <c r="EW11" s="726">
        <f t="shared" si="27"/>
        <v>5.3</v>
      </c>
      <c r="EX11" s="716">
        <f>33787/12</f>
        <v>2815.5833333333335</v>
      </c>
      <c r="EY11" s="233">
        <f t="shared" si="28"/>
        <v>14922.591666666667</v>
      </c>
      <c r="EZ11" s="127"/>
      <c r="FA11" s="562"/>
      <c r="FB11" s="710">
        <f t="shared" si="29"/>
        <v>50607</v>
      </c>
      <c r="FC11" s="562"/>
      <c r="FD11" s="562"/>
      <c r="FE11" s="562"/>
      <c r="FF11" s="562"/>
      <c r="FG11" s="563"/>
      <c r="FH11" s="583"/>
      <c r="FI11" s="563"/>
      <c r="FJ11" s="563"/>
      <c r="FK11" s="123"/>
      <c r="FL11" s="123"/>
      <c r="FM11" s="123"/>
      <c r="FN11" s="123"/>
      <c r="FO11" s="194" t="s">
        <v>126</v>
      </c>
      <c r="FP11" s="123">
        <v>42082</v>
      </c>
      <c r="FQ11" s="123">
        <f t="shared" si="30"/>
        <v>42196</v>
      </c>
      <c r="FR11" s="692">
        <v>10711</v>
      </c>
      <c r="FS11" s="123">
        <v>41915</v>
      </c>
      <c r="FT11" s="123">
        <v>41918</v>
      </c>
      <c r="FU11" s="123" t="s">
        <v>126</v>
      </c>
      <c r="FV11" s="123">
        <v>42346</v>
      </c>
      <c r="FW11" s="123"/>
      <c r="FX11" s="123" t="s">
        <v>126</v>
      </c>
      <c r="FY11" s="123" t="s">
        <v>126</v>
      </c>
      <c r="FZ11" s="123"/>
      <c r="GA11" s="114">
        <v>42851</v>
      </c>
      <c r="GB11" s="194" t="s">
        <v>126</v>
      </c>
      <c r="GC11" s="122"/>
      <c r="GD11" s="194" t="s">
        <v>126</v>
      </c>
      <c r="GE11" s="194" t="s">
        <v>126</v>
      </c>
      <c r="GF11" s="154"/>
      <c r="GG11" s="582"/>
      <c r="GH11" s="8">
        <v>1127563</v>
      </c>
      <c r="GI11" s="430">
        <f>GS11+GX11+HE11+HX11+HC11+HI11</f>
        <v>1127563</v>
      </c>
      <c r="GJ11" s="10">
        <f t="shared" si="31"/>
        <v>0</v>
      </c>
      <c r="GK11" s="46">
        <f t="shared" si="32"/>
        <v>2111.2249101258235</v>
      </c>
      <c r="GL11" s="46">
        <f t="shared" si="33"/>
        <v>161080.42857142858</v>
      </c>
      <c r="GM11" s="8">
        <v>970725</v>
      </c>
      <c r="GN11" s="9"/>
      <c r="GO11" s="10">
        <f t="shared" si="34"/>
        <v>-970725</v>
      </c>
      <c r="GP11" s="128">
        <f t="shared" si="35"/>
        <v>0.87898434499890454</v>
      </c>
      <c r="GQ11" s="129"/>
      <c r="GR11" s="8">
        <v>294297</v>
      </c>
      <c r="GS11" s="9">
        <v>294297</v>
      </c>
      <c r="GT11" s="64"/>
      <c r="GU11" s="19">
        <f t="shared" si="36"/>
        <v>42042.428571428572</v>
      </c>
      <c r="GV11" s="33">
        <f t="shared" si="37"/>
        <v>0</v>
      </c>
      <c r="GW11" s="8">
        <v>604971</v>
      </c>
      <c r="GX11" s="9">
        <f t="shared" si="38"/>
        <v>604971</v>
      </c>
      <c r="GY11" s="11">
        <v>112853</v>
      </c>
      <c r="GZ11" s="11">
        <v>492118</v>
      </c>
      <c r="HA11" s="33">
        <f t="shared" si="39"/>
        <v>0</v>
      </c>
      <c r="HB11" s="640">
        <f t="shared" si="40"/>
        <v>86424.428571428565</v>
      </c>
      <c r="HC11" s="9">
        <v>0</v>
      </c>
      <c r="HD11" s="8">
        <v>177688</v>
      </c>
      <c r="HE11" s="13">
        <v>177688</v>
      </c>
      <c r="HF11" s="63"/>
      <c r="HG11" s="36">
        <f t="shared" si="41"/>
        <v>0.15758587325054121</v>
      </c>
      <c r="HH11" s="302"/>
      <c r="HI11" s="13">
        <v>0</v>
      </c>
      <c r="HJ11" s="20">
        <f t="shared" si="50"/>
        <v>0</v>
      </c>
      <c r="HK11" s="19">
        <f t="shared" si="42"/>
        <v>25384</v>
      </c>
      <c r="HL11" s="46">
        <f t="shared" si="43"/>
        <v>67426.428571428565</v>
      </c>
      <c r="HM11" s="20">
        <f t="shared" si="44"/>
        <v>0</v>
      </c>
      <c r="HN11" s="45"/>
      <c r="HO11" s="45"/>
      <c r="HP11" s="35">
        <v>176884.08837750001</v>
      </c>
      <c r="HQ11" s="35">
        <v>119543.69426743503</v>
      </c>
      <c r="HR11" s="19">
        <f t="shared" si="45"/>
        <v>84504.099181062149</v>
      </c>
      <c r="HS11" s="35">
        <v>0</v>
      </c>
      <c r="HT11" s="19">
        <f t="shared" si="46"/>
        <v>84504.099181062149</v>
      </c>
      <c r="HU11" s="47">
        <f t="shared" si="47"/>
        <v>0.47252544420817433</v>
      </c>
      <c r="HV11" s="35">
        <v>52601.919999999998</v>
      </c>
      <c r="HW11" s="35"/>
      <c r="HX11" s="436">
        <v>50607</v>
      </c>
      <c r="HY11" s="37">
        <f t="shared" si="48"/>
        <v>1304447.0883775</v>
      </c>
      <c r="HZ11" s="233"/>
      <c r="IA11" s="233">
        <f t="shared" si="49"/>
        <v>0</v>
      </c>
      <c r="IB11" s="114"/>
      <c r="IC11" s="233"/>
      <c r="ID11" s="233"/>
      <c r="IE11" s="114"/>
      <c r="IF11" s="114"/>
      <c r="IG11" s="233"/>
      <c r="IH11" s="114"/>
      <c r="II11" s="233"/>
      <c r="IJ11" s="114"/>
      <c r="IK11" s="233"/>
      <c r="IL11" s="115"/>
      <c r="IM11" s="322"/>
      <c r="IN11" s="314"/>
      <c r="IO11" s="314"/>
      <c r="IP11" s="123"/>
      <c r="IQ11" s="233"/>
      <c r="IR11" s="123"/>
      <c r="IS11" s="233"/>
      <c r="IT11" s="323"/>
      <c r="IU11" s="323"/>
      <c r="IV11" s="323"/>
      <c r="IW11" s="323"/>
      <c r="IX11" s="268"/>
      <c r="IY11" s="268"/>
      <c r="IZ11" s="123"/>
      <c r="JA11" s="233"/>
      <c r="JB11" s="123"/>
      <c r="JC11" s="233"/>
      <c r="JD11" s="233"/>
      <c r="JE11" s="123"/>
      <c r="JF11" s="115"/>
      <c r="JG11" s="123"/>
      <c r="JH11" s="123"/>
      <c r="JI11" s="115"/>
    </row>
    <row r="12" spans="1:269" ht="15" customHeight="1">
      <c r="A12" s="21" t="s">
        <v>73</v>
      </c>
      <c r="B12" s="5" t="s">
        <v>40</v>
      </c>
      <c r="C12" s="5" t="s">
        <v>112</v>
      </c>
      <c r="D12" s="5">
        <v>2012</v>
      </c>
      <c r="E12" s="5" t="s">
        <v>80</v>
      </c>
      <c r="F12" s="5" t="s">
        <v>30</v>
      </c>
      <c r="G12" s="5" t="s">
        <v>279</v>
      </c>
      <c r="H12" s="5" t="s">
        <v>248</v>
      </c>
      <c r="I12" s="50" t="s">
        <v>118</v>
      </c>
      <c r="J12" s="50"/>
      <c r="K12" s="256"/>
      <c r="L12" s="153"/>
      <c r="M12" s="153"/>
      <c r="N12" s="153"/>
      <c r="O12" s="207">
        <v>2671</v>
      </c>
      <c r="P12" s="207">
        <v>176000</v>
      </c>
      <c r="Q12" s="207">
        <v>110833</v>
      </c>
      <c r="R12" s="207">
        <f>P12/AD12</f>
        <v>12571.428571428571</v>
      </c>
      <c r="S12" s="207">
        <f t="shared" si="51"/>
        <v>65.89292399850244</v>
      </c>
      <c r="T12" s="207">
        <f t="shared" si="52"/>
        <v>41.494945713216026</v>
      </c>
      <c r="U12" s="207">
        <f>Q12/AL12</f>
        <v>99.936881779573142</v>
      </c>
      <c r="V12" s="207">
        <f>Q12/AD12</f>
        <v>7916.6428571428569</v>
      </c>
      <c r="W12" s="207">
        <f>O12/AD12</f>
        <v>190.78571428571428</v>
      </c>
      <c r="X12" s="208">
        <v>748.11</v>
      </c>
      <c r="Y12" s="209">
        <f>AL12/O12</f>
        <v>0.41521153126169974</v>
      </c>
      <c r="Z12" s="208" t="s">
        <v>203</v>
      </c>
      <c r="AA12" s="210"/>
      <c r="AB12" s="210"/>
      <c r="AC12" s="5" t="s">
        <v>16</v>
      </c>
      <c r="AD12" s="318">
        <f t="shared" si="0"/>
        <v>14</v>
      </c>
      <c r="AE12" s="6"/>
      <c r="AF12" s="5">
        <v>14</v>
      </c>
      <c r="AG12" s="50"/>
      <c r="AH12" s="50"/>
      <c r="AI12" s="54"/>
      <c r="AJ12" s="7">
        <v>1109.03</v>
      </c>
      <c r="AK12" s="54"/>
      <c r="AL12" s="79">
        <v>1109.03</v>
      </c>
      <c r="AM12" s="7">
        <f t="shared" si="1"/>
        <v>79.216428571428565</v>
      </c>
      <c r="AN12" s="75">
        <f>3/AD12</f>
        <v>0.21428571428571427</v>
      </c>
      <c r="AO12" s="75">
        <f>3/AD12</f>
        <v>0.21428571428571427</v>
      </c>
      <c r="AP12" s="75">
        <f>6/AD12</f>
        <v>0.42857142857142855</v>
      </c>
      <c r="AQ12" s="75">
        <f>1/AD12</f>
        <v>7.1428571428571425E-2</v>
      </c>
      <c r="AR12" s="75">
        <f>1/AD12</f>
        <v>7.1428571428571425E-2</v>
      </c>
      <c r="AS12" s="7">
        <v>1000</v>
      </c>
      <c r="AT12" s="73"/>
      <c r="AU12" s="75">
        <f t="shared" si="53"/>
        <v>0</v>
      </c>
      <c r="AV12" s="54">
        <v>3</v>
      </c>
      <c r="AW12" s="53" t="s">
        <v>561</v>
      </c>
      <c r="AX12" s="7"/>
      <c r="AY12" s="785"/>
      <c r="AZ12" s="54"/>
      <c r="BA12" s="184"/>
      <c r="BB12" s="184">
        <v>40963</v>
      </c>
      <c r="BC12" s="422" t="s">
        <v>11</v>
      </c>
      <c r="BD12" s="422" t="s">
        <v>226</v>
      </c>
      <c r="BE12" s="1"/>
      <c r="BF12" s="204">
        <v>41170</v>
      </c>
      <c r="BG12" s="96"/>
      <c r="BH12" s="96"/>
      <c r="BI12" s="204">
        <v>41248</v>
      </c>
      <c r="BJ12" s="96"/>
      <c r="BK12" s="426"/>
      <c r="BL12" s="201"/>
      <c r="BM12" s="99"/>
      <c r="BN12" s="99"/>
      <c r="BO12" s="296"/>
      <c r="BP12" s="297">
        <f t="shared" si="3"/>
        <v>731</v>
      </c>
      <c r="BQ12" s="297">
        <f t="shared" si="4"/>
        <v>1096</v>
      </c>
      <c r="BR12" s="297"/>
      <c r="BS12" s="297" t="str">
        <f>IF(EU12&lt;$BP$11,"oui","non")</f>
        <v>non</v>
      </c>
      <c r="BT12" s="686" t="e">
        <f t="shared" si="5"/>
        <v>#NUM!</v>
      </c>
      <c r="BU12" s="686" t="e">
        <f t="shared" si="6"/>
        <v>#NUM!</v>
      </c>
      <c r="BV12" s="686" t="e">
        <f t="shared" si="7"/>
        <v>#NUM!</v>
      </c>
      <c r="BW12" s="99"/>
      <c r="BX12" s="426"/>
      <c r="BY12" s="99"/>
      <c r="BZ12" s="112"/>
      <c r="CA12" s="112"/>
      <c r="CB12" s="112"/>
      <c r="CC12" s="155" t="s">
        <v>69</v>
      </c>
      <c r="CD12" s="306">
        <v>41255</v>
      </c>
      <c r="CE12" s="251"/>
      <c r="CF12" s="156">
        <v>2312263.67</v>
      </c>
      <c r="CG12" s="588">
        <f t="shared" si="54"/>
        <v>41802</v>
      </c>
      <c r="CH12" s="408"/>
      <c r="CI12" s="344">
        <v>41467</v>
      </c>
      <c r="CJ12" s="251">
        <v>41897</v>
      </c>
      <c r="CK12" s="603">
        <f>(EU12-CJ12)/30</f>
        <v>1.6666666666666667</v>
      </c>
      <c r="CL12" s="123"/>
      <c r="CM12" s="115"/>
      <c r="CN12" s="115"/>
      <c r="CO12" s="529" t="str">
        <f t="shared" si="8"/>
        <v>0</v>
      </c>
      <c r="CP12" s="123"/>
      <c r="CQ12" s="123"/>
      <c r="CR12" s="529" t="str">
        <f t="shared" si="9"/>
        <v>0</v>
      </c>
      <c r="CS12" s="126"/>
      <c r="CT12" s="123"/>
      <c r="CU12" s="529" t="str">
        <f t="shared" si="10"/>
        <v>0</v>
      </c>
      <c r="CV12" s="126"/>
      <c r="CW12" s="123"/>
      <c r="CX12" s="529" t="str">
        <f t="shared" si="11"/>
        <v>0</v>
      </c>
      <c r="CY12" s="126"/>
      <c r="CZ12" s="575"/>
      <c r="DA12" s="529" t="str">
        <f t="shared" si="12"/>
        <v>0</v>
      </c>
      <c r="DB12" s="459"/>
      <c r="DC12" s="233"/>
      <c r="DD12" s="539"/>
      <c r="DE12" s="534"/>
      <c r="DF12" s="535" t="str">
        <f t="shared" si="13"/>
        <v>0</v>
      </c>
      <c r="DG12" s="539"/>
      <c r="DH12" s="353">
        <v>41309</v>
      </c>
      <c r="DI12" s="345">
        <v>2013</v>
      </c>
      <c r="DJ12" s="447">
        <f t="shared" si="14"/>
        <v>4.6333333333333337</v>
      </c>
      <c r="DK12" s="535" t="str">
        <f t="shared" si="15"/>
        <v>0</v>
      </c>
      <c r="DL12" s="117">
        <v>13</v>
      </c>
      <c r="DM12" s="117">
        <f t="shared" si="16"/>
        <v>20</v>
      </c>
      <c r="DN12" s="316"/>
      <c r="DO12" s="315"/>
      <c r="DP12" s="701" t="str">
        <f t="shared" si="17"/>
        <v>0</v>
      </c>
      <c r="DQ12" s="720"/>
      <c r="DR12" s="622"/>
      <c r="DS12" s="623" t="str">
        <f t="shared" si="18"/>
        <v>0</v>
      </c>
      <c r="DT12" s="255"/>
      <c r="DU12" s="316"/>
      <c r="DV12" s="701" t="str">
        <f t="shared" si="19"/>
        <v>0</v>
      </c>
      <c r="DW12" s="315"/>
      <c r="DX12" s="316"/>
      <c r="DY12" s="701" t="str">
        <f t="shared" si="20"/>
        <v>0</v>
      </c>
      <c r="DZ12" s="323"/>
      <c r="EA12" s="323"/>
      <c r="EB12" s="701" t="str">
        <f t="shared" si="21"/>
        <v>0</v>
      </c>
      <c r="EC12" s="323"/>
      <c r="ED12" s="324"/>
      <c r="EE12" s="701" t="str">
        <f t="shared" si="22"/>
        <v>0</v>
      </c>
      <c r="EF12" s="324"/>
      <c r="EG12" s="324"/>
      <c r="EH12" s="701" t="str">
        <f t="shared" si="23"/>
        <v>0</v>
      </c>
      <c r="EI12" s="324"/>
      <c r="EJ12" s="324"/>
      <c r="EK12" s="324"/>
      <c r="EL12" s="461">
        <f t="shared" si="24"/>
        <v>41702</v>
      </c>
      <c r="EM12" s="353">
        <v>41943</v>
      </c>
      <c r="EN12" s="729">
        <f t="shared" si="25"/>
        <v>8.0333333333333332</v>
      </c>
      <c r="EO12" s="461"/>
      <c r="EP12" s="116">
        <v>41983</v>
      </c>
      <c r="EQ12" s="116" t="s">
        <v>126</v>
      </c>
      <c r="ER12" s="116">
        <v>41949</v>
      </c>
      <c r="ES12" s="461"/>
      <c r="ET12" s="461">
        <f t="shared" si="26"/>
        <v>41733</v>
      </c>
      <c r="EU12" s="353">
        <v>41947</v>
      </c>
      <c r="EV12" s="596">
        <v>2014</v>
      </c>
      <c r="EW12" s="726">
        <f t="shared" si="27"/>
        <v>7.1333333333333337</v>
      </c>
      <c r="EX12" s="716">
        <f>69329.9630502528/12</f>
        <v>5777.4969208543998</v>
      </c>
      <c r="EY12" s="233">
        <f t="shared" si="28"/>
        <v>41212.811368761388</v>
      </c>
      <c r="EZ12" s="116"/>
      <c r="FA12" s="558"/>
      <c r="FB12" s="710">
        <f t="shared" si="29"/>
        <v>123760</v>
      </c>
      <c r="FC12" s="562"/>
      <c r="FD12" s="562"/>
      <c r="FE12" s="562"/>
      <c r="FF12" s="562"/>
      <c r="FG12" s="559"/>
      <c r="FH12" s="571" t="s">
        <v>740</v>
      </c>
      <c r="FI12" s="559"/>
      <c r="FJ12" s="559"/>
      <c r="FK12" s="123"/>
      <c r="FL12" s="123"/>
      <c r="FM12" s="123"/>
      <c r="FN12" s="123"/>
      <c r="FO12" s="123" t="s">
        <v>126</v>
      </c>
      <c r="FP12" s="115"/>
      <c r="FQ12" s="316" t="s">
        <v>168</v>
      </c>
      <c r="FR12" s="692">
        <v>19707.689999999999</v>
      </c>
      <c r="FS12" s="194">
        <v>41969</v>
      </c>
      <c r="FT12" s="194">
        <v>41984</v>
      </c>
      <c r="FU12" s="194">
        <v>42324</v>
      </c>
      <c r="FV12" s="194">
        <v>42324</v>
      </c>
      <c r="FW12" s="194"/>
      <c r="FX12" s="123" t="s">
        <v>165</v>
      </c>
      <c r="FY12" s="123">
        <v>42426</v>
      </c>
      <c r="FZ12" s="194">
        <v>42906</v>
      </c>
      <c r="GA12" s="194"/>
      <c r="GB12" s="194" t="s">
        <v>126</v>
      </c>
      <c r="GC12" s="122"/>
      <c r="GD12" s="194">
        <v>42426</v>
      </c>
      <c r="GE12" s="194"/>
      <c r="GF12" s="154"/>
      <c r="GG12" s="582"/>
      <c r="GH12" s="8">
        <v>2368881</v>
      </c>
      <c r="GI12" s="430">
        <f>GS12+GX12+HE12+HX12+HC12+HI12+HF12</f>
        <v>2368881</v>
      </c>
      <c r="GJ12" s="10">
        <f t="shared" si="31"/>
        <v>0</v>
      </c>
      <c r="GK12" s="46">
        <f t="shared" si="32"/>
        <v>2135.9936160428483</v>
      </c>
      <c r="GL12" s="46">
        <f t="shared" si="33"/>
        <v>169205.78571428571</v>
      </c>
      <c r="GM12" s="8"/>
      <c r="GN12" s="9">
        <v>2068826</v>
      </c>
      <c r="GO12" s="10">
        <f t="shared" si="34"/>
        <v>2068826</v>
      </c>
      <c r="GP12" s="128">
        <f t="shared" si="35"/>
        <v>0</v>
      </c>
      <c r="GQ12" s="129"/>
      <c r="GR12" s="8">
        <v>745095</v>
      </c>
      <c r="GS12" s="9">
        <v>745095</v>
      </c>
      <c r="GT12" s="64"/>
      <c r="GU12" s="19">
        <f t="shared" si="36"/>
        <v>53221.071428571428</v>
      </c>
      <c r="GV12" s="33">
        <f t="shared" si="37"/>
        <v>0</v>
      </c>
      <c r="GW12" s="8">
        <v>1240121</v>
      </c>
      <c r="GX12" s="9">
        <f t="shared" si="38"/>
        <v>1240121</v>
      </c>
      <c r="GY12" s="11">
        <v>347814</v>
      </c>
      <c r="GZ12" s="11">
        <v>892307</v>
      </c>
      <c r="HA12" s="33">
        <f t="shared" si="39"/>
        <v>0</v>
      </c>
      <c r="HB12" s="640">
        <f t="shared" si="40"/>
        <v>88580.071428571435</v>
      </c>
      <c r="HC12" s="9">
        <v>100000</v>
      </c>
      <c r="HD12" s="8">
        <f>89905+70000</f>
        <v>159905</v>
      </c>
      <c r="HE12" s="13">
        <v>89905</v>
      </c>
      <c r="HF12" s="63">
        <v>70000</v>
      </c>
      <c r="HG12" s="36">
        <f t="shared" si="41"/>
        <v>3.7952518509794288E-2</v>
      </c>
      <c r="HH12" s="302"/>
      <c r="HI12" s="13">
        <v>0</v>
      </c>
      <c r="HJ12" s="20">
        <f>HE12-HD12+HF12</f>
        <v>0</v>
      </c>
      <c r="HK12" s="19">
        <f t="shared" si="42"/>
        <v>6421.7857142857147</v>
      </c>
      <c r="HL12" s="46">
        <f t="shared" si="43"/>
        <v>59642.857142857145</v>
      </c>
      <c r="HM12" s="20">
        <f t="shared" si="44"/>
        <v>0</v>
      </c>
      <c r="HN12" s="45"/>
      <c r="HO12" s="45"/>
      <c r="HP12" s="35">
        <v>339632.49384750001</v>
      </c>
      <c r="HQ12" s="35">
        <v>210000</v>
      </c>
      <c r="HR12" s="19">
        <f t="shared" si="45"/>
        <v>74642.857142857145</v>
      </c>
      <c r="HS12" s="35">
        <v>0</v>
      </c>
      <c r="HT12" s="19">
        <f t="shared" si="46"/>
        <v>74642.857142857145</v>
      </c>
      <c r="HU12" s="47">
        <f t="shared" si="47"/>
        <v>0.40351792401683728</v>
      </c>
      <c r="HV12" s="35">
        <v>118789.62334999999</v>
      </c>
      <c r="HW12" s="35"/>
      <c r="HX12" s="436">
        <v>123760</v>
      </c>
      <c r="HY12" s="37">
        <f t="shared" si="48"/>
        <v>2708513.4938475001</v>
      </c>
      <c r="HZ12" s="233"/>
      <c r="IA12" s="233">
        <f t="shared" si="49"/>
        <v>0</v>
      </c>
      <c r="IB12" s="114"/>
      <c r="IC12" s="233"/>
      <c r="ID12" s="233"/>
      <c r="IE12" s="114"/>
      <c r="IF12" s="114"/>
      <c r="IG12" s="233"/>
      <c r="IH12" s="114"/>
      <c r="II12" s="233"/>
      <c r="IJ12" s="114"/>
      <c r="IK12" s="233"/>
      <c r="IL12" s="115"/>
      <c r="IM12" s="322"/>
      <c r="IN12" s="314"/>
      <c r="IO12" s="314"/>
      <c r="IP12" s="123"/>
      <c r="IQ12" s="233"/>
      <c r="IR12" s="123"/>
      <c r="IS12" s="233"/>
      <c r="IT12" s="323"/>
      <c r="IU12" s="323"/>
      <c r="IV12" s="323"/>
      <c r="IW12" s="323"/>
      <c r="IX12" s="268"/>
      <c r="IY12" s="268"/>
      <c r="IZ12" s="268"/>
      <c r="JA12" s="268"/>
      <c r="JB12" s="268"/>
      <c r="JC12" s="268"/>
      <c r="JD12" s="233"/>
      <c r="JE12" s="123"/>
      <c r="JF12" s="115"/>
      <c r="JG12" s="123"/>
      <c r="JH12" s="123"/>
      <c r="JI12" s="115"/>
    </row>
    <row r="13" spans="1:269" ht="24.95" customHeight="1">
      <c r="A13" s="21" t="s">
        <v>75</v>
      </c>
      <c r="B13" s="5" t="s">
        <v>35</v>
      </c>
      <c r="C13" s="5" t="s">
        <v>110</v>
      </c>
      <c r="D13" s="5">
        <v>2012</v>
      </c>
      <c r="E13" s="5" t="s">
        <v>84</v>
      </c>
      <c r="F13" s="5"/>
      <c r="G13" s="5" t="s">
        <v>178</v>
      </c>
      <c r="H13" s="5" t="s">
        <v>248</v>
      </c>
      <c r="I13" s="50"/>
      <c r="J13" s="50"/>
      <c r="K13" s="256"/>
      <c r="L13" s="153"/>
      <c r="M13" s="153"/>
      <c r="N13" s="153"/>
      <c r="O13" s="207">
        <v>7275</v>
      </c>
      <c r="P13" s="207">
        <f>Q13</f>
        <v>773000</v>
      </c>
      <c r="Q13" s="207">
        <v>773000</v>
      </c>
      <c r="R13" s="207">
        <f>P13/AD13</f>
        <v>9202.3809523809523</v>
      </c>
      <c r="S13" s="207">
        <f t="shared" si="51"/>
        <v>106.25429553264605</v>
      </c>
      <c r="T13" s="207">
        <f t="shared" si="52"/>
        <v>106.25429553264605</v>
      </c>
      <c r="U13" s="207">
        <f>Q13/AL13</f>
        <v>168.94476183815397</v>
      </c>
      <c r="V13" s="207">
        <f>Q13/AD13</f>
        <v>9202.3809523809523</v>
      </c>
      <c r="W13" s="207">
        <f>O13/AD13</f>
        <v>86.607142857142861</v>
      </c>
      <c r="X13" s="207"/>
      <c r="Y13" s="209">
        <f>AL13/O13</f>
        <v>0.62892920962199317</v>
      </c>
      <c r="Z13" s="208" t="s">
        <v>185</v>
      </c>
      <c r="AA13" s="210">
        <v>530</v>
      </c>
      <c r="AB13" s="211">
        <v>0.1</v>
      </c>
      <c r="AC13" s="5" t="s">
        <v>15</v>
      </c>
      <c r="AD13" s="318">
        <f t="shared" si="0"/>
        <v>84</v>
      </c>
      <c r="AE13" s="5">
        <v>84</v>
      </c>
      <c r="AF13" s="6"/>
      <c r="AG13" s="61"/>
      <c r="AH13" s="61"/>
      <c r="AI13" s="54"/>
      <c r="AJ13" s="7">
        <v>4575.46</v>
      </c>
      <c r="AK13" s="54"/>
      <c r="AL13" s="79">
        <v>4575.46</v>
      </c>
      <c r="AM13" s="7">
        <f t="shared" si="1"/>
        <v>54.469761904761903</v>
      </c>
      <c r="AN13" s="56"/>
      <c r="AO13" s="56"/>
      <c r="AP13" s="56"/>
      <c r="AQ13" s="56"/>
      <c r="AR13" s="56"/>
      <c r="AS13" s="7">
        <v>2038</v>
      </c>
      <c r="AT13" s="73">
        <v>0</v>
      </c>
      <c r="AU13" s="75">
        <f t="shared" si="53"/>
        <v>0</v>
      </c>
      <c r="AV13" s="54">
        <v>4</v>
      </c>
      <c r="AW13" s="53" t="s">
        <v>561</v>
      </c>
      <c r="AX13" s="7"/>
      <c r="AY13" s="785"/>
      <c r="AZ13" s="54"/>
      <c r="BA13" s="50"/>
      <c r="BB13" s="184">
        <v>40963</v>
      </c>
      <c r="BC13" s="422" t="s">
        <v>12</v>
      </c>
      <c r="BD13" s="422" t="s">
        <v>225</v>
      </c>
      <c r="BE13" s="1"/>
      <c r="BF13" s="204">
        <v>41144</v>
      </c>
      <c r="BG13" s="96">
        <v>42481</v>
      </c>
      <c r="BH13" s="96"/>
      <c r="BI13" s="204">
        <v>41199</v>
      </c>
      <c r="BJ13" s="96"/>
      <c r="BK13" s="426"/>
      <c r="BL13" s="201"/>
      <c r="BM13" s="99"/>
      <c r="BN13" s="99"/>
      <c r="BO13" s="296"/>
      <c r="BP13" s="297">
        <f t="shared" si="3"/>
        <v>731</v>
      </c>
      <c r="BQ13" s="297">
        <f t="shared" si="4"/>
        <v>1096</v>
      </c>
      <c r="BR13" s="297"/>
      <c r="BS13" s="297" t="str">
        <f t="shared" ref="BS13:BS18" si="55">IF(EU13&gt;BP13,"oui","non")</f>
        <v>oui</v>
      </c>
      <c r="BT13" s="686" t="e">
        <f t="shared" si="5"/>
        <v>#NUM!</v>
      </c>
      <c r="BU13" s="686" t="e">
        <f t="shared" si="6"/>
        <v>#NUM!</v>
      </c>
      <c r="BV13" s="686" t="e">
        <f t="shared" si="7"/>
        <v>#NUM!</v>
      </c>
      <c r="BW13" s="99"/>
      <c r="BX13" s="426"/>
      <c r="BY13" s="426"/>
      <c r="BZ13" s="714"/>
      <c r="CA13" s="714"/>
      <c r="CB13" s="714"/>
      <c r="CC13" s="155" t="s">
        <v>147</v>
      </c>
      <c r="CD13" s="306">
        <v>41270</v>
      </c>
      <c r="CE13" s="251" t="s">
        <v>126</v>
      </c>
      <c r="CF13" s="156">
        <v>9461576.1300000008</v>
      </c>
      <c r="CG13" s="588">
        <f t="shared" si="54"/>
        <v>41817</v>
      </c>
      <c r="CH13" s="408">
        <f t="shared" ref="CH13:CH38" si="56">DATE(YEAR(CD13),MONTH(CD13)+24,DAY(CD13))</f>
        <v>42000</v>
      </c>
      <c r="CI13" s="344">
        <v>41549</v>
      </c>
      <c r="CJ13" s="251">
        <v>42138</v>
      </c>
      <c r="CK13" s="603">
        <f>(EU13-CJ13)/30</f>
        <v>-6.1</v>
      </c>
      <c r="CL13" s="123"/>
      <c r="CM13" s="123"/>
      <c r="CN13" s="123"/>
      <c r="CO13" s="529" t="str">
        <f t="shared" si="8"/>
        <v>0</v>
      </c>
      <c r="CP13" s="123"/>
      <c r="CQ13" s="123"/>
      <c r="CR13" s="529" t="str">
        <f t="shared" si="9"/>
        <v>0</v>
      </c>
      <c r="CS13" s="123"/>
      <c r="CT13" s="123"/>
      <c r="CU13" s="529" t="str">
        <f t="shared" si="10"/>
        <v>0</v>
      </c>
      <c r="CV13" s="123"/>
      <c r="CW13" s="123"/>
      <c r="CX13" s="529" t="str">
        <f t="shared" si="11"/>
        <v>0</v>
      </c>
      <c r="CY13" s="126"/>
      <c r="CZ13" s="575"/>
      <c r="DA13" s="529" t="str">
        <f t="shared" si="12"/>
        <v>0</v>
      </c>
      <c r="DB13" s="459"/>
      <c r="DC13" s="233"/>
      <c r="DD13" s="123"/>
      <c r="DE13" s="233"/>
      <c r="DF13" s="529" t="str">
        <f t="shared" si="13"/>
        <v>0</v>
      </c>
      <c r="DG13" s="123"/>
      <c r="DH13" s="353">
        <v>41295</v>
      </c>
      <c r="DI13" s="345">
        <v>2013</v>
      </c>
      <c r="DJ13" s="447">
        <f t="shared" si="14"/>
        <v>5.0333333333333332</v>
      </c>
      <c r="DK13" s="529" t="str">
        <f t="shared" si="15"/>
        <v>0</v>
      </c>
      <c r="DL13" s="117">
        <v>19</v>
      </c>
      <c r="DM13" s="117">
        <f t="shared" si="16"/>
        <v>20</v>
      </c>
      <c r="DN13" s="316"/>
      <c r="DO13" s="315"/>
      <c r="DP13" s="701" t="str">
        <f t="shared" si="17"/>
        <v>0</v>
      </c>
      <c r="DQ13" s="720"/>
      <c r="DR13" s="622"/>
      <c r="DS13" s="623" t="str">
        <f t="shared" si="18"/>
        <v>0</v>
      </c>
      <c r="DT13" s="255"/>
      <c r="DU13" s="316"/>
      <c r="DV13" s="701" t="str">
        <f t="shared" si="19"/>
        <v>0</v>
      </c>
      <c r="DW13" s="316"/>
      <c r="DX13" s="316"/>
      <c r="DY13" s="701" t="str">
        <f t="shared" si="20"/>
        <v>0</v>
      </c>
      <c r="DZ13" s="316"/>
      <c r="EA13" s="316"/>
      <c r="EB13" s="701" t="str">
        <f t="shared" si="21"/>
        <v>0</v>
      </c>
      <c r="EC13" s="316"/>
      <c r="ED13" s="316"/>
      <c r="EE13" s="701" t="str">
        <f t="shared" si="22"/>
        <v>0</v>
      </c>
      <c r="EF13" s="316"/>
      <c r="EG13" s="316"/>
      <c r="EH13" s="701" t="str">
        <f t="shared" si="23"/>
        <v>0</v>
      </c>
      <c r="EI13" s="316"/>
      <c r="EJ13" s="316"/>
      <c r="EK13" s="316"/>
      <c r="EL13" s="461">
        <f t="shared" si="24"/>
        <v>41872</v>
      </c>
      <c r="EM13" s="353">
        <v>41927</v>
      </c>
      <c r="EN13" s="729">
        <f t="shared" si="25"/>
        <v>1.8333333333333333</v>
      </c>
      <c r="EO13" s="461"/>
      <c r="EP13" s="116">
        <v>41935</v>
      </c>
      <c r="EQ13" s="116" t="s">
        <v>126</v>
      </c>
      <c r="ER13" s="116">
        <v>41955</v>
      </c>
      <c r="ES13" s="461"/>
      <c r="ET13" s="461">
        <f t="shared" si="26"/>
        <v>41903</v>
      </c>
      <c r="EU13" s="355">
        <v>41955</v>
      </c>
      <c r="EV13" s="596">
        <v>2014</v>
      </c>
      <c r="EW13" s="724">
        <f t="shared" si="27"/>
        <v>1.7333333333333334</v>
      </c>
      <c r="EX13" s="716">
        <f>403704.659129873/12</f>
        <v>33642.054927489415</v>
      </c>
      <c r="EY13" s="233">
        <f t="shared" si="28"/>
        <v>58312.895207648318</v>
      </c>
      <c r="EZ13" s="116"/>
      <c r="FA13" s="558"/>
      <c r="FB13" s="710">
        <f t="shared" si="29"/>
        <v>0</v>
      </c>
      <c r="FC13" s="562"/>
      <c r="FD13" s="562"/>
      <c r="FE13" s="562"/>
      <c r="FF13" s="562"/>
      <c r="FG13" s="559"/>
      <c r="FH13" s="571"/>
      <c r="FI13" s="559"/>
      <c r="FJ13" s="559"/>
      <c r="FK13" s="123"/>
      <c r="FL13" s="123"/>
      <c r="FM13" s="123"/>
      <c r="FN13" s="123"/>
      <c r="FO13" s="122"/>
      <c r="FP13" s="194">
        <v>42250</v>
      </c>
      <c r="FQ13" s="316">
        <f>DATE(YEAR(EM13)+1,MONTH(EM13),DAY(EM13))</f>
        <v>42292</v>
      </c>
      <c r="FR13" s="695">
        <v>90420</v>
      </c>
      <c r="FS13" s="194">
        <v>41968</v>
      </c>
      <c r="FT13" s="123">
        <v>41969</v>
      </c>
      <c r="FU13" s="123" t="s">
        <v>126</v>
      </c>
      <c r="FV13" s="123">
        <v>42306</v>
      </c>
      <c r="FW13" s="123"/>
      <c r="FX13" s="122"/>
      <c r="FY13" s="194" t="s">
        <v>126</v>
      </c>
      <c r="FZ13" s="114">
        <v>42475</v>
      </c>
      <c r="GA13" s="114"/>
      <c r="GB13" s="114"/>
      <c r="GC13" s="114"/>
      <c r="GD13" s="123">
        <v>42219</v>
      </c>
      <c r="GE13" s="123"/>
      <c r="GF13" s="154"/>
      <c r="GG13" s="582"/>
      <c r="GH13" s="8">
        <v>9756378.3699999992</v>
      </c>
      <c r="GI13" s="430">
        <f>GS13+GX13+HE13+HX13+HC13+HI13</f>
        <v>9756378.3699999992</v>
      </c>
      <c r="GJ13" s="10">
        <f t="shared" si="31"/>
        <v>0</v>
      </c>
      <c r="GK13" s="46">
        <f t="shared" si="32"/>
        <v>2132.327322280164</v>
      </c>
      <c r="GL13" s="46">
        <f t="shared" si="33"/>
        <v>116147.36154761903</v>
      </c>
      <c r="GM13" s="8">
        <v>8749715</v>
      </c>
      <c r="GN13" s="9"/>
      <c r="GO13" s="10">
        <f t="shared" si="34"/>
        <v>-8749715</v>
      </c>
      <c r="GP13" s="128">
        <f t="shared" si="35"/>
        <v>0.91565319386029509</v>
      </c>
      <c r="GQ13" s="129"/>
      <c r="GR13" s="8">
        <v>3263643</v>
      </c>
      <c r="GS13" s="9">
        <v>3263643</v>
      </c>
      <c r="GT13" s="64"/>
      <c r="GU13" s="19">
        <f t="shared" si="36"/>
        <v>38852.892857142855</v>
      </c>
      <c r="GV13" s="33">
        <f t="shared" si="37"/>
        <v>0</v>
      </c>
      <c r="GW13" s="8">
        <v>6429606.3699999992</v>
      </c>
      <c r="GX13" s="9">
        <f t="shared" si="38"/>
        <v>6429606.3699999992</v>
      </c>
      <c r="GY13" s="11">
        <v>1639468.02</v>
      </c>
      <c r="GZ13" s="11">
        <v>4790138.3499999996</v>
      </c>
      <c r="HA13" s="33">
        <f t="shared" si="39"/>
        <v>0</v>
      </c>
      <c r="HB13" s="640">
        <f t="shared" si="40"/>
        <v>76542.932976190466</v>
      </c>
      <c r="HC13" s="9">
        <v>0</v>
      </c>
      <c r="HD13" s="8">
        <v>1</v>
      </c>
      <c r="HE13" s="13">
        <v>1</v>
      </c>
      <c r="HF13" s="63"/>
      <c r="HG13" s="36">
        <f t="shared" si="41"/>
        <v>1.0249704983510188E-7</v>
      </c>
      <c r="HH13" s="302"/>
      <c r="HI13" s="13">
        <v>63128</v>
      </c>
      <c r="HJ13" s="20">
        <f>HE13-HD13</f>
        <v>0</v>
      </c>
      <c r="HK13" s="19">
        <f t="shared" si="42"/>
        <v>1.1904761904761904E-2</v>
      </c>
      <c r="HL13" s="46">
        <f t="shared" si="43"/>
        <v>38852.904761904763</v>
      </c>
      <c r="HM13" s="20">
        <f t="shared" si="44"/>
        <v>0</v>
      </c>
      <c r="HN13" s="45"/>
      <c r="HO13" s="45"/>
      <c r="HP13" s="35">
        <v>0</v>
      </c>
      <c r="HQ13" s="35">
        <v>0</v>
      </c>
      <c r="HR13" s="19">
        <f t="shared" si="45"/>
        <v>38852.904761904763</v>
      </c>
      <c r="HS13" s="35">
        <v>0</v>
      </c>
      <c r="HT13" s="19">
        <f t="shared" si="46"/>
        <v>38852.904761904763</v>
      </c>
      <c r="HU13" s="47">
        <f t="shared" si="47"/>
        <v>0.33451388171203122</v>
      </c>
      <c r="HV13" s="35"/>
      <c r="HW13" s="35"/>
      <c r="HX13" s="9">
        <v>0</v>
      </c>
      <c r="HY13" s="37">
        <f t="shared" si="48"/>
        <v>9756378.3699999992</v>
      </c>
      <c r="HZ13" s="233"/>
      <c r="IA13" s="233">
        <f t="shared" si="49"/>
        <v>0</v>
      </c>
      <c r="IB13" s="114"/>
      <c r="IC13" s="233"/>
      <c r="ID13" s="233"/>
      <c r="IE13" s="114"/>
      <c r="IF13" s="114"/>
      <c r="IG13" s="233"/>
      <c r="IH13" s="114"/>
      <c r="II13" s="233"/>
      <c r="IJ13" s="114"/>
      <c r="IK13" s="233"/>
      <c r="IL13" s="115"/>
      <c r="IM13" s="322"/>
      <c r="IN13" s="314"/>
      <c r="IO13" s="314"/>
      <c r="IP13" s="123"/>
      <c r="IQ13" s="233"/>
      <c r="IR13" s="123"/>
      <c r="IS13" s="233"/>
      <c r="IT13" s="323"/>
      <c r="IU13" s="323"/>
      <c r="IV13" s="323"/>
      <c r="IW13" s="323"/>
      <c r="IX13" s="268"/>
      <c r="IY13" s="268"/>
      <c r="IZ13" s="268"/>
      <c r="JA13" s="268"/>
      <c r="JB13" s="268"/>
      <c r="JC13" s="268"/>
      <c r="JD13" s="233"/>
      <c r="JE13" s="123"/>
      <c r="JF13" s="115"/>
      <c r="JG13" s="123"/>
      <c r="JH13" s="123"/>
      <c r="JI13" s="115"/>
    </row>
    <row r="14" spans="1:269" ht="15" customHeight="1">
      <c r="A14" s="80" t="s">
        <v>404</v>
      </c>
      <c r="B14" s="5" t="s">
        <v>35</v>
      </c>
      <c r="C14" s="5" t="s">
        <v>110</v>
      </c>
      <c r="D14" s="5">
        <v>2012</v>
      </c>
      <c r="E14" s="5" t="s">
        <v>82</v>
      </c>
      <c r="F14" s="5" t="s">
        <v>30</v>
      </c>
      <c r="G14" s="5" t="s">
        <v>663</v>
      </c>
      <c r="H14" s="5" t="s">
        <v>248</v>
      </c>
      <c r="I14" s="50" t="s">
        <v>345</v>
      </c>
      <c r="J14" s="50"/>
      <c r="K14" s="256"/>
      <c r="L14" s="153"/>
      <c r="M14" s="153"/>
      <c r="N14" s="153"/>
      <c r="O14" s="207">
        <v>8821</v>
      </c>
      <c r="P14" s="207">
        <v>530000</v>
      </c>
      <c r="Q14" s="207">
        <v>289110</v>
      </c>
      <c r="R14" s="207">
        <f>P14/AD14</f>
        <v>13250</v>
      </c>
      <c r="S14" s="207">
        <f t="shared" si="51"/>
        <v>60.083890715338399</v>
      </c>
      <c r="T14" s="207">
        <f t="shared" si="52"/>
        <v>32.775195556059401</v>
      </c>
      <c r="U14" s="207">
        <f>Q14/AL14</f>
        <v>111.55441514093337</v>
      </c>
      <c r="V14" s="207">
        <f>Q14/AD14</f>
        <v>7227.75</v>
      </c>
      <c r="W14" s="207">
        <f>O14/AD14</f>
        <v>220.52500000000001</v>
      </c>
      <c r="X14" s="207"/>
      <c r="Y14" s="209">
        <f>AL14/O14</f>
        <v>0.29380455730642785</v>
      </c>
      <c r="Z14" s="208" t="s">
        <v>203</v>
      </c>
      <c r="AA14" s="210"/>
      <c r="AB14" s="211"/>
      <c r="AC14" s="5" t="s">
        <v>16</v>
      </c>
      <c r="AD14" s="318">
        <f t="shared" si="0"/>
        <v>40</v>
      </c>
      <c r="AE14" s="6"/>
      <c r="AF14" s="5">
        <v>40</v>
      </c>
      <c r="AG14" s="50"/>
      <c r="AH14" s="50"/>
      <c r="AI14" s="54"/>
      <c r="AJ14" s="7">
        <v>2591.65</v>
      </c>
      <c r="AK14" s="54"/>
      <c r="AL14" s="79">
        <v>2591.65</v>
      </c>
      <c r="AM14" s="7">
        <f t="shared" si="1"/>
        <v>64.791250000000005</v>
      </c>
      <c r="AN14" s="75">
        <f>4/AD14</f>
        <v>0.1</v>
      </c>
      <c r="AO14" s="75">
        <f>12/AD14</f>
        <v>0.3</v>
      </c>
      <c r="AP14" s="75">
        <f>13/AD14</f>
        <v>0.32500000000000001</v>
      </c>
      <c r="AQ14" s="75">
        <f>9/AD14</f>
        <v>0.22500000000000001</v>
      </c>
      <c r="AR14" s="75">
        <f>2/AD14</f>
        <v>0.05</v>
      </c>
      <c r="AS14" s="420">
        <v>1150</v>
      </c>
      <c r="AT14" s="626"/>
      <c r="AU14" s="76">
        <f t="shared" si="53"/>
        <v>0</v>
      </c>
      <c r="AV14" s="55">
        <v>2.5</v>
      </c>
      <c r="AW14" s="53" t="s">
        <v>561</v>
      </c>
      <c r="AX14" s="7" t="s">
        <v>119</v>
      </c>
      <c r="AY14" s="785"/>
      <c r="AZ14" s="54"/>
      <c r="BA14" s="50"/>
      <c r="BB14" s="184">
        <v>40963</v>
      </c>
      <c r="BC14" s="422" t="s">
        <v>12</v>
      </c>
      <c r="BD14" s="422" t="s">
        <v>228</v>
      </c>
      <c r="BE14" s="1"/>
      <c r="BF14" s="204">
        <v>41094</v>
      </c>
      <c r="BG14" s="96"/>
      <c r="BH14" s="96"/>
      <c r="BI14" s="204">
        <v>41134</v>
      </c>
      <c r="BJ14" s="96"/>
      <c r="BK14" s="426"/>
      <c r="BL14" s="201"/>
      <c r="BM14" s="99"/>
      <c r="BN14" s="99"/>
      <c r="BO14" s="297">
        <v>41319</v>
      </c>
      <c r="BP14" s="297">
        <f t="shared" si="3"/>
        <v>42049</v>
      </c>
      <c r="BQ14" s="297">
        <f t="shared" si="4"/>
        <v>42414</v>
      </c>
      <c r="BR14" s="297"/>
      <c r="BS14" s="297" t="str">
        <f t="shared" si="55"/>
        <v>oui</v>
      </c>
      <c r="BT14" s="686">
        <f t="shared" si="5"/>
        <v>8</v>
      </c>
      <c r="BU14" s="686">
        <f t="shared" si="6"/>
        <v>114909.510455786</v>
      </c>
      <c r="BV14" s="686">
        <f t="shared" si="7"/>
        <v>0</v>
      </c>
      <c r="BW14" s="99"/>
      <c r="BX14" s="426"/>
      <c r="BY14" s="99"/>
      <c r="BZ14" s="112"/>
      <c r="CA14" s="112"/>
      <c r="CB14" s="112"/>
      <c r="CC14" s="155" t="s">
        <v>147</v>
      </c>
      <c r="CD14" s="306">
        <v>41261</v>
      </c>
      <c r="CE14" s="251"/>
      <c r="CF14" s="156"/>
      <c r="CG14" s="588">
        <f t="shared" si="54"/>
        <v>41808</v>
      </c>
      <c r="CH14" s="408">
        <f t="shared" si="56"/>
        <v>41991</v>
      </c>
      <c r="CI14" s="344">
        <v>41570</v>
      </c>
      <c r="CJ14" s="251">
        <v>41988</v>
      </c>
      <c r="CK14" s="603">
        <f>(EU14-CJ14)/30</f>
        <v>5.4333333333333336</v>
      </c>
      <c r="CL14" s="123"/>
      <c r="CM14" s="123"/>
      <c r="CN14" s="123"/>
      <c r="CO14" s="529" t="str">
        <f t="shared" si="8"/>
        <v>0</v>
      </c>
      <c r="CP14" s="123"/>
      <c r="CQ14" s="123"/>
      <c r="CR14" s="529" t="str">
        <f t="shared" si="9"/>
        <v>0</v>
      </c>
      <c r="CS14" s="123"/>
      <c r="CT14" s="123"/>
      <c r="CU14" s="529" t="str">
        <f t="shared" si="10"/>
        <v>0</v>
      </c>
      <c r="CV14" s="123"/>
      <c r="CW14" s="123"/>
      <c r="CX14" s="529" t="str">
        <f t="shared" si="11"/>
        <v>0</v>
      </c>
      <c r="CY14" s="126"/>
      <c r="CZ14" s="575"/>
      <c r="DA14" s="529" t="str">
        <f t="shared" si="12"/>
        <v>0</v>
      </c>
      <c r="DB14" s="459"/>
      <c r="DC14" s="233"/>
      <c r="DD14" s="539"/>
      <c r="DE14" s="534"/>
      <c r="DF14" s="535" t="str">
        <f t="shared" si="13"/>
        <v>0</v>
      </c>
      <c r="DG14" s="539"/>
      <c r="DH14" s="351">
        <v>41309</v>
      </c>
      <c r="DI14" s="345">
        <v>2013</v>
      </c>
      <c r="DJ14" s="447">
        <f t="shared" si="14"/>
        <v>7.166666666666667</v>
      </c>
      <c r="DK14" s="535" t="str">
        <f t="shared" si="15"/>
        <v>0</v>
      </c>
      <c r="DL14" s="117">
        <v>15</v>
      </c>
      <c r="DM14" s="117">
        <f t="shared" si="16"/>
        <v>26</v>
      </c>
      <c r="DN14" s="316"/>
      <c r="DO14" s="315"/>
      <c r="DP14" s="701" t="str">
        <f t="shared" si="17"/>
        <v>0</v>
      </c>
      <c r="DQ14" s="720"/>
      <c r="DR14" s="622"/>
      <c r="DS14" s="623" t="str">
        <f t="shared" si="18"/>
        <v>0</v>
      </c>
      <c r="DT14" s="255"/>
      <c r="DU14" s="316"/>
      <c r="DV14" s="701" t="str">
        <f t="shared" si="19"/>
        <v>0</v>
      </c>
      <c r="DW14" s="315"/>
      <c r="DX14" s="316"/>
      <c r="DY14" s="701" t="str">
        <f t="shared" si="20"/>
        <v>0</v>
      </c>
      <c r="DZ14" s="323"/>
      <c r="EA14" s="323"/>
      <c r="EB14" s="701" t="str">
        <f t="shared" si="21"/>
        <v>0</v>
      </c>
      <c r="EC14" s="323"/>
      <c r="ED14" s="316"/>
      <c r="EE14" s="701" t="str">
        <f t="shared" si="22"/>
        <v>0</v>
      </c>
      <c r="EF14" s="316"/>
      <c r="EG14" s="316"/>
      <c r="EH14" s="701" t="str">
        <f t="shared" si="23"/>
        <v>0</v>
      </c>
      <c r="EI14" s="324"/>
      <c r="EJ14" s="324"/>
      <c r="EK14" s="324"/>
      <c r="EL14" s="461">
        <f t="shared" si="24"/>
        <v>41763</v>
      </c>
      <c r="EM14" s="353">
        <v>42111</v>
      </c>
      <c r="EN14" s="729">
        <f t="shared" si="25"/>
        <v>11.6</v>
      </c>
      <c r="EO14" s="461"/>
      <c r="EP14" s="185">
        <v>42202</v>
      </c>
      <c r="EQ14" s="116" t="s">
        <v>126</v>
      </c>
      <c r="ER14" s="116">
        <v>42151</v>
      </c>
      <c r="ES14" s="461"/>
      <c r="ET14" s="461">
        <f t="shared" si="26"/>
        <v>41794</v>
      </c>
      <c r="EU14" s="355">
        <v>42151</v>
      </c>
      <c r="EV14" s="462">
        <v>2015</v>
      </c>
      <c r="EW14" s="724">
        <f t="shared" si="27"/>
        <v>11.9</v>
      </c>
      <c r="EX14" s="716">
        <f>172364.265683679/12</f>
        <v>14363.68880697325</v>
      </c>
      <c r="EY14" s="233">
        <f t="shared" si="28"/>
        <v>170927.89680298168</v>
      </c>
      <c r="EZ14" s="116"/>
      <c r="FA14" s="558"/>
      <c r="FB14" s="710">
        <f t="shared" si="29"/>
        <v>51532.92</v>
      </c>
      <c r="FC14" s="562"/>
      <c r="FD14" s="562"/>
      <c r="FE14" s="562"/>
      <c r="FF14" s="562"/>
      <c r="FG14" s="559"/>
      <c r="FH14" s="571" t="s">
        <v>744</v>
      </c>
      <c r="FI14" s="559"/>
      <c r="FJ14" s="559"/>
      <c r="FK14" s="123" t="s">
        <v>126</v>
      </c>
      <c r="FL14" s="123"/>
      <c r="FM14" s="123" t="s">
        <v>126</v>
      </c>
      <c r="FN14" s="123" t="s">
        <v>126</v>
      </c>
      <c r="FO14" s="194">
        <v>42628</v>
      </c>
      <c r="FP14" s="194">
        <v>42831</v>
      </c>
      <c r="FQ14" s="316">
        <f>DATE(YEAR(EM14)+1,MONTH(EM14),DAY(EM14))</f>
        <v>42477</v>
      </c>
      <c r="FR14" s="692">
        <v>45341</v>
      </c>
      <c r="FS14" s="194">
        <v>42170</v>
      </c>
      <c r="FT14" s="235" t="s">
        <v>370</v>
      </c>
      <c r="FU14" s="194">
        <v>42647</v>
      </c>
      <c r="FV14" s="122"/>
      <c r="FW14" s="123">
        <v>42079</v>
      </c>
      <c r="FX14" s="122"/>
      <c r="FY14" s="194">
        <v>42426</v>
      </c>
      <c r="FZ14" s="114">
        <v>42797</v>
      </c>
      <c r="GA14" s="114"/>
      <c r="GB14" s="122"/>
      <c r="GC14" s="122"/>
      <c r="GD14" s="194">
        <v>42978</v>
      </c>
      <c r="GE14" s="122"/>
      <c r="GF14" s="154"/>
      <c r="GG14" s="619">
        <v>5246631</v>
      </c>
      <c r="GH14" s="8">
        <v>5090210.4499999993</v>
      </c>
      <c r="GI14" s="430">
        <f>GS14+GX14+HE14+HX14+HC14+HI14</f>
        <v>5090210.4499999993</v>
      </c>
      <c r="GJ14" s="10">
        <f t="shared" si="31"/>
        <v>0</v>
      </c>
      <c r="GK14" s="46">
        <f t="shared" si="32"/>
        <v>1964.0809715818104</v>
      </c>
      <c r="GL14" s="46">
        <f t="shared" si="33"/>
        <v>127255.26124999998</v>
      </c>
      <c r="GM14" s="8">
        <v>4689965</v>
      </c>
      <c r="GN14" s="9"/>
      <c r="GO14" s="10">
        <f t="shared" si="34"/>
        <v>-4689965</v>
      </c>
      <c r="GP14" s="128">
        <f t="shared" si="35"/>
        <v>0.9407183282569388</v>
      </c>
      <c r="GQ14" s="129"/>
      <c r="GR14" s="8">
        <v>1480537</v>
      </c>
      <c r="GS14" s="9">
        <v>1480537</v>
      </c>
      <c r="GT14" s="64"/>
      <c r="GU14" s="19">
        <f t="shared" si="36"/>
        <v>37013.425000000003</v>
      </c>
      <c r="GV14" s="33">
        <f t="shared" si="37"/>
        <v>0</v>
      </c>
      <c r="GW14" s="8">
        <v>2895140.53</v>
      </c>
      <c r="GX14" s="9">
        <f t="shared" si="38"/>
        <v>2895140.53</v>
      </c>
      <c r="GY14" s="11">
        <v>565518</v>
      </c>
      <c r="GZ14" s="11">
        <v>2329622.5299999998</v>
      </c>
      <c r="HA14" s="33">
        <f t="shared" si="39"/>
        <v>0</v>
      </c>
      <c r="HB14" s="640">
        <f t="shared" si="40"/>
        <v>72378.513249999989</v>
      </c>
      <c r="HC14" s="9">
        <v>0</v>
      </c>
      <c r="HD14" s="8">
        <v>663000</v>
      </c>
      <c r="HE14" s="13">
        <v>663000</v>
      </c>
      <c r="HF14" s="63"/>
      <c r="HG14" s="36">
        <f t="shared" si="41"/>
        <v>0.13025001746244108</v>
      </c>
      <c r="HH14" s="302"/>
      <c r="HI14" s="13">
        <v>0</v>
      </c>
      <c r="HJ14" s="20">
        <f>HE14-HD14</f>
        <v>0</v>
      </c>
      <c r="HK14" s="19">
        <f t="shared" si="42"/>
        <v>16575</v>
      </c>
      <c r="HL14" s="46">
        <f t="shared" si="43"/>
        <v>53588.425000000003</v>
      </c>
      <c r="HM14" s="20">
        <f t="shared" si="44"/>
        <v>0</v>
      </c>
      <c r="HN14" s="45"/>
      <c r="HO14" s="45"/>
      <c r="HP14" s="35">
        <v>1151902.8490725001</v>
      </c>
      <c r="HQ14" s="35">
        <v>800000</v>
      </c>
      <c r="HR14" s="19">
        <f t="shared" si="45"/>
        <v>73588.425000000003</v>
      </c>
      <c r="HS14" s="35">
        <v>0</v>
      </c>
      <c r="HT14" s="19">
        <f t="shared" si="46"/>
        <v>73588.425000000003</v>
      </c>
      <c r="HU14" s="47">
        <f t="shared" si="47"/>
        <v>0.4949673218743304</v>
      </c>
      <c r="HV14" s="35">
        <v>295181.31</v>
      </c>
      <c r="HW14" s="435"/>
      <c r="HX14" s="436">
        <v>51532.92</v>
      </c>
      <c r="HY14" s="93">
        <f t="shared" si="48"/>
        <v>6242113.2990724994</v>
      </c>
      <c r="HZ14" s="233"/>
      <c r="IA14" s="233">
        <f t="shared" si="49"/>
        <v>0</v>
      </c>
      <c r="IB14" s="114"/>
      <c r="IC14" s="233"/>
      <c r="ID14" s="233"/>
      <c r="IE14" s="114"/>
      <c r="IF14" s="114"/>
      <c r="IG14" s="233"/>
      <c r="IH14" s="114"/>
      <c r="II14" s="233"/>
      <c r="IJ14" s="114"/>
      <c r="IK14" s="233"/>
      <c r="IL14" s="115"/>
      <c r="IM14" s="322"/>
      <c r="IN14" s="314"/>
      <c r="IO14" s="314"/>
      <c r="IP14" s="123"/>
      <c r="IQ14" s="233"/>
      <c r="IR14" s="123"/>
      <c r="IS14" s="233"/>
      <c r="IT14" s="323"/>
      <c r="IU14" s="323"/>
      <c r="IV14" s="323"/>
      <c r="IW14" s="323"/>
      <c r="IX14" s="123"/>
      <c r="IY14" s="233"/>
      <c r="IZ14" s="268"/>
      <c r="JA14" s="268"/>
      <c r="JB14" s="268"/>
      <c r="JC14" s="268"/>
      <c r="JD14" s="233"/>
      <c r="JE14" s="123"/>
      <c r="JF14" s="115"/>
      <c r="JG14" s="123"/>
      <c r="JH14" s="123"/>
      <c r="JI14" s="115"/>
    </row>
    <row r="15" spans="1:269" ht="15" customHeight="1">
      <c r="A15" s="21" t="s">
        <v>92</v>
      </c>
      <c r="B15" s="5" t="s">
        <v>35</v>
      </c>
      <c r="C15" s="5" t="s">
        <v>110</v>
      </c>
      <c r="D15" s="5">
        <v>2012</v>
      </c>
      <c r="E15" s="5" t="s">
        <v>83</v>
      </c>
      <c r="F15" s="5" t="s">
        <v>37</v>
      </c>
      <c r="G15" s="5" t="s">
        <v>177</v>
      </c>
      <c r="H15" s="5" t="s">
        <v>248</v>
      </c>
      <c r="I15" s="50"/>
      <c r="J15" s="50"/>
      <c r="K15" s="256"/>
      <c r="L15" s="153"/>
      <c r="M15" s="153"/>
      <c r="N15" s="153"/>
      <c r="O15" s="207">
        <v>3735</v>
      </c>
      <c r="P15" s="207">
        <f>Q15</f>
        <v>860000</v>
      </c>
      <c r="Q15" s="207">
        <v>860000</v>
      </c>
      <c r="R15" s="207">
        <f>P15/(AD15+AD114)</f>
        <v>217.66641356618578</v>
      </c>
      <c r="S15" s="207">
        <f t="shared" si="51"/>
        <v>230.25435073627844</v>
      </c>
      <c r="T15" s="207">
        <f t="shared" si="52"/>
        <v>230.25435073627844</v>
      </c>
      <c r="U15" s="207">
        <f>Q15/(AL15+AL114)</f>
        <v>359.81005376231616</v>
      </c>
      <c r="V15" s="207">
        <f>Q15/(AD15+AD114)</f>
        <v>217.66641356618578</v>
      </c>
      <c r="W15" s="207">
        <f>O15/(AD15+AD114)</f>
        <v>0.9453302961275627</v>
      </c>
      <c r="X15" s="207"/>
      <c r="Y15" s="209">
        <f>(AL15+AL114)/O15</f>
        <v>0.63993306559571628</v>
      </c>
      <c r="Z15" s="208" t="s">
        <v>191</v>
      </c>
      <c r="AA15" s="210"/>
      <c r="AB15" s="211"/>
      <c r="AC15" s="5" t="s">
        <v>15</v>
      </c>
      <c r="AD15" s="318">
        <f t="shared" si="0"/>
        <v>29</v>
      </c>
      <c r="AE15" s="5">
        <v>29</v>
      </c>
      <c r="AF15" s="6"/>
      <c r="AG15" s="61"/>
      <c r="AH15" s="61"/>
      <c r="AI15" s="54"/>
      <c r="AJ15" s="7">
        <v>2390.15</v>
      </c>
      <c r="AK15" s="54"/>
      <c r="AL15" s="79">
        <v>2390.15</v>
      </c>
      <c r="AM15" s="7">
        <f t="shared" si="1"/>
        <v>82.418965517241389</v>
      </c>
      <c r="AN15" s="56"/>
      <c r="AO15" s="56"/>
      <c r="AP15" s="56"/>
      <c r="AQ15" s="56"/>
      <c r="AR15" s="56"/>
      <c r="AS15" s="7">
        <v>1046</v>
      </c>
      <c r="AT15" s="73">
        <v>0</v>
      </c>
      <c r="AU15" s="75">
        <f t="shared" si="53"/>
        <v>0</v>
      </c>
      <c r="AV15" s="54">
        <v>4</v>
      </c>
      <c r="AW15" s="53" t="s">
        <v>561</v>
      </c>
      <c r="AX15" s="7" t="s">
        <v>118</v>
      </c>
      <c r="AY15" s="785"/>
      <c r="AZ15" s="54"/>
      <c r="BA15" s="50"/>
      <c r="BB15" s="184">
        <v>40963</v>
      </c>
      <c r="BC15" s="422" t="s">
        <v>12</v>
      </c>
      <c r="BD15" s="422" t="s">
        <v>231</v>
      </c>
      <c r="BE15" s="1"/>
      <c r="BF15" s="204">
        <v>41053</v>
      </c>
      <c r="BG15" s="96"/>
      <c r="BH15" s="96"/>
      <c r="BI15" s="204">
        <v>41193</v>
      </c>
      <c r="BJ15" s="96"/>
      <c r="BK15" s="426"/>
      <c r="BL15" s="201"/>
      <c r="BM15" s="99"/>
      <c r="BN15" s="99"/>
      <c r="BO15" s="297">
        <v>41319</v>
      </c>
      <c r="BP15" s="297">
        <f t="shared" si="3"/>
        <v>42049</v>
      </c>
      <c r="BQ15" s="297">
        <f t="shared" si="4"/>
        <v>42414</v>
      </c>
      <c r="BR15" s="297"/>
      <c r="BS15" s="297" t="str">
        <f t="shared" si="55"/>
        <v>oui</v>
      </c>
      <c r="BT15" s="686">
        <f t="shared" si="5"/>
        <v>8</v>
      </c>
      <c r="BU15" s="686">
        <f t="shared" si="6"/>
        <v>123231.77509643867</v>
      </c>
      <c r="BV15" s="686">
        <f t="shared" si="7"/>
        <v>0</v>
      </c>
      <c r="BW15" s="99"/>
      <c r="BX15" s="426"/>
      <c r="BY15" s="426"/>
      <c r="BZ15" s="714"/>
      <c r="CA15" s="112"/>
      <c r="CB15" s="714"/>
      <c r="CC15" s="155" t="s">
        <v>136</v>
      </c>
      <c r="CD15" s="306">
        <v>41261</v>
      </c>
      <c r="CE15" s="251"/>
      <c r="CF15" s="156">
        <v>6314520.7599999998</v>
      </c>
      <c r="CG15" s="588">
        <f t="shared" si="54"/>
        <v>41808</v>
      </c>
      <c r="CH15" s="408">
        <f t="shared" si="56"/>
        <v>41991</v>
      </c>
      <c r="CI15" s="344">
        <v>41470</v>
      </c>
      <c r="CJ15" s="251">
        <v>42170</v>
      </c>
      <c r="CK15" s="603">
        <f>(EU15-CJ15)/30</f>
        <v>-0.4</v>
      </c>
      <c r="CL15" s="123"/>
      <c r="CM15" s="123"/>
      <c r="CN15" s="123"/>
      <c r="CO15" s="529" t="str">
        <f t="shared" si="8"/>
        <v>0</v>
      </c>
      <c r="CP15" s="123"/>
      <c r="CQ15" s="123"/>
      <c r="CR15" s="529" t="str">
        <f t="shared" si="9"/>
        <v>0</v>
      </c>
      <c r="CS15" s="123"/>
      <c r="CT15" s="123"/>
      <c r="CU15" s="529" t="str">
        <f t="shared" si="10"/>
        <v>0</v>
      </c>
      <c r="CV15" s="123"/>
      <c r="CW15" s="123"/>
      <c r="CX15" s="529" t="str">
        <f t="shared" si="11"/>
        <v>0</v>
      </c>
      <c r="CY15" s="126"/>
      <c r="CZ15" s="575"/>
      <c r="DA15" s="529" t="str">
        <f t="shared" si="12"/>
        <v>0</v>
      </c>
      <c r="DB15" s="459"/>
      <c r="DC15" s="233"/>
      <c r="DD15" s="539"/>
      <c r="DE15" s="534"/>
      <c r="DF15" s="535" t="str">
        <f t="shared" si="13"/>
        <v>0</v>
      </c>
      <c r="DG15" s="539"/>
      <c r="DH15" s="351">
        <v>41309</v>
      </c>
      <c r="DI15" s="345">
        <v>2013</v>
      </c>
      <c r="DJ15" s="447">
        <f t="shared" si="14"/>
        <v>8.5333333333333332</v>
      </c>
      <c r="DK15" s="535" t="str">
        <f t="shared" si="15"/>
        <v>0</v>
      </c>
      <c r="DL15" s="117">
        <v>15</v>
      </c>
      <c r="DM15" s="117">
        <f t="shared" si="16"/>
        <v>27</v>
      </c>
      <c r="DN15" s="316"/>
      <c r="DO15" s="315"/>
      <c r="DP15" s="701" t="str">
        <f t="shared" si="17"/>
        <v>0</v>
      </c>
      <c r="DQ15" s="720"/>
      <c r="DR15" s="622"/>
      <c r="DS15" s="623" t="str">
        <f t="shared" si="18"/>
        <v>0</v>
      </c>
      <c r="DT15" s="255"/>
      <c r="DU15" s="316"/>
      <c r="DV15" s="701" t="str">
        <f t="shared" si="19"/>
        <v>0</v>
      </c>
      <c r="DW15" s="316"/>
      <c r="DX15" s="316"/>
      <c r="DY15" s="701" t="str">
        <f t="shared" si="20"/>
        <v>0</v>
      </c>
      <c r="DZ15" s="316"/>
      <c r="EA15" s="316"/>
      <c r="EB15" s="701" t="str">
        <f t="shared" si="21"/>
        <v>0</v>
      </c>
      <c r="EC15" s="316"/>
      <c r="ED15" s="316"/>
      <c r="EE15" s="701" t="str">
        <f t="shared" si="22"/>
        <v>0</v>
      </c>
      <c r="EF15" s="316"/>
      <c r="EG15" s="316"/>
      <c r="EH15" s="701" t="str">
        <f t="shared" si="23"/>
        <v>0</v>
      </c>
      <c r="EI15" s="316"/>
      <c r="EJ15" s="316"/>
      <c r="EK15" s="316"/>
      <c r="EL15" s="461">
        <f t="shared" si="24"/>
        <v>41763</v>
      </c>
      <c r="EM15" s="353">
        <v>42158</v>
      </c>
      <c r="EN15" s="729">
        <f t="shared" si="25"/>
        <v>13.166666666666666</v>
      </c>
      <c r="EO15" s="461"/>
      <c r="EP15" s="116">
        <v>41992</v>
      </c>
      <c r="EQ15" s="116" t="s">
        <v>126</v>
      </c>
      <c r="ER15" s="116">
        <v>42158</v>
      </c>
      <c r="ES15" s="461"/>
      <c r="ET15" s="461">
        <f t="shared" si="26"/>
        <v>41794</v>
      </c>
      <c r="EU15" s="355">
        <v>42158</v>
      </c>
      <c r="EV15" s="462">
        <v>2015</v>
      </c>
      <c r="EW15" s="724">
        <f t="shared" si="27"/>
        <v>12.133333333333333</v>
      </c>
      <c r="EX15" s="716">
        <f>184847.662644658/12</f>
        <v>15403.971887054833</v>
      </c>
      <c r="EY15" s="233">
        <f t="shared" si="28"/>
        <v>186901.52556293196</v>
      </c>
      <c r="EZ15" s="116"/>
      <c r="FA15" s="558"/>
      <c r="FB15" s="710">
        <f t="shared" si="29"/>
        <v>20258</v>
      </c>
      <c r="FC15" s="562"/>
      <c r="FD15" s="562"/>
      <c r="FE15" s="562"/>
      <c r="FF15" s="562"/>
      <c r="FG15" s="559"/>
      <c r="FH15" s="571"/>
      <c r="FI15" s="559"/>
      <c r="FJ15" s="559"/>
      <c r="FK15" s="123"/>
      <c r="FL15" s="123"/>
      <c r="FM15" s="122"/>
      <c r="FN15" s="122"/>
      <c r="FO15" s="122"/>
      <c r="FP15" s="263" t="s">
        <v>313</v>
      </c>
      <c r="FQ15" s="316">
        <f>DATE(YEAR(EM15)+1,MONTH(EM15),DAY(EM15))</f>
        <v>42524</v>
      </c>
      <c r="FR15" s="692">
        <v>10000</v>
      </c>
      <c r="FS15" s="235" t="s">
        <v>294</v>
      </c>
      <c r="FT15" s="194">
        <v>42353</v>
      </c>
      <c r="FU15" s="122"/>
      <c r="FV15" s="122"/>
      <c r="FW15" s="659"/>
      <c r="FX15" s="122"/>
      <c r="FY15" s="122"/>
      <c r="FZ15" s="123">
        <v>43006</v>
      </c>
      <c r="GA15" s="183"/>
      <c r="GB15" s="183"/>
      <c r="GC15" s="183"/>
      <c r="GD15" s="122"/>
      <c r="GE15" s="122"/>
      <c r="GF15" s="154"/>
      <c r="GG15" s="619">
        <v>4670611</v>
      </c>
      <c r="GH15" s="8">
        <v>4807009.38</v>
      </c>
      <c r="GI15" s="430">
        <f>GS15+GX15+HE15+HX15+HC15+HI15</f>
        <v>4681218.38</v>
      </c>
      <c r="GJ15" s="10">
        <f t="shared" si="31"/>
        <v>-125791</v>
      </c>
      <c r="GK15" s="46">
        <f t="shared" si="32"/>
        <v>1958.5458569545842</v>
      </c>
      <c r="GL15" s="46">
        <f t="shared" si="33"/>
        <v>161421.32344827586</v>
      </c>
      <c r="GM15" s="8"/>
      <c r="GN15" s="9"/>
      <c r="GO15" s="10">
        <f t="shared" si="34"/>
        <v>0</v>
      </c>
      <c r="GP15" s="128">
        <f t="shared" si="35"/>
        <v>0</v>
      </c>
      <c r="GQ15" s="129"/>
      <c r="GR15" s="8">
        <v>1473759.38</v>
      </c>
      <c r="GS15" s="9">
        <v>1473759.38</v>
      </c>
      <c r="GT15" s="64"/>
      <c r="GU15" s="19">
        <f t="shared" si="36"/>
        <v>50819.28896551724</v>
      </c>
      <c r="GV15" s="33">
        <f t="shared" si="37"/>
        <v>0</v>
      </c>
      <c r="GW15" s="8">
        <v>3186090</v>
      </c>
      <c r="GX15" s="9">
        <f t="shared" si="38"/>
        <v>3186090</v>
      </c>
      <c r="GY15" s="11">
        <v>549227</v>
      </c>
      <c r="GZ15" s="11">
        <v>2636863</v>
      </c>
      <c r="HA15" s="33">
        <f t="shared" si="39"/>
        <v>0</v>
      </c>
      <c r="HB15" s="640">
        <f t="shared" si="40"/>
        <v>109865.1724137931</v>
      </c>
      <c r="HC15" s="9">
        <v>0</v>
      </c>
      <c r="HD15" s="8">
        <v>1111</v>
      </c>
      <c r="HE15" s="13">
        <v>1</v>
      </c>
      <c r="HF15" s="63"/>
      <c r="HG15" s="36">
        <f t="shared" si="41"/>
        <v>2.1361960045965641E-7</v>
      </c>
      <c r="HH15" s="302"/>
      <c r="HI15" s="13">
        <v>1110</v>
      </c>
      <c r="HJ15" s="20">
        <f>HE15-HD15+HI15</f>
        <v>0</v>
      </c>
      <c r="HK15" s="19">
        <f t="shared" si="42"/>
        <v>3.4482758620689655E-2</v>
      </c>
      <c r="HL15" s="46">
        <f t="shared" si="43"/>
        <v>50819.323448275856</v>
      </c>
      <c r="HM15" s="20">
        <f t="shared" si="44"/>
        <v>0</v>
      </c>
      <c r="HN15" s="45"/>
      <c r="HO15" s="45"/>
      <c r="HP15" s="35">
        <v>0</v>
      </c>
      <c r="HQ15" s="35">
        <v>0</v>
      </c>
      <c r="HR15" s="19">
        <f t="shared" si="45"/>
        <v>50819.323448275856</v>
      </c>
      <c r="HS15" s="35">
        <v>0</v>
      </c>
      <c r="HT15" s="19">
        <f t="shared" si="46"/>
        <v>50819.323448275856</v>
      </c>
      <c r="HU15" s="47">
        <f t="shared" si="47"/>
        <v>0.31482410354887136</v>
      </c>
      <c r="HV15" s="35"/>
      <c r="HW15" s="35"/>
      <c r="HX15" s="436">
        <v>20258</v>
      </c>
      <c r="HY15" s="37">
        <f t="shared" si="48"/>
        <v>4681218.38</v>
      </c>
      <c r="HZ15" s="233"/>
      <c r="IA15" s="233">
        <f t="shared" si="49"/>
        <v>0</v>
      </c>
      <c r="IB15" s="114"/>
      <c r="IC15" s="233"/>
      <c r="ID15" s="233"/>
      <c r="IE15" s="114"/>
      <c r="IF15" s="114"/>
      <c r="IG15" s="233"/>
      <c r="IH15" s="114"/>
      <c r="II15" s="233"/>
      <c r="IJ15" s="114"/>
      <c r="IK15" s="233"/>
      <c r="IL15" s="115"/>
      <c r="IM15" s="322"/>
      <c r="IN15" s="314"/>
      <c r="IO15" s="314"/>
      <c r="IP15" s="123"/>
      <c r="IQ15" s="233"/>
      <c r="IR15" s="123"/>
      <c r="IS15" s="233"/>
      <c r="IT15" s="323"/>
      <c r="IU15" s="323"/>
      <c r="IV15" s="323"/>
      <c r="IW15" s="323"/>
      <c r="IX15" s="268"/>
      <c r="IY15" s="268"/>
      <c r="IZ15" s="268"/>
      <c r="JA15" s="268"/>
      <c r="JB15" s="268"/>
      <c r="JC15" s="268"/>
      <c r="JD15" s="233"/>
      <c r="JE15" s="123"/>
      <c r="JF15" s="115"/>
      <c r="JG15" s="123"/>
      <c r="JH15" s="123"/>
      <c r="JI15" s="115"/>
    </row>
    <row r="16" spans="1:269" ht="15" customHeight="1">
      <c r="A16" s="21" t="s">
        <v>93</v>
      </c>
      <c r="B16" s="5" t="s">
        <v>35</v>
      </c>
      <c r="C16" s="5" t="s">
        <v>110</v>
      </c>
      <c r="D16" s="5">
        <v>2012</v>
      </c>
      <c r="E16" s="5" t="s">
        <v>83</v>
      </c>
      <c r="F16" s="5" t="s">
        <v>37</v>
      </c>
      <c r="G16" s="4"/>
      <c r="H16" s="5" t="s">
        <v>248</v>
      </c>
      <c r="I16" s="50"/>
      <c r="J16" s="50"/>
      <c r="K16" s="256"/>
      <c r="L16" s="153"/>
      <c r="M16" s="153"/>
      <c r="N16" s="153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208" t="s">
        <v>191</v>
      </c>
      <c r="AA16" s="210"/>
      <c r="AB16" s="211"/>
      <c r="AC16" s="5" t="s">
        <v>16</v>
      </c>
      <c r="AD16" s="318">
        <f t="shared" si="0"/>
        <v>13</v>
      </c>
      <c r="AE16" s="6"/>
      <c r="AF16" s="5">
        <v>13</v>
      </c>
      <c r="AG16" s="50"/>
      <c r="AH16" s="50"/>
      <c r="AI16" s="54"/>
      <c r="AJ16" s="7">
        <v>927.22</v>
      </c>
      <c r="AK16" s="54"/>
      <c r="AL16" s="79">
        <v>927.22</v>
      </c>
      <c r="AM16" s="7">
        <f t="shared" si="1"/>
        <v>71.324615384615385</v>
      </c>
      <c r="AN16" s="56"/>
      <c r="AO16" s="56"/>
      <c r="AP16" s="56"/>
      <c r="AQ16" s="56"/>
      <c r="AR16" s="56"/>
      <c r="AS16" s="6"/>
      <c r="AT16" s="182"/>
      <c r="AU16" s="107"/>
      <c r="AV16" s="61"/>
      <c r="AW16" s="53" t="s">
        <v>561</v>
      </c>
      <c r="AX16" s="7" t="s">
        <v>118</v>
      </c>
      <c r="AY16" s="785"/>
      <c r="AZ16" s="54"/>
      <c r="BA16" s="50"/>
      <c r="BB16" s="184">
        <v>40963</v>
      </c>
      <c r="BC16" s="422" t="s">
        <v>12</v>
      </c>
      <c r="BD16" s="422" t="s">
        <v>231</v>
      </c>
      <c r="BE16" s="1"/>
      <c r="BF16" s="204">
        <v>41081</v>
      </c>
      <c r="BG16" s="96"/>
      <c r="BH16" s="96"/>
      <c r="BI16" s="204">
        <v>41193</v>
      </c>
      <c r="BJ16" s="96"/>
      <c r="BK16" s="426"/>
      <c r="BL16" s="201"/>
      <c r="BM16" s="99"/>
      <c r="BN16" s="99"/>
      <c r="BO16" s="297">
        <v>41319</v>
      </c>
      <c r="BP16" s="297">
        <f t="shared" si="3"/>
        <v>42049</v>
      </c>
      <c r="BQ16" s="297">
        <f t="shared" si="4"/>
        <v>42414</v>
      </c>
      <c r="BR16" s="297"/>
      <c r="BS16" s="297" t="str">
        <f t="shared" si="55"/>
        <v>oui</v>
      </c>
      <c r="BT16" s="686">
        <f t="shared" si="5"/>
        <v>8</v>
      </c>
      <c r="BU16" s="686">
        <f t="shared" si="6"/>
        <v>36781.047877244135</v>
      </c>
      <c r="BV16" s="686">
        <f t="shared" si="7"/>
        <v>0</v>
      </c>
      <c r="BW16" s="99"/>
      <c r="BX16" s="426"/>
      <c r="BY16" s="99"/>
      <c r="BZ16" s="112"/>
      <c r="CA16" s="112"/>
      <c r="CB16" s="112"/>
      <c r="CC16" s="155"/>
      <c r="CD16" s="306">
        <v>41261</v>
      </c>
      <c r="CE16" s="251"/>
      <c r="CF16" s="156">
        <v>6314520.7599999998</v>
      </c>
      <c r="CG16" s="588">
        <f t="shared" si="54"/>
        <v>41808</v>
      </c>
      <c r="CH16" s="408">
        <f t="shared" si="56"/>
        <v>41991</v>
      </c>
      <c r="CI16" s="344">
        <v>41470</v>
      </c>
      <c r="CJ16" s="408"/>
      <c r="CK16" s="408"/>
      <c r="CL16" s="123"/>
      <c r="CM16" s="123"/>
      <c r="CN16" s="123"/>
      <c r="CO16" s="529" t="str">
        <f t="shared" si="8"/>
        <v>0</v>
      </c>
      <c r="CP16" s="123"/>
      <c r="CQ16" s="123"/>
      <c r="CR16" s="529" t="str">
        <f t="shared" si="9"/>
        <v>0</v>
      </c>
      <c r="CS16" s="123"/>
      <c r="CT16" s="123"/>
      <c r="CU16" s="529" t="str">
        <f t="shared" si="10"/>
        <v>0</v>
      </c>
      <c r="CV16" s="123"/>
      <c r="CW16" s="123"/>
      <c r="CX16" s="529" t="str">
        <f t="shared" si="11"/>
        <v>0</v>
      </c>
      <c r="CY16" s="126"/>
      <c r="CZ16" s="575"/>
      <c r="DA16" s="529" t="str">
        <f t="shared" si="12"/>
        <v>0</v>
      </c>
      <c r="DB16" s="459"/>
      <c r="DC16" s="233"/>
      <c r="DD16" s="123"/>
      <c r="DE16" s="233"/>
      <c r="DF16" s="529" t="str">
        <f t="shared" si="13"/>
        <v>0</v>
      </c>
      <c r="DG16" s="123"/>
      <c r="DH16" s="351">
        <v>41309</v>
      </c>
      <c r="DI16" s="345">
        <v>2013</v>
      </c>
      <c r="DJ16" s="447">
        <f t="shared" si="14"/>
        <v>7.6</v>
      </c>
      <c r="DK16" s="529" t="str">
        <f t="shared" si="15"/>
        <v>0</v>
      </c>
      <c r="DL16" s="117">
        <v>15</v>
      </c>
      <c r="DM16" s="117">
        <f t="shared" si="16"/>
        <v>27</v>
      </c>
      <c r="DN16" s="316"/>
      <c r="DO16" s="315"/>
      <c r="DP16" s="701" t="str">
        <f t="shared" si="17"/>
        <v>0</v>
      </c>
      <c r="DQ16" s="720"/>
      <c r="DR16" s="622"/>
      <c r="DS16" s="623" t="str">
        <f t="shared" si="18"/>
        <v>0</v>
      </c>
      <c r="DT16" s="255"/>
      <c r="DU16" s="316"/>
      <c r="DV16" s="701" t="str">
        <f t="shared" si="19"/>
        <v>0</v>
      </c>
      <c r="DW16" s="316"/>
      <c r="DX16" s="316"/>
      <c r="DY16" s="701" t="str">
        <f t="shared" si="20"/>
        <v>0</v>
      </c>
      <c r="DZ16" s="316"/>
      <c r="EA16" s="316"/>
      <c r="EB16" s="701" t="str">
        <f t="shared" si="21"/>
        <v>0</v>
      </c>
      <c r="EC16" s="316"/>
      <c r="ED16" s="316"/>
      <c r="EE16" s="701" t="str">
        <f t="shared" si="22"/>
        <v>0</v>
      </c>
      <c r="EF16" s="316"/>
      <c r="EG16" s="316"/>
      <c r="EH16" s="701" t="str">
        <f t="shared" si="23"/>
        <v>0</v>
      </c>
      <c r="EI16" s="316"/>
      <c r="EJ16" s="316"/>
      <c r="EK16" s="316"/>
      <c r="EL16" s="461">
        <f t="shared" si="24"/>
        <v>41763</v>
      </c>
      <c r="EM16" s="353">
        <v>42158</v>
      </c>
      <c r="EN16" s="729">
        <f t="shared" si="25"/>
        <v>13.166666666666666</v>
      </c>
      <c r="EO16" s="461"/>
      <c r="EP16" s="116">
        <v>41992</v>
      </c>
      <c r="EQ16" s="116" t="s">
        <v>126</v>
      </c>
      <c r="ER16" s="116">
        <v>42158</v>
      </c>
      <c r="ES16" s="461"/>
      <c r="ET16" s="461">
        <f t="shared" si="26"/>
        <v>41794</v>
      </c>
      <c r="EU16" s="355">
        <v>42158</v>
      </c>
      <c r="EV16" s="462">
        <v>2015</v>
      </c>
      <c r="EW16" s="724">
        <f t="shared" si="27"/>
        <v>12.133333333333333</v>
      </c>
      <c r="EX16" s="716">
        <f>55171.5718158662/12</f>
        <v>4597.6309846555168</v>
      </c>
      <c r="EY16" s="233">
        <f t="shared" si="28"/>
        <v>55784.589280486936</v>
      </c>
      <c r="EZ16" s="116"/>
      <c r="FA16" s="558"/>
      <c r="FB16" s="710">
        <f t="shared" si="29"/>
        <v>90483</v>
      </c>
      <c r="FC16" s="562"/>
      <c r="FD16" s="562"/>
      <c r="FE16" s="562"/>
      <c r="FF16" s="562"/>
      <c r="FG16" s="559"/>
      <c r="FH16" s="571" t="s">
        <v>755</v>
      </c>
      <c r="FI16" s="559"/>
      <c r="FJ16" s="559"/>
      <c r="FK16" s="123"/>
      <c r="FL16" s="123"/>
      <c r="FM16" s="122"/>
      <c r="FN16" s="122"/>
      <c r="FO16" s="122"/>
      <c r="FP16" s="263" t="s">
        <v>313</v>
      </c>
      <c r="FQ16" s="316">
        <f>DATE(YEAR(EM16)+1,MONTH(EM16),DAY(EM16))</f>
        <v>42524</v>
      </c>
      <c r="FR16" s="692">
        <v>59673</v>
      </c>
      <c r="FS16" s="235" t="s">
        <v>294</v>
      </c>
      <c r="FT16" s="194">
        <v>42353</v>
      </c>
      <c r="FU16" s="122"/>
      <c r="FV16" s="122"/>
      <c r="FW16" s="659"/>
      <c r="FX16" s="122"/>
      <c r="FY16" s="122"/>
      <c r="FZ16" s="123">
        <v>43006</v>
      </c>
      <c r="GA16" s="183"/>
      <c r="GB16" s="183"/>
      <c r="GC16" s="183"/>
      <c r="GD16" s="122"/>
      <c r="GE16" s="122"/>
      <c r="GF16" s="154"/>
      <c r="GG16" s="619">
        <v>1808199</v>
      </c>
      <c r="GH16" s="8">
        <v>1878610.47</v>
      </c>
      <c r="GI16" s="430">
        <f>GS16+GX16+HE16+HX16+HF16+HI16</f>
        <v>1898659.47</v>
      </c>
      <c r="GJ16" s="10">
        <f t="shared" si="31"/>
        <v>20049</v>
      </c>
      <c r="GK16" s="46">
        <f t="shared" si="32"/>
        <v>2047.6903755311575</v>
      </c>
      <c r="GL16" s="46">
        <f t="shared" si="33"/>
        <v>146050.72846153847</v>
      </c>
      <c r="GM16" s="8"/>
      <c r="GN16" s="9"/>
      <c r="GO16" s="10">
        <f t="shared" si="34"/>
        <v>0</v>
      </c>
      <c r="GP16" s="128">
        <f t="shared" si="35"/>
        <v>0</v>
      </c>
      <c r="GQ16" s="129"/>
      <c r="GR16" s="8">
        <v>706398.49</v>
      </c>
      <c r="GS16" s="9">
        <v>706398.49</v>
      </c>
      <c r="GT16" s="64"/>
      <c r="GU16" s="19">
        <f t="shared" si="36"/>
        <v>54338.345384615386</v>
      </c>
      <c r="GV16" s="33">
        <f t="shared" si="37"/>
        <v>0</v>
      </c>
      <c r="GW16" s="8">
        <v>1041347.98</v>
      </c>
      <c r="GX16" s="9">
        <f t="shared" si="38"/>
        <v>1041347.98</v>
      </c>
      <c r="GY16" s="11">
        <v>179485</v>
      </c>
      <c r="GZ16" s="11">
        <v>861862.98</v>
      </c>
      <c r="HA16" s="33">
        <f t="shared" si="39"/>
        <v>0</v>
      </c>
      <c r="HB16" s="640">
        <f t="shared" si="40"/>
        <v>80103.690769230772</v>
      </c>
      <c r="HC16" s="9">
        <v>0</v>
      </c>
      <c r="HD16" s="8">
        <v>60430</v>
      </c>
      <c r="HE16" s="13">
        <v>60000</v>
      </c>
      <c r="HF16" s="63"/>
      <c r="HG16" s="36">
        <f t="shared" si="41"/>
        <v>3.1601243376201633E-2</v>
      </c>
      <c r="HH16" s="302"/>
      <c r="HI16" s="13">
        <v>430</v>
      </c>
      <c r="HJ16" s="20">
        <f>HE16-HD16+HI16</f>
        <v>0</v>
      </c>
      <c r="HK16" s="19">
        <f t="shared" si="42"/>
        <v>4615.3846153846152</v>
      </c>
      <c r="HL16" s="46">
        <f t="shared" si="43"/>
        <v>58953.729999999996</v>
      </c>
      <c r="HM16" s="20">
        <f t="shared" si="44"/>
        <v>0</v>
      </c>
      <c r="HN16" s="45"/>
      <c r="HO16" s="45"/>
      <c r="HP16" s="35">
        <v>0</v>
      </c>
      <c r="HQ16" s="35">
        <v>0</v>
      </c>
      <c r="HR16" s="19">
        <f t="shared" si="45"/>
        <v>58953.729999999996</v>
      </c>
      <c r="HS16" s="35">
        <v>0</v>
      </c>
      <c r="HT16" s="19">
        <f t="shared" si="46"/>
        <v>58953.729999999996</v>
      </c>
      <c r="HU16" s="47">
        <f t="shared" si="47"/>
        <v>0.40365242009405722</v>
      </c>
      <c r="HV16" s="35"/>
      <c r="HW16" s="35"/>
      <c r="HX16" s="436">
        <v>90483</v>
      </c>
      <c r="HY16" s="37">
        <f t="shared" si="48"/>
        <v>1898659.47</v>
      </c>
      <c r="HZ16" s="233"/>
      <c r="IA16" s="233">
        <f t="shared" si="49"/>
        <v>0</v>
      </c>
      <c r="IB16" s="114"/>
      <c r="IC16" s="233"/>
      <c r="ID16" s="233"/>
      <c r="IE16" s="114"/>
      <c r="IF16" s="114"/>
      <c r="IG16" s="233"/>
      <c r="IH16" s="114"/>
      <c r="II16" s="233"/>
      <c r="IJ16" s="114"/>
      <c r="IK16" s="233"/>
      <c r="IL16" s="115"/>
      <c r="IM16" s="322"/>
      <c r="IN16" s="314"/>
      <c r="IO16" s="314"/>
      <c r="IP16" s="123"/>
      <c r="IQ16" s="233"/>
      <c r="IR16" s="123"/>
      <c r="IS16" s="233"/>
      <c r="IT16" s="323"/>
      <c r="IU16" s="323"/>
      <c r="IV16" s="323"/>
      <c r="IW16" s="323"/>
      <c r="IX16" s="268"/>
      <c r="IY16" s="268"/>
      <c r="IZ16" s="268"/>
      <c r="JA16" s="268"/>
      <c r="JB16" s="268"/>
      <c r="JC16" s="268"/>
      <c r="JD16" s="233"/>
      <c r="JE16" s="123"/>
      <c r="JF16" s="115"/>
      <c r="JG16" s="123"/>
      <c r="JH16" s="123"/>
      <c r="JI16" s="115"/>
    </row>
    <row r="17" spans="1:269" ht="15" customHeight="1">
      <c r="A17" s="21" t="s">
        <v>274</v>
      </c>
      <c r="B17" s="5" t="s">
        <v>34</v>
      </c>
      <c r="C17" s="5" t="s">
        <v>111</v>
      </c>
      <c r="D17" s="5">
        <v>2012</v>
      </c>
      <c r="E17" s="5" t="s">
        <v>90</v>
      </c>
      <c r="F17" s="5" t="s">
        <v>55</v>
      </c>
      <c r="G17" s="5" t="s">
        <v>471</v>
      </c>
      <c r="H17" s="5" t="s">
        <v>248</v>
      </c>
      <c r="I17" s="50"/>
      <c r="J17" s="50"/>
      <c r="K17" s="398" t="s">
        <v>618</v>
      </c>
      <c r="L17" s="153"/>
      <c r="M17" s="153"/>
      <c r="N17" s="153"/>
      <c r="O17" s="207">
        <v>3000</v>
      </c>
      <c r="P17" s="207">
        <v>200500</v>
      </c>
      <c r="Q17" s="207">
        <v>112930</v>
      </c>
      <c r="R17" s="207">
        <f t="shared" ref="R17:R26" si="57">P17/AD17</f>
        <v>20050</v>
      </c>
      <c r="S17" s="207">
        <f t="shared" ref="S17:S26" si="58">P17/O17</f>
        <v>66.833333333333329</v>
      </c>
      <c r="T17" s="207">
        <f t="shared" ref="T17:T26" si="59">Q17/O17</f>
        <v>37.643333333333331</v>
      </c>
      <c r="U17" s="207">
        <f t="shared" ref="U17:U25" si="60">Q17/AL17</f>
        <v>120.70587229312298</v>
      </c>
      <c r="V17" s="207">
        <f t="shared" ref="V17:V25" si="61">Q17/AD17</f>
        <v>11293</v>
      </c>
      <c r="W17" s="207">
        <f t="shared" ref="W17:W25" si="62">O17/AD17</f>
        <v>300</v>
      </c>
      <c r="X17" s="208">
        <v>691.97</v>
      </c>
      <c r="Y17" s="209">
        <f t="shared" ref="Y17:Y25" si="63">AL17/O17</f>
        <v>0.31186000000000003</v>
      </c>
      <c r="Z17" s="208" t="s">
        <v>190</v>
      </c>
      <c r="AA17" s="210">
        <v>850</v>
      </c>
      <c r="AB17" s="211">
        <v>0.3</v>
      </c>
      <c r="AC17" s="5" t="s">
        <v>16</v>
      </c>
      <c r="AD17" s="318">
        <f t="shared" si="0"/>
        <v>10</v>
      </c>
      <c r="AE17" s="6"/>
      <c r="AF17" s="5">
        <v>10</v>
      </c>
      <c r="AG17" s="50"/>
      <c r="AH17" s="50"/>
      <c r="AI17" s="54"/>
      <c r="AJ17" s="7">
        <v>935.58</v>
      </c>
      <c r="AK17" s="54"/>
      <c r="AL17" s="79">
        <v>935.58</v>
      </c>
      <c r="AM17" s="7">
        <f t="shared" si="1"/>
        <v>93.558000000000007</v>
      </c>
      <c r="AN17" s="56"/>
      <c r="AO17" s="56"/>
      <c r="AP17" s="75">
        <f>3/AD17</f>
        <v>0.3</v>
      </c>
      <c r="AQ17" s="75">
        <f>5/AD17</f>
        <v>0.5</v>
      </c>
      <c r="AR17" s="75">
        <f>2/AD17</f>
        <v>0.2</v>
      </c>
      <c r="AS17" s="7">
        <v>884</v>
      </c>
      <c r="AT17" s="73">
        <v>91</v>
      </c>
      <c r="AU17" s="75">
        <f t="shared" ref="AU17:AU41" si="64">AT17/O17</f>
        <v>3.0333333333333334E-2</v>
      </c>
      <c r="AV17" s="54">
        <v>1.5</v>
      </c>
      <c r="AW17" s="56" t="s">
        <v>560</v>
      </c>
      <c r="AX17" s="7"/>
      <c r="AY17" s="785"/>
      <c r="AZ17" s="54"/>
      <c r="BA17" s="50"/>
      <c r="BB17" s="184">
        <v>40963</v>
      </c>
      <c r="BC17" s="422" t="s">
        <v>11</v>
      </c>
      <c r="BD17" s="422" t="s">
        <v>224</v>
      </c>
      <c r="BE17" s="1"/>
      <c r="BF17" s="204">
        <v>41179</v>
      </c>
      <c r="BG17" s="96"/>
      <c r="BH17" s="96"/>
      <c r="BI17" s="204">
        <v>41190</v>
      </c>
      <c r="BJ17" s="96"/>
      <c r="BK17" s="426"/>
      <c r="BL17" s="201"/>
      <c r="BM17" s="99"/>
      <c r="BN17" s="99"/>
      <c r="BO17" s="297">
        <v>41319</v>
      </c>
      <c r="BP17" s="297">
        <f t="shared" si="3"/>
        <v>42049</v>
      </c>
      <c r="BQ17" s="297">
        <f t="shared" si="4"/>
        <v>42414</v>
      </c>
      <c r="BR17" s="297"/>
      <c r="BS17" s="297" t="str">
        <f t="shared" si="55"/>
        <v>oui</v>
      </c>
      <c r="BT17" s="686">
        <f t="shared" si="5"/>
        <v>4</v>
      </c>
      <c r="BU17" s="686">
        <f t="shared" si="6"/>
        <v>18677.224538483835</v>
      </c>
      <c r="BV17" s="686">
        <f t="shared" si="7"/>
        <v>0</v>
      </c>
      <c r="BW17" s="99"/>
      <c r="BX17" s="426"/>
      <c r="BY17" s="99"/>
      <c r="BZ17" s="112"/>
      <c r="CA17" s="112"/>
      <c r="CB17" s="112"/>
      <c r="CC17" s="155" t="s">
        <v>142</v>
      </c>
      <c r="CD17" s="306">
        <v>41255</v>
      </c>
      <c r="CE17" s="251"/>
      <c r="CF17" s="156">
        <v>1784992.95</v>
      </c>
      <c r="CG17" s="588">
        <f t="shared" si="54"/>
        <v>41802</v>
      </c>
      <c r="CH17" s="408">
        <f t="shared" si="56"/>
        <v>41985</v>
      </c>
      <c r="CI17" s="344">
        <v>41746</v>
      </c>
      <c r="CJ17" s="251">
        <v>41985</v>
      </c>
      <c r="CK17" s="603">
        <f t="shared" ref="CK17:CK26" si="65">(EU17-CJ17)/30</f>
        <v>10.033333333333333</v>
      </c>
      <c r="CL17" s="123"/>
      <c r="CM17" s="123"/>
      <c r="CN17" s="123"/>
      <c r="CO17" s="529" t="str">
        <f t="shared" si="8"/>
        <v>0</v>
      </c>
      <c r="CP17" s="123"/>
      <c r="CQ17" s="123"/>
      <c r="CR17" s="529" t="str">
        <f t="shared" si="9"/>
        <v>0</v>
      </c>
      <c r="CS17" s="123"/>
      <c r="CT17" s="123"/>
      <c r="CU17" s="529" t="str">
        <f t="shared" si="10"/>
        <v>0</v>
      </c>
      <c r="CV17" s="123"/>
      <c r="CW17" s="123"/>
      <c r="CX17" s="529" t="str">
        <f t="shared" si="11"/>
        <v>0</v>
      </c>
      <c r="CY17" s="126"/>
      <c r="CZ17" s="575"/>
      <c r="DA17" s="529" t="str">
        <f t="shared" si="12"/>
        <v>0</v>
      </c>
      <c r="DB17" s="459"/>
      <c r="DC17" s="233"/>
      <c r="DD17" s="539"/>
      <c r="DE17" s="534"/>
      <c r="DF17" s="535" t="str">
        <f t="shared" si="13"/>
        <v>0</v>
      </c>
      <c r="DG17" s="539"/>
      <c r="DH17" s="351">
        <v>41451</v>
      </c>
      <c r="DI17" s="345">
        <v>2013</v>
      </c>
      <c r="DJ17" s="447">
        <f t="shared" si="14"/>
        <v>9.0666666666666664</v>
      </c>
      <c r="DK17" s="535" t="str">
        <f t="shared" si="15"/>
        <v>0</v>
      </c>
      <c r="DL17" s="242">
        <v>14</v>
      </c>
      <c r="DM17" s="126">
        <f t="shared" si="16"/>
        <v>26</v>
      </c>
      <c r="DN17" s="316"/>
      <c r="DO17" s="315"/>
      <c r="DP17" s="701" t="str">
        <f t="shared" si="17"/>
        <v>0</v>
      </c>
      <c r="DQ17" s="720"/>
      <c r="DR17" s="622"/>
      <c r="DS17" s="623" t="str">
        <f t="shared" si="18"/>
        <v>0</v>
      </c>
      <c r="DT17" s="255"/>
      <c r="DU17" s="316">
        <f ca="1">IF(DT17&lt;TODAY(),TODAY(),DT17)</f>
        <v>43332</v>
      </c>
      <c r="DV17" s="701" t="str">
        <f t="shared" ca="1" si="19"/>
        <v>0</v>
      </c>
      <c r="DW17" s="316"/>
      <c r="DX17" s="316"/>
      <c r="DY17" s="701" t="str">
        <f t="shared" si="20"/>
        <v>0</v>
      </c>
      <c r="DZ17" s="316"/>
      <c r="EA17" s="316"/>
      <c r="EB17" s="701" t="str">
        <f t="shared" si="21"/>
        <v>0</v>
      </c>
      <c r="EC17" s="316"/>
      <c r="ED17" s="316"/>
      <c r="EE17" s="701" t="str">
        <f t="shared" si="22"/>
        <v>0</v>
      </c>
      <c r="EF17" s="316"/>
      <c r="EG17" s="316"/>
      <c r="EH17" s="701" t="str">
        <f t="shared" si="23"/>
        <v>0</v>
      </c>
      <c r="EI17" s="316"/>
      <c r="EJ17" s="316"/>
      <c r="EK17" s="316"/>
      <c r="EL17" s="461">
        <f t="shared" si="24"/>
        <v>41877</v>
      </c>
      <c r="EM17" s="353">
        <v>42265</v>
      </c>
      <c r="EN17" s="729">
        <f t="shared" si="25"/>
        <v>12.933333333333334</v>
      </c>
      <c r="EO17" s="461"/>
      <c r="EP17" s="127">
        <v>42285</v>
      </c>
      <c r="EQ17" s="236" t="s">
        <v>126</v>
      </c>
      <c r="ER17" s="127">
        <v>42277</v>
      </c>
      <c r="ES17" s="606"/>
      <c r="ET17" s="461">
        <f t="shared" si="26"/>
        <v>41908</v>
      </c>
      <c r="EU17" s="355">
        <v>42286</v>
      </c>
      <c r="EV17" s="462">
        <v>2015</v>
      </c>
      <c r="EW17" s="724">
        <f t="shared" si="27"/>
        <v>12.6</v>
      </c>
      <c r="EX17" s="719">
        <f>56031.6736154515/12</f>
        <v>4669.3061346209588</v>
      </c>
      <c r="EY17" s="233">
        <f t="shared" si="28"/>
        <v>58833.257296224081</v>
      </c>
      <c r="EZ17" s="127"/>
      <c r="FA17" s="558"/>
      <c r="FB17" s="710">
        <f t="shared" si="29"/>
        <v>179385.62</v>
      </c>
      <c r="FC17" s="562"/>
      <c r="FD17" s="562"/>
      <c r="FE17" s="562"/>
      <c r="FF17" s="562"/>
      <c r="FG17" s="559"/>
      <c r="FH17" s="571" t="s">
        <v>753</v>
      </c>
      <c r="FI17" s="559"/>
      <c r="FJ17" s="559"/>
      <c r="FK17" s="127" t="s">
        <v>126</v>
      </c>
      <c r="FL17" s="127"/>
      <c r="FM17" s="123" t="s">
        <v>126</v>
      </c>
      <c r="FN17" s="123" t="s">
        <v>126</v>
      </c>
      <c r="FO17" s="123" t="s">
        <v>126</v>
      </c>
      <c r="FP17" s="630" t="s">
        <v>544</v>
      </c>
      <c r="FQ17" s="123">
        <f>DATE(YEAR(EM17)+1,MONTH(EM17),DAY(EM17))</f>
        <v>42631</v>
      </c>
      <c r="FR17" s="692"/>
      <c r="FS17" s="194">
        <v>42311</v>
      </c>
      <c r="FT17" s="235" t="s">
        <v>371</v>
      </c>
      <c r="FU17" s="235" t="s">
        <v>126</v>
      </c>
      <c r="FV17" s="235">
        <v>42781</v>
      </c>
      <c r="FW17" s="235">
        <v>42781</v>
      </c>
      <c r="FX17" s="122"/>
      <c r="FY17" s="235" t="s">
        <v>519</v>
      </c>
      <c r="FZ17" s="279"/>
      <c r="GA17" s="605" t="s">
        <v>608</v>
      </c>
      <c r="GB17" s="235">
        <v>42808</v>
      </c>
      <c r="GC17" s="183"/>
      <c r="GD17" s="235">
        <v>43214</v>
      </c>
      <c r="GE17" s="122"/>
      <c r="GF17" s="154"/>
      <c r="GG17" s="619">
        <v>1723671</v>
      </c>
      <c r="GH17" s="8">
        <v>2008085.62</v>
      </c>
      <c r="GI17" s="430">
        <f>GS17+GX17+HE17+HX17+HI17+HC17</f>
        <v>2108085.62</v>
      </c>
      <c r="GJ17" s="10">
        <f t="shared" si="31"/>
        <v>100000</v>
      </c>
      <c r="GK17" s="46">
        <f t="shared" si="32"/>
        <v>2253.2392954103339</v>
      </c>
      <c r="GL17" s="46">
        <f t="shared" si="33"/>
        <v>210808.56200000001</v>
      </c>
      <c r="GM17" s="8">
        <v>1672116</v>
      </c>
      <c r="GN17" s="9"/>
      <c r="GO17" s="10">
        <f t="shared" si="34"/>
        <v>-1672116</v>
      </c>
      <c r="GP17" s="128">
        <f t="shared" si="35"/>
        <v>0.85017810943738525</v>
      </c>
      <c r="GQ17" s="129"/>
      <c r="GR17" s="8">
        <v>553441</v>
      </c>
      <c r="GS17" s="9">
        <v>553441</v>
      </c>
      <c r="GT17" s="64"/>
      <c r="GU17" s="19">
        <f t="shared" si="36"/>
        <v>55344.1</v>
      </c>
      <c r="GV17" s="33">
        <f t="shared" si="37"/>
        <v>0</v>
      </c>
      <c r="GW17" s="8">
        <v>1110259</v>
      </c>
      <c r="GX17" s="9">
        <f t="shared" si="38"/>
        <v>1110259</v>
      </c>
      <c r="GY17" s="11">
        <v>257996</v>
      </c>
      <c r="GZ17" s="11">
        <v>852263</v>
      </c>
      <c r="HA17" s="33">
        <f t="shared" si="39"/>
        <v>0</v>
      </c>
      <c r="HB17" s="640">
        <f t="shared" si="40"/>
        <v>111025.9</v>
      </c>
      <c r="HC17" s="9">
        <v>100000</v>
      </c>
      <c r="HD17" s="8">
        <v>165000</v>
      </c>
      <c r="HE17" s="13">
        <v>165000</v>
      </c>
      <c r="HF17" s="63"/>
      <c r="HG17" s="36">
        <f t="shared" si="41"/>
        <v>7.8270065710139419E-2</v>
      </c>
      <c r="HH17" s="302"/>
      <c r="HI17" s="13">
        <v>0</v>
      </c>
      <c r="HJ17" s="20">
        <f>HE17-HD17</f>
        <v>0</v>
      </c>
      <c r="HK17" s="19">
        <f t="shared" si="42"/>
        <v>16500</v>
      </c>
      <c r="HL17" s="46">
        <f t="shared" si="43"/>
        <v>71844.100000000006</v>
      </c>
      <c r="HM17" s="20">
        <f t="shared" si="44"/>
        <v>0</v>
      </c>
      <c r="HN17" s="45"/>
      <c r="HO17" s="45"/>
      <c r="HP17" s="35">
        <v>666201.89926500001</v>
      </c>
      <c r="HQ17" s="35">
        <v>200000</v>
      </c>
      <c r="HR17" s="19">
        <f t="shared" si="45"/>
        <v>91844.1</v>
      </c>
      <c r="HS17" s="35">
        <v>206916.91</v>
      </c>
      <c r="HT17" s="19">
        <f t="shared" si="46"/>
        <v>112535.791</v>
      </c>
      <c r="HU17" s="47">
        <f t="shared" si="47"/>
        <v>0.42322822103740099</v>
      </c>
      <c r="HV17" s="35">
        <v>115301.53</v>
      </c>
      <c r="HW17" s="435"/>
      <c r="HX17" s="436">
        <v>179385.62</v>
      </c>
      <c r="HY17" s="37">
        <f t="shared" si="48"/>
        <v>2774287.5192650002</v>
      </c>
      <c r="HZ17" s="233"/>
      <c r="IA17" s="233">
        <f t="shared" si="49"/>
        <v>0</v>
      </c>
      <c r="IB17" s="114"/>
      <c r="IC17" s="233"/>
      <c r="ID17" s="233"/>
      <c r="IE17" s="114"/>
      <c r="IF17" s="114"/>
      <c r="IG17" s="233"/>
      <c r="IH17" s="114"/>
      <c r="II17" s="233"/>
      <c r="IJ17" s="114"/>
      <c r="IK17" s="233"/>
      <c r="IL17" s="115"/>
      <c r="IM17" s="322"/>
      <c r="IN17" s="314"/>
      <c r="IO17" s="314"/>
      <c r="IP17" s="123"/>
      <c r="IQ17" s="233"/>
      <c r="IR17" s="123"/>
      <c r="IS17" s="233"/>
      <c r="IT17" s="323"/>
      <c r="IU17" s="323"/>
      <c r="IV17" s="323"/>
      <c r="IW17" s="323"/>
      <c r="IX17" s="268"/>
      <c r="IY17" s="268"/>
      <c r="IZ17" s="268"/>
      <c r="JA17" s="268"/>
      <c r="JB17" s="268"/>
      <c r="JC17" s="268"/>
      <c r="JD17" s="233"/>
      <c r="JE17" s="123"/>
      <c r="JF17" s="115"/>
      <c r="JG17" s="123"/>
      <c r="JH17" s="123"/>
      <c r="JI17" s="115"/>
    </row>
    <row r="18" spans="1:269" ht="15" customHeight="1">
      <c r="A18" s="80" t="s">
        <v>317</v>
      </c>
      <c r="B18" s="5" t="s">
        <v>35</v>
      </c>
      <c r="C18" s="5" t="s">
        <v>110</v>
      </c>
      <c r="D18" s="5">
        <v>2012</v>
      </c>
      <c r="E18" s="5" t="s">
        <v>85</v>
      </c>
      <c r="F18" s="5" t="s">
        <v>91</v>
      </c>
      <c r="G18" s="5" t="s">
        <v>279</v>
      </c>
      <c r="H18" s="50" t="s">
        <v>248</v>
      </c>
      <c r="I18" s="50"/>
      <c r="J18" s="50"/>
      <c r="K18" s="256"/>
      <c r="L18" s="153"/>
      <c r="M18" s="153"/>
      <c r="N18" s="153"/>
      <c r="O18" s="207">
        <v>5530</v>
      </c>
      <c r="P18" s="207">
        <f>Q18</f>
        <v>1300000</v>
      </c>
      <c r="Q18" s="207">
        <v>1300000</v>
      </c>
      <c r="R18" s="207">
        <f t="shared" si="57"/>
        <v>17333.333333333332</v>
      </c>
      <c r="S18" s="207">
        <f t="shared" si="58"/>
        <v>235.08137432188065</v>
      </c>
      <c r="T18" s="207">
        <f t="shared" si="59"/>
        <v>235.08137432188065</v>
      </c>
      <c r="U18" s="207">
        <f t="shared" si="60"/>
        <v>198.20517589947033</v>
      </c>
      <c r="V18" s="207">
        <f t="shared" si="61"/>
        <v>17333.333333333332</v>
      </c>
      <c r="W18" s="207">
        <f t="shared" si="62"/>
        <v>73.733333333333334</v>
      </c>
      <c r="X18" s="207"/>
      <c r="Y18" s="209">
        <f t="shared" si="63"/>
        <v>1.1860506329113925</v>
      </c>
      <c r="Z18" s="208" t="s">
        <v>204</v>
      </c>
      <c r="AA18" s="210"/>
      <c r="AB18" s="211"/>
      <c r="AC18" s="5" t="s">
        <v>16</v>
      </c>
      <c r="AD18" s="318">
        <f t="shared" si="0"/>
        <v>75</v>
      </c>
      <c r="AE18" s="6"/>
      <c r="AF18" s="5">
        <v>75</v>
      </c>
      <c r="AG18" s="50"/>
      <c r="AH18" s="50"/>
      <c r="AI18" s="690"/>
      <c r="AJ18" s="7">
        <v>6558.86</v>
      </c>
      <c r="AK18" s="54"/>
      <c r="AL18" s="79">
        <v>6558.86</v>
      </c>
      <c r="AM18" s="7">
        <f t="shared" si="1"/>
        <v>87.451466666666661</v>
      </c>
      <c r="AN18" s="75">
        <f>5/AD18</f>
        <v>6.6666666666666666E-2</v>
      </c>
      <c r="AO18" s="75">
        <f>10/AD18</f>
        <v>0.13333333333333333</v>
      </c>
      <c r="AP18" s="75">
        <f>30/AD18</f>
        <v>0.4</v>
      </c>
      <c r="AQ18" s="75">
        <f>25/AD18</f>
        <v>0.33333333333333331</v>
      </c>
      <c r="AR18" s="75">
        <f>5/AD18</f>
        <v>6.6666666666666666E-2</v>
      </c>
      <c r="AS18" s="7">
        <v>697.88</v>
      </c>
      <c r="AT18" s="73">
        <v>0</v>
      </c>
      <c r="AU18" s="75">
        <f t="shared" si="64"/>
        <v>0</v>
      </c>
      <c r="AV18" s="54">
        <v>7</v>
      </c>
      <c r="AW18" s="53" t="s">
        <v>561</v>
      </c>
      <c r="AX18" s="7" t="s">
        <v>118</v>
      </c>
      <c r="AY18" s="785"/>
      <c r="AZ18" s="54"/>
      <c r="BA18" s="50"/>
      <c r="BB18" s="184">
        <v>40963</v>
      </c>
      <c r="BC18" s="422" t="s">
        <v>12</v>
      </c>
      <c r="BD18" s="422" t="s">
        <v>229</v>
      </c>
      <c r="BE18" s="1"/>
      <c r="BF18" s="204">
        <v>41094</v>
      </c>
      <c r="BG18" s="96"/>
      <c r="BH18" s="96"/>
      <c r="BI18" s="204">
        <v>41183</v>
      </c>
      <c r="BJ18" s="96"/>
      <c r="BK18" s="426"/>
      <c r="BL18" s="201"/>
      <c r="BM18" s="99"/>
      <c r="BN18" s="99"/>
      <c r="BO18" s="297">
        <v>41319</v>
      </c>
      <c r="BP18" s="297">
        <f t="shared" si="3"/>
        <v>42049</v>
      </c>
      <c r="BQ18" s="297">
        <f t="shared" si="4"/>
        <v>42414</v>
      </c>
      <c r="BR18" s="297"/>
      <c r="BS18" s="297" t="str">
        <f t="shared" si="55"/>
        <v>oui</v>
      </c>
      <c r="BT18" s="686">
        <f t="shared" si="5"/>
        <v>2</v>
      </c>
      <c r="BU18" s="686">
        <f t="shared" si="6"/>
        <v>66605.829392276341</v>
      </c>
      <c r="BV18" s="686">
        <f t="shared" si="7"/>
        <v>0</v>
      </c>
      <c r="BW18" s="99"/>
      <c r="BX18" s="426"/>
      <c r="BY18" s="99"/>
      <c r="BZ18" s="112"/>
      <c r="CA18" s="112"/>
      <c r="CB18" s="112"/>
      <c r="CC18" s="155" t="s">
        <v>147</v>
      </c>
      <c r="CD18" s="306">
        <v>41270</v>
      </c>
      <c r="CE18" s="251"/>
      <c r="CF18" s="156">
        <v>12054387.02</v>
      </c>
      <c r="CG18" s="588">
        <f t="shared" si="54"/>
        <v>41817</v>
      </c>
      <c r="CH18" s="408">
        <f t="shared" si="56"/>
        <v>42000</v>
      </c>
      <c r="CI18" s="344">
        <v>41617</v>
      </c>
      <c r="CJ18" s="251">
        <v>42297</v>
      </c>
      <c r="CK18" s="603">
        <f t="shared" si="65"/>
        <v>1.1666666666666667</v>
      </c>
      <c r="CL18" s="123"/>
      <c r="CM18" s="123"/>
      <c r="CN18" s="123"/>
      <c r="CO18" s="529" t="str">
        <f t="shared" si="8"/>
        <v>0</v>
      </c>
      <c r="CP18" s="123"/>
      <c r="CQ18" s="123"/>
      <c r="CR18" s="529" t="str">
        <f t="shared" si="9"/>
        <v>0</v>
      </c>
      <c r="CS18" s="123"/>
      <c r="CT18" s="123"/>
      <c r="CU18" s="529" t="str">
        <f t="shared" si="10"/>
        <v>0</v>
      </c>
      <c r="CV18" s="123"/>
      <c r="CW18" s="123"/>
      <c r="CX18" s="529" t="str">
        <f t="shared" si="11"/>
        <v>0</v>
      </c>
      <c r="CY18" s="126"/>
      <c r="CZ18" s="575"/>
      <c r="DA18" s="529" t="str">
        <f t="shared" si="12"/>
        <v>0</v>
      </c>
      <c r="DB18" s="459"/>
      <c r="DC18" s="233"/>
      <c r="DD18" s="539"/>
      <c r="DE18" s="534"/>
      <c r="DF18" s="535" t="str">
        <f t="shared" si="13"/>
        <v>0</v>
      </c>
      <c r="DG18" s="539"/>
      <c r="DH18" s="351">
        <v>41428</v>
      </c>
      <c r="DI18" s="345">
        <v>2013</v>
      </c>
      <c r="DJ18" s="447">
        <f t="shared" si="14"/>
        <v>11.133333333333333</v>
      </c>
      <c r="DK18" s="535" t="str">
        <f t="shared" si="15"/>
        <v>0</v>
      </c>
      <c r="DL18" s="242">
        <v>20</v>
      </c>
      <c r="DM18" s="242">
        <f t="shared" si="16"/>
        <v>28</v>
      </c>
      <c r="DN18" s="316"/>
      <c r="DO18" s="315"/>
      <c r="DP18" s="701" t="str">
        <f t="shared" si="17"/>
        <v>0</v>
      </c>
      <c r="DQ18" s="720"/>
      <c r="DR18" s="622"/>
      <c r="DS18" s="623" t="str">
        <f t="shared" si="18"/>
        <v>0</v>
      </c>
      <c r="DT18" s="255"/>
      <c r="DU18" s="316"/>
      <c r="DV18" s="701" t="str">
        <f t="shared" si="19"/>
        <v>0</v>
      </c>
      <c r="DW18" s="315"/>
      <c r="DX18" s="316"/>
      <c r="DY18" s="701" t="str">
        <f t="shared" si="20"/>
        <v>0</v>
      </c>
      <c r="DZ18" s="323"/>
      <c r="EA18" s="323"/>
      <c r="EB18" s="701" t="str">
        <f t="shared" si="21"/>
        <v>0</v>
      </c>
      <c r="EC18" s="323"/>
      <c r="ED18" s="324"/>
      <c r="EE18" s="701" t="str">
        <f t="shared" si="22"/>
        <v>0</v>
      </c>
      <c r="EF18" s="316"/>
      <c r="EG18" s="316"/>
      <c r="EH18" s="701" t="str">
        <f t="shared" si="23"/>
        <v>0</v>
      </c>
      <c r="EI18" s="324"/>
      <c r="EJ18" s="324"/>
      <c r="EK18" s="324"/>
      <c r="EL18" s="461">
        <f t="shared" si="24"/>
        <v>42038</v>
      </c>
      <c r="EM18" s="351">
        <v>42296</v>
      </c>
      <c r="EN18" s="729">
        <f t="shared" si="25"/>
        <v>8.6</v>
      </c>
      <c r="EO18" s="637">
        <f>DATE(YEAR(CI18)+2,MONTH(CI18),DAY(CI18))</f>
        <v>42347</v>
      </c>
      <c r="EP18" s="116">
        <v>42332</v>
      </c>
      <c r="EQ18" s="116" t="s">
        <v>126</v>
      </c>
      <c r="ER18" s="116">
        <v>42332</v>
      </c>
      <c r="ES18" s="461"/>
      <c r="ET18" s="461">
        <f t="shared" si="26"/>
        <v>42066</v>
      </c>
      <c r="EU18" s="353">
        <v>42332</v>
      </c>
      <c r="EV18" s="347">
        <v>2015</v>
      </c>
      <c r="EW18" s="726">
        <f t="shared" si="27"/>
        <v>8.8666666666666671</v>
      </c>
      <c r="EX18" s="716">
        <f>399634.976353658/12</f>
        <v>33302.91469613817</v>
      </c>
      <c r="EY18" s="315">
        <f t="shared" si="28"/>
        <v>295285.84363909176</v>
      </c>
      <c r="EZ18" s="116"/>
      <c r="FA18" s="558"/>
      <c r="FB18" s="710">
        <f t="shared" si="29"/>
        <v>0</v>
      </c>
      <c r="FC18" s="562"/>
      <c r="FD18" s="562"/>
      <c r="FE18" s="562"/>
      <c r="FF18" s="562"/>
      <c r="FG18" s="559"/>
      <c r="FH18" s="571" t="s">
        <v>747</v>
      </c>
      <c r="FI18" s="559"/>
      <c r="FJ18" s="559"/>
      <c r="FK18" s="122">
        <v>42679</v>
      </c>
      <c r="FL18" s="122"/>
      <c r="FM18" s="122"/>
      <c r="FN18" s="122"/>
      <c r="FO18" s="122"/>
      <c r="FP18" s="116">
        <v>42656</v>
      </c>
      <c r="FQ18" s="316"/>
      <c r="FR18" s="692">
        <v>114015</v>
      </c>
      <c r="FS18" s="116" t="s">
        <v>126</v>
      </c>
      <c r="FT18" s="116">
        <v>42424</v>
      </c>
      <c r="FU18" s="122"/>
      <c r="FV18" s="122"/>
      <c r="FW18" s="122"/>
      <c r="FX18" s="122"/>
      <c r="FY18" s="122"/>
      <c r="FZ18" s="235">
        <v>43136</v>
      </c>
      <c r="GA18" s="235"/>
      <c r="GB18" s="235">
        <v>42808</v>
      </c>
      <c r="GC18" s="235"/>
      <c r="GD18" s="122"/>
      <c r="GE18" s="122"/>
      <c r="GF18" s="154"/>
      <c r="GG18" s="619">
        <v>11693100</v>
      </c>
      <c r="GH18" s="8">
        <v>12349548.309999999</v>
      </c>
      <c r="GI18" s="430">
        <f>GS18+GX18+HE18+HX18+HC18+HI18</f>
        <v>12349548.309999999</v>
      </c>
      <c r="GJ18" s="10">
        <f t="shared" si="31"/>
        <v>0</v>
      </c>
      <c r="GK18" s="46">
        <f t="shared" si="32"/>
        <v>1882.8803038942742</v>
      </c>
      <c r="GL18" s="46">
        <f t="shared" si="33"/>
        <v>164660.64413333332</v>
      </c>
      <c r="GM18" s="8"/>
      <c r="GN18" s="9"/>
      <c r="GO18" s="10">
        <f t="shared" si="34"/>
        <v>0</v>
      </c>
      <c r="GP18" s="128">
        <f t="shared" si="35"/>
        <v>0</v>
      </c>
      <c r="GQ18" s="129"/>
      <c r="GR18" s="8">
        <v>3816022.8</v>
      </c>
      <c r="GS18" s="9">
        <v>3816022.8</v>
      </c>
      <c r="GT18" s="64"/>
      <c r="GU18" s="19">
        <f t="shared" si="36"/>
        <v>50880.303999999996</v>
      </c>
      <c r="GV18" s="33">
        <f t="shared" si="37"/>
        <v>0</v>
      </c>
      <c r="GW18" s="8">
        <v>7538525.5099999998</v>
      </c>
      <c r="GX18" s="9">
        <f t="shared" si="38"/>
        <v>7538525.5099999998</v>
      </c>
      <c r="GY18" s="11">
        <v>1459253.6</v>
      </c>
      <c r="GZ18" s="11">
        <v>6079271.9100000001</v>
      </c>
      <c r="HA18" s="33">
        <f t="shared" si="39"/>
        <v>0</v>
      </c>
      <c r="HB18" s="640">
        <f t="shared" si="40"/>
        <v>100513.67346666666</v>
      </c>
      <c r="HC18" s="9">
        <v>0</v>
      </c>
      <c r="HD18" s="8">
        <v>995000</v>
      </c>
      <c r="HE18" s="13">
        <v>995000</v>
      </c>
      <c r="HF18" s="63"/>
      <c r="HG18" s="36">
        <f t="shared" si="41"/>
        <v>8.0569748384586873E-2</v>
      </c>
      <c r="HH18" s="302"/>
      <c r="HI18" s="13">
        <v>0</v>
      </c>
      <c r="HJ18" s="20">
        <f>HE18-HD18</f>
        <v>0</v>
      </c>
      <c r="HK18" s="19">
        <f t="shared" si="42"/>
        <v>13266.666666666666</v>
      </c>
      <c r="HL18" s="46">
        <f t="shared" si="43"/>
        <v>64146.970666666661</v>
      </c>
      <c r="HM18" s="20">
        <f t="shared" si="44"/>
        <v>0</v>
      </c>
      <c r="HN18" s="45"/>
      <c r="HO18" s="45"/>
      <c r="HP18" s="35">
        <v>0</v>
      </c>
      <c r="HQ18" s="35">
        <v>0</v>
      </c>
      <c r="HR18" s="19">
        <f t="shared" si="45"/>
        <v>64146.970666666661</v>
      </c>
      <c r="HS18" s="35">
        <v>0</v>
      </c>
      <c r="HT18" s="19">
        <f t="shared" si="46"/>
        <v>64146.970666666661</v>
      </c>
      <c r="HU18" s="47">
        <f t="shared" si="47"/>
        <v>0.38957075021960869</v>
      </c>
      <c r="HV18" s="35"/>
      <c r="HW18" s="35"/>
      <c r="HX18" s="9"/>
      <c r="HY18" s="37">
        <f t="shared" si="48"/>
        <v>12349548.309999999</v>
      </c>
      <c r="HZ18" s="233"/>
      <c r="IA18" s="233">
        <f t="shared" si="49"/>
        <v>0</v>
      </c>
      <c r="IB18" s="114"/>
      <c r="IC18" s="233"/>
      <c r="ID18" s="233"/>
      <c r="IE18" s="114"/>
      <c r="IF18" s="114"/>
      <c r="IG18" s="233"/>
      <c r="IH18" s="114"/>
      <c r="II18" s="233"/>
      <c r="IJ18" s="114"/>
      <c r="IK18" s="233"/>
      <c r="IL18" s="115"/>
      <c r="IM18" s="322"/>
      <c r="IN18" s="314"/>
      <c r="IO18" s="314"/>
      <c r="IP18" s="123"/>
      <c r="IQ18" s="233"/>
      <c r="IR18" s="123"/>
      <c r="IS18" s="233"/>
      <c r="IT18" s="323"/>
      <c r="IU18" s="323"/>
      <c r="IV18" s="323"/>
      <c r="IW18" s="323"/>
      <c r="IX18" s="268"/>
      <c r="IY18" s="268"/>
      <c r="IZ18" s="268"/>
      <c r="JA18" s="268"/>
      <c r="JB18" s="268"/>
      <c r="JC18" s="268"/>
      <c r="JD18" s="233"/>
      <c r="JE18" s="123"/>
      <c r="JF18" s="115"/>
      <c r="JG18" s="123"/>
      <c r="JH18" s="123"/>
      <c r="JI18" s="115"/>
    </row>
    <row r="19" spans="1:269" ht="15" customHeight="1">
      <c r="A19" s="21" t="s">
        <v>78</v>
      </c>
      <c r="B19" s="5" t="s">
        <v>34</v>
      </c>
      <c r="C19" s="5" t="s">
        <v>111</v>
      </c>
      <c r="D19" s="5">
        <v>2012</v>
      </c>
      <c r="E19" s="5" t="s">
        <v>89</v>
      </c>
      <c r="F19" s="5" t="s">
        <v>378</v>
      </c>
      <c r="G19" s="5" t="s">
        <v>624</v>
      </c>
      <c r="H19" s="5" t="s">
        <v>248</v>
      </c>
      <c r="I19" s="50">
        <f>(11539.6+5727.49)/1.085</f>
        <v>15914.36866359447</v>
      </c>
      <c r="J19" s="50"/>
      <c r="K19" s="398" t="s">
        <v>617</v>
      </c>
      <c r="L19" s="153"/>
      <c r="M19" s="153"/>
      <c r="N19" s="153"/>
      <c r="O19" s="207">
        <v>6156.15</v>
      </c>
      <c r="P19" s="207">
        <v>164070</v>
      </c>
      <c r="Q19" s="207">
        <v>163875</v>
      </c>
      <c r="R19" s="207">
        <f t="shared" si="57"/>
        <v>7457.727272727273</v>
      </c>
      <c r="S19" s="207">
        <f t="shared" si="58"/>
        <v>26.651397383104701</v>
      </c>
      <c r="T19" s="207">
        <f t="shared" si="59"/>
        <v>26.619721741672961</v>
      </c>
      <c r="U19" s="207">
        <f t="shared" si="60"/>
        <v>97.053597867930122</v>
      </c>
      <c r="V19" s="207">
        <f t="shared" si="61"/>
        <v>7448.863636363636</v>
      </c>
      <c r="W19" s="207">
        <f t="shared" si="62"/>
        <v>279.82499999999999</v>
      </c>
      <c r="X19" s="208"/>
      <c r="Y19" s="209">
        <f t="shared" si="63"/>
        <v>0.27427856696149383</v>
      </c>
      <c r="Z19" s="208" t="s">
        <v>190</v>
      </c>
      <c r="AA19" s="210">
        <v>890</v>
      </c>
      <c r="AB19" s="211"/>
      <c r="AC19" s="5" t="s">
        <v>16</v>
      </c>
      <c r="AD19" s="318">
        <f t="shared" si="0"/>
        <v>22</v>
      </c>
      <c r="AE19" s="6"/>
      <c r="AF19" s="5">
        <v>22</v>
      </c>
      <c r="AG19" s="50"/>
      <c r="AH19" s="50"/>
      <c r="AI19" s="54"/>
      <c r="AJ19" s="7">
        <v>1688.5</v>
      </c>
      <c r="AK19" s="54"/>
      <c r="AL19" s="79">
        <v>1688.5</v>
      </c>
      <c r="AM19" s="7">
        <f t="shared" si="1"/>
        <v>76.75</v>
      </c>
      <c r="AN19" s="75">
        <v>0</v>
      </c>
      <c r="AO19" s="75">
        <f>4/AD19</f>
        <v>0.18181818181818182</v>
      </c>
      <c r="AP19" s="75">
        <f>8/AD19</f>
        <v>0.36363636363636365</v>
      </c>
      <c r="AQ19" s="75">
        <f>6/AD19</f>
        <v>0.27272727272727271</v>
      </c>
      <c r="AR19" s="75">
        <f>4/AD19</f>
        <v>0.18181818181818182</v>
      </c>
      <c r="AS19" s="7">
        <f>96.15+803.85+941.6</f>
        <v>1841.6</v>
      </c>
      <c r="AT19" s="73"/>
      <c r="AU19" s="75">
        <f t="shared" si="64"/>
        <v>0</v>
      </c>
      <c r="AV19" s="54">
        <v>1.5</v>
      </c>
      <c r="AW19" s="56" t="s">
        <v>560</v>
      </c>
      <c r="AX19" s="7" t="s">
        <v>119</v>
      </c>
      <c r="AY19" s="785"/>
      <c r="AZ19" s="54"/>
      <c r="BA19" s="50"/>
      <c r="BB19" s="184">
        <v>40963</v>
      </c>
      <c r="BC19" s="422" t="s">
        <v>11</v>
      </c>
      <c r="BD19" s="422" t="s">
        <v>224</v>
      </c>
      <c r="BE19" s="1"/>
      <c r="BF19" s="204">
        <v>41177</v>
      </c>
      <c r="BG19" s="96"/>
      <c r="BH19" s="96"/>
      <c r="BI19" s="204">
        <v>41197</v>
      </c>
      <c r="BJ19" s="96"/>
      <c r="BK19" s="426"/>
      <c r="BL19" s="201"/>
      <c r="BM19" s="99"/>
      <c r="BN19" s="99"/>
      <c r="BO19" s="297">
        <v>41319</v>
      </c>
      <c r="BP19" s="297">
        <f t="shared" si="3"/>
        <v>42049</v>
      </c>
      <c r="BQ19" s="297">
        <f t="shared" si="4"/>
        <v>42414</v>
      </c>
      <c r="BR19" s="297"/>
      <c r="BS19" s="297" t="str">
        <f>IF(EU19&gt;BP17,"oui","non")</f>
        <v>oui</v>
      </c>
      <c r="BT19" s="686">
        <f t="shared" si="5"/>
        <v>0</v>
      </c>
      <c r="BU19" s="686">
        <f t="shared" si="6"/>
        <v>0</v>
      </c>
      <c r="BV19" s="686">
        <f t="shared" si="7"/>
        <v>0</v>
      </c>
      <c r="BW19" s="99"/>
      <c r="BX19" s="426"/>
      <c r="BY19" s="99"/>
      <c r="BZ19" s="112"/>
      <c r="CA19" s="112"/>
      <c r="CB19" s="112"/>
      <c r="CC19" s="155" t="s">
        <v>69</v>
      </c>
      <c r="CD19" s="306">
        <v>41256</v>
      </c>
      <c r="CE19" s="251" t="s">
        <v>126</v>
      </c>
      <c r="CF19" s="156">
        <v>3339290.63</v>
      </c>
      <c r="CG19" s="588">
        <f t="shared" si="54"/>
        <v>41803</v>
      </c>
      <c r="CH19" s="408">
        <f t="shared" si="56"/>
        <v>41986</v>
      </c>
      <c r="CI19" s="344">
        <v>41569</v>
      </c>
      <c r="CJ19" s="251">
        <v>42051</v>
      </c>
      <c r="CK19" s="603">
        <f t="shared" si="65"/>
        <v>11.933333333333334</v>
      </c>
      <c r="CL19" s="123"/>
      <c r="CM19" s="123"/>
      <c r="CN19" s="123"/>
      <c r="CO19" s="529" t="str">
        <f t="shared" si="8"/>
        <v>0</v>
      </c>
      <c r="CP19" s="123"/>
      <c r="CQ19" s="123"/>
      <c r="CR19" s="529" t="str">
        <f t="shared" si="9"/>
        <v>0</v>
      </c>
      <c r="CS19" s="123"/>
      <c r="CT19" s="123"/>
      <c r="CU19" s="529" t="str">
        <f t="shared" si="10"/>
        <v>0</v>
      </c>
      <c r="CV19" s="123"/>
      <c r="CW19" s="123"/>
      <c r="CX19" s="529" t="str">
        <f t="shared" si="11"/>
        <v>0</v>
      </c>
      <c r="CY19" s="126"/>
      <c r="CZ19" s="575"/>
      <c r="DA19" s="529" t="str">
        <f t="shared" si="12"/>
        <v>0</v>
      </c>
      <c r="DB19" s="459"/>
      <c r="DC19" s="233"/>
      <c r="DD19" s="539"/>
      <c r="DE19" s="534"/>
      <c r="DF19" s="535" t="str">
        <f t="shared" si="13"/>
        <v>0</v>
      </c>
      <c r="DG19" s="539"/>
      <c r="DH19" s="351">
        <v>41295</v>
      </c>
      <c r="DI19" s="345">
        <v>2013</v>
      </c>
      <c r="DJ19" s="447">
        <f t="shared" si="14"/>
        <v>3.9333333333333331</v>
      </c>
      <c r="DK19" s="535" t="str">
        <f t="shared" si="15"/>
        <v>0</v>
      </c>
      <c r="DL19" s="242">
        <v>14</v>
      </c>
      <c r="DM19" s="117">
        <f t="shared" si="16"/>
        <v>33</v>
      </c>
      <c r="DN19" s="316"/>
      <c r="DO19" s="315"/>
      <c r="DP19" s="701" t="str">
        <f t="shared" si="17"/>
        <v>0</v>
      </c>
      <c r="DQ19" s="720"/>
      <c r="DR19" s="622"/>
      <c r="DS19" s="623" t="str">
        <f t="shared" si="18"/>
        <v>0</v>
      </c>
      <c r="DT19" s="255"/>
      <c r="DU19" s="316"/>
      <c r="DV19" s="701" t="str">
        <f t="shared" si="19"/>
        <v>0</v>
      </c>
      <c r="DW19" s="315"/>
      <c r="DX19" s="316"/>
      <c r="DY19" s="701" t="str">
        <f t="shared" si="20"/>
        <v>0</v>
      </c>
      <c r="DZ19" s="323"/>
      <c r="EA19" s="323"/>
      <c r="EB19" s="701" t="str">
        <f t="shared" si="21"/>
        <v>0</v>
      </c>
      <c r="EC19" s="323"/>
      <c r="ED19" s="324"/>
      <c r="EE19" s="701" t="str">
        <f t="shared" si="22"/>
        <v>0</v>
      </c>
      <c r="EF19" s="316"/>
      <c r="EG19" s="316"/>
      <c r="EH19" s="701" t="str">
        <f t="shared" si="23"/>
        <v>0</v>
      </c>
      <c r="EI19" s="324"/>
      <c r="EJ19" s="324"/>
      <c r="EK19" s="324"/>
      <c r="EL19" s="461">
        <f t="shared" si="24"/>
        <v>41719</v>
      </c>
      <c r="EM19" s="353">
        <v>42326</v>
      </c>
      <c r="EN19" s="729">
        <f t="shared" si="25"/>
        <v>20.233333333333334</v>
      </c>
      <c r="EO19" s="461"/>
      <c r="EP19" s="116">
        <v>42338</v>
      </c>
      <c r="EQ19" s="116" t="s">
        <v>126</v>
      </c>
      <c r="ER19" s="116" t="s">
        <v>126</v>
      </c>
      <c r="ES19" s="461"/>
      <c r="ET19" s="461">
        <f t="shared" si="26"/>
        <v>41750</v>
      </c>
      <c r="EU19" s="353">
        <v>42409</v>
      </c>
      <c r="EV19" s="347">
        <v>2016</v>
      </c>
      <c r="EW19" s="726">
        <f t="shared" si="27"/>
        <v>21.966666666666665</v>
      </c>
      <c r="EX19" s="716">
        <f>106635.529075152/12</f>
        <v>8886.294089596</v>
      </c>
      <c r="EY19" s="315">
        <f t="shared" si="28"/>
        <v>195202.26016812545</v>
      </c>
      <c r="EZ19" s="116"/>
      <c r="FA19" s="558"/>
      <c r="FB19" s="710">
        <f t="shared" si="29"/>
        <v>406263</v>
      </c>
      <c r="FC19" s="562">
        <v>125069</v>
      </c>
      <c r="FD19" s="562"/>
      <c r="FE19" s="562"/>
      <c r="FF19" s="562"/>
      <c r="FG19" s="559"/>
      <c r="FH19" s="571" t="s">
        <v>749</v>
      </c>
      <c r="FI19" s="559"/>
      <c r="FJ19" s="559"/>
      <c r="FK19" s="200">
        <v>42321</v>
      </c>
      <c r="FL19" s="200"/>
      <c r="FM19" s="200" t="s">
        <v>531</v>
      </c>
      <c r="FN19" s="200">
        <v>42348</v>
      </c>
      <c r="FO19" s="200">
        <v>42430</v>
      </c>
      <c r="FP19" s="200">
        <v>42869</v>
      </c>
      <c r="FQ19" s="200">
        <f>DATE(YEAR(EM19)+1,MONTH(EM19),DAY(EM19))</f>
        <v>42692</v>
      </c>
      <c r="FR19" s="694">
        <v>56767</v>
      </c>
      <c r="FS19" s="123">
        <v>42530</v>
      </c>
      <c r="FT19" s="123">
        <v>42531</v>
      </c>
      <c r="FU19" s="123" t="s">
        <v>126</v>
      </c>
      <c r="FV19" s="123">
        <v>42884</v>
      </c>
      <c r="FW19" s="123"/>
      <c r="FX19" s="122"/>
      <c r="FY19" s="321" t="s">
        <v>533</v>
      </c>
      <c r="FZ19" s="321"/>
      <c r="GA19" s="605" t="s">
        <v>536</v>
      </c>
      <c r="GB19" s="235">
        <v>42808</v>
      </c>
      <c r="GC19" s="235" t="s">
        <v>126</v>
      </c>
      <c r="GD19" s="235">
        <v>42947</v>
      </c>
      <c r="GE19" s="122"/>
      <c r="GF19" s="154"/>
      <c r="GG19" s="619">
        <v>3365389</v>
      </c>
      <c r="GH19" s="8">
        <v>3674939</v>
      </c>
      <c r="GI19" s="430">
        <f>GS19+GX19+HE19+HX19+HC19+HI19+HF19</f>
        <v>3899161</v>
      </c>
      <c r="GJ19" s="10">
        <f t="shared" si="31"/>
        <v>224222</v>
      </c>
      <c r="GK19" s="46">
        <f t="shared" si="32"/>
        <v>2309.2454841575363</v>
      </c>
      <c r="GL19" s="46">
        <f t="shared" si="33"/>
        <v>177234.59090909091</v>
      </c>
      <c r="GM19" s="8">
        <v>3169080</v>
      </c>
      <c r="GN19" s="9"/>
      <c r="GO19" s="10">
        <f t="shared" si="34"/>
        <v>-3169080</v>
      </c>
      <c r="GP19" s="128">
        <f t="shared" si="35"/>
        <v>0.88045833685946884</v>
      </c>
      <c r="GQ19" s="129"/>
      <c r="GR19" s="8">
        <v>929819</v>
      </c>
      <c r="GS19" s="9">
        <v>929819</v>
      </c>
      <c r="GT19" s="64"/>
      <c r="GU19" s="19">
        <f t="shared" si="36"/>
        <v>42264.5</v>
      </c>
      <c r="GV19" s="33">
        <f t="shared" si="37"/>
        <v>0</v>
      </c>
      <c r="GW19" s="8">
        <v>1895079</v>
      </c>
      <c r="GX19" s="9">
        <f t="shared" si="38"/>
        <v>1895079</v>
      </c>
      <c r="GY19" s="11">
        <v>328778</v>
      </c>
      <c r="GZ19" s="11">
        <v>1566301</v>
      </c>
      <c r="HA19" s="33">
        <f t="shared" si="39"/>
        <v>0</v>
      </c>
      <c r="HB19" s="640">
        <f t="shared" si="40"/>
        <v>86139.954545454544</v>
      </c>
      <c r="HC19" s="9">
        <v>0</v>
      </c>
      <c r="HD19" s="8">
        <f>558000+110000</f>
        <v>668000</v>
      </c>
      <c r="HE19" s="13">
        <v>558000</v>
      </c>
      <c r="HF19" s="63">
        <v>110000</v>
      </c>
      <c r="HG19" s="36">
        <f t="shared" si="41"/>
        <v>0.14310770958162539</v>
      </c>
      <c r="HH19" s="642"/>
      <c r="HI19" s="13">
        <v>0</v>
      </c>
      <c r="HJ19" s="20">
        <f>HE19-HD19+HF19</f>
        <v>0</v>
      </c>
      <c r="HK19" s="19">
        <f t="shared" si="42"/>
        <v>25363.636363636364</v>
      </c>
      <c r="HL19" s="46">
        <f t="shared" si="43"/>
        <v>67628.136363636368</v>
      </c>
      <c r="HM19" s="20">
        <f t="shared" si="44"/>
        <v>0</v>
      </c>
      <c r="HN19" s="45"/>
      <c r="HO19" s="45"/>
      <c r="HP19" s="35">
        <v>1214321.7850000001</v>
      </c>
      <c r="HQ19" s="35">
        <v>440000</v>
      </c>
      <c r="HR19" s="19">
        <f t="shared" si="45"/>
        <v>87628.136363636368</v>
      </c>
      <c r="HS19" s="35">
        <v>91493</v>
      </c>
      <c r="HT19" s="19">
        <f t="shared" si="46"/>
        <v>91786.909090909088</v>
      </c>
      <c r="HU19" s="47">
        <f t="shared" si="47"/>
        <v>0.40825799874371793</v>
      </c>
      <c r="HV19" s="35">
        <v>167316.375</v>
      </c>
      <c r="HW19" s="435"/>
      <c r="HX19" s="436">
        <v>406263</v>
      </c>
      <c r="HY19" s="37">
        <f t="shared" si="48"/>
        <v>5113482.7850000001</v>
      </c>
      <c r="HZ19" s="233"/>
      <c r="IA19" s="233">
        <f t="shared" si="49"/>
        <v>0</v>
      </c>
      <c r="IB19" s="114"/>
      <c r="IC19" s="233"/>
      <c r="ID19" s="233"/>
      <c r="IE19" s="114"/>
      <c r="IF19" s="114"/>
      <c r="IG19" s="233"/>
      <c r="IH19" s="114"/>
      <c r="II19" s="233"/>
      <c r="IJ19" s="114"/>
      <c r="IK19" s="233"/>
      <c r="IL19" s="115"/>
      <c r="IM19" s="322"/>
      <c r="IN19" s="314"/>
      <c r="IO19" s="314"/>
      <c r="IP19" s="123"/>
      <c r="IQ19" s="233"/>
      <c r="IR19" s="123"/>
      <c r="IS19" s="233"/>
      <c r="IT19" s="323"/>
      <c r="IU19" s="323"/>
      <c r="IV19" s="323"/>
      <c r="IW19" s="323"/>
      <c r="IX19" s="268"/>
      <c r="IY19" s="268"/>
      <c r="IZ19" s="268"/>
      <c r="JA19" s="268"/>
      <c r="JB19" s="268"/>
      <c r="JC19" s="268"/>
      <c r="JD19" s="233"/>
      <c r="JE19" s="123"/>
      <c r="JF19" s="115"/>
      <c r="JG19" s="123"/>
      <c r="JH19" s="123"/>
      <c r="JI19" s="115"/>
    </row>
    <row r="20" spans="1:269" ht="15" customHeight="1">
      <c r="A20" s="648" t="s">
        <v>77</v>
      </c>
      <c r="B20" s="5" t="s">
        <v>34</v>
      </c>
      <c r="C20" s="5" t="s">
        <v>111</v>
      </c>
      <c r="D20" s="5">
        <v>2012</v>
      </c>
      <c r="E20" s="5" t="s">
        <v>88</v>
      </c>
      <c r="F20" s="5" t="s">
        <v>55</v>
      </c>
      <c r="G20" s="5" t="s">
        <v>471</v>
      </c>
      <c r="H20" s="5" t="s">
        <v>248</v>
      </c>
      <c r="I20" s="50"/>
      <c r="J20" s="50" t="s">
        <v>374</v>
      </c>
      <c r="K20" s="256" t="s">
        <v>501</v>
      </c>
      <c r="L20" s="153"/>
      <c r="M20" s="153"/>
      <c r="N20" s="153"/>
      <c r="O20" s="207">
        <v>7382</v>
      </c>
      <c r="P20" s="207">
        <v>243429</v>
      </c>
      <c r="Q20" s="207">
        <v>239545</v>
      </c>
      <c r="R20" s="207">
        <f t="shared" si="57"/>
        <v>10142.875</v>
      </c>
      <c r="S20" s="207">
        <f t="shared" si="58"/>
        <v>32.976022758060147</v>
      </c>
      <c r="T20" s="207">
        <f t="shared" si="59"/>
        <v>32.449878081820643</v>
      </c>
      <c r="U20" s="207">
        <f t="shared" si="60"/>
        <v>118.47636852830038</v>
      </c>
      <c r="V20" s="207">
        <f t="shared" si="61"/>
        <v>9981.0416666666661</v>
      </c>
      <c r="W20" s="207">
        <f t="shared" si="62"/>
        <v>307.58333333333331</v>
      </c>
      <c r="X20" s="208"/>
      <c r="Y20" s="209">
        <f t="shared" si="63"/>
        <v>0.27389325386074237</v>
      </c>
      <c r="Z20" s="208" t="s">
        <v>190</v>
      </c>
      <c r="AA20" s="210">
        <v>750</v>
      </c>
      <c r="AB20" s="211">
        <v>0.3</v>
      </c>
      <c r="AC20" s="5" t="s">
        <v>16</v>
      </c>
      <c r="AD20" s="318">
        <f t="shared" si="0"/>
        <v>24</v>
      </c>
      <c r="AE20" s="6"/>
      <c r="AF20" s="5">
        <v>24</v>
      </c>
      <c r="AG20" s="50"/>
      <c r="AH20" s="50"/>
      <c r="AI20" s="54"/>
      <c r="AJ20" s="7">
        <v>2021.88</v>
      </c>
      <c r="AK20" s="54"/>
      <c r="AL20" s="79">
        <v>2021.88</v>
      </c>
      <c r="AM20" s="7">
        <f t="shared" si="1"/>
        <v>84.245000000000005</v>
      </c>
      <c r="AN20" s="56"/>
      <c r="AO20" s="56"/>
      <c r="AP20" s="56"/>
      <c r="AQ20" s="56"/>
      <c r="AR20" s="56"/>
      <c r="AS20" s="7">
        <v>1700</v>
      </c>
      <c r="AT20" s="73">
        <v>486</v>
      </c>
      <c r="AU20" s="75">
        <f t="shared" si="64"/>
        <v>6.5835816851801676E-2</v>
      </c>
      <c r="AV20" s="54">
        <v>1.5</v>
      </c>
      <c r="AW20" s="53" t="s">
        <v>561</v>
      </c>
      <c r="AX20" s="7"/>
      <c r="AY20" s="785"/>
      <c r="AZ20" s="54"/>
      <c r="BA20" s="50"/>
      <c r="BB20" s="184">
        <v>40963</v>
      </c>
      <c r="BC20" s="422" t="s">
        <v>11</v>
      </c>
      <c r="BD20" s="422" t="s">
        <v>224</v>
      </c>
      <c r="BE20" s="1"/>
      <c r="BF20" s="204">
        <v>41170</v>
      </c>
      <c r="BG20" s="96"/>
      <c r="BH20" s="96"/>
      <c r="BI20" s="204">
        <v>41232</v>
      </c>
      <c r="BJ20" s="96"/>
      <c r="BK20" s="426"/>
      <c r="BL20" s="201"/>
      <c r="BM20" s="99"/>
      <c r="BN20" s="99"/>
      <c r="BO20" s="297">
        <v>41319</v>
      </c>
      <c r="BP20" s="297">
        <f t="shared" si="3"/>
        <v>42049</v>
      </c>
      <c r="BQ20" s="297">
        <f t="shared" si="4"/>
        <v>42414</v>
      </c>
      <c r="BR20" s="297"/>
      <c r="BS20" s="297" t="str">
        <f t="shared" ref="BS20:BS42" si="66">IF(EU20&gt;BP20,"oui","non")</f>
        <v>oui</v>
      </c>
      <c r="BT20" s="686" t="e">
        <f t="shared" si="5"/>
        <v>#NUM!</v>
      </c>
      <c r="BU20" s="686" t="e">
        <f t="shared" si="6"/>
        <v>#NUM!</v>
      </c>
      <c r="BV20" s="686" t="e">
        <f t="shared" si="7"/>
        <v>#NUM!</v>
      </c>
      <c r="BW20" s="99"/>
      <c r="BX20" s="426"/>
      <c r="BY20" s="99"/>
      <c r="BZ20" s="112"/>
      <c r="CA20" s="112"/>
      <c r="CB20" s="112"/>
      <c r="CC20" s="155" t="s">
        <v>69</v>
      </c>
      <c r="CD20" s="306">
        <v>41256</v>
      </c>
      <c r="CE20" s="251"/>
      <c r="CF20" s="156">
        <f>3849124.53/1.021</f>
        <v>3769955.4652301664</v>
      </c>
      <c r="CG20" s="588">
        <f t="shared" si="54"/>
        <v>41803</v>
      </c>
      <c r="CH20" s="408">
        <f t="shared" si="56"/>
        <v>41986</v>
      </c>
      <c r="CI20" s="344">
        <v>41850</v>
      </c>
      <c r="CJ20" s="251">
        <v>42109</v>
      </c>
      <c r="CK20" s="603">
        <f t="shared" si="65"/>
        <v>17.266666666666666</v>
      </c>
      <c r="CL20" s="123"/>
      <c r="CM20" s="123"/>
      <c r="CN20" s="123"/>
      <c r="CO20" s="529" t="str">
        <f t="shared" si="8"/>
        <v>0</v>
      </c>
      <c r="CP20" s="123"/>
      <c r="CQ20" s="123"/>
      <c r="CR20" s="529" t="str">
        <f t="shared" si="9"/>
        <v>0</v>
      </c>
      <c r="CS20" s="123"/>
      <c r="CT20" s="123"/>
      <c r="CU20" s="529" t="str">
        <f t="shared" si="10"/>
        <v>0</v>
      </c>
      <c r="CV20" s="123"/>
      <c r="CW20" s="123"/>
      <c r="CX20" s="529" t="str">
        <f t="shared" si="11"/>
        <v>0</v>
      </c>
      <c r="CY20" s="126"/>
      <c r="CZ20" s="575"/>
      <c r="DA20" s="529" t="str">
        <f t="shared" si="12"/>
        <v>0</v>
      </c>
      <c r="DB20" s="459"/>
      <c r="DC20" s="233"/>
      <c r="DD20" s="539"/>
      <c r="DE20" s="534"/>
      <c r="DF20" s="535" t="str">
        <f t="shared" si="13"/>
        <v>0</v>
      </c>
      <c r="DG20" s="539"/>
      <c r="DH20" s="351">
        <v>41572</v>
      </c>
      <c r="DI20" s="345">
        <v>2013</v>
      </c>
      <c r="DJ20" s="447">
        <f t="shared" si="14"/>
        <v>13.4</v>
      </c>
      <c r="DK20" s="535" t="str">
        <f t="shared" si="15"/>
        <v>0</v>
      </c>
      <c r="DL20" s="117">
        <v>17</v>
      </c>
      <c r="DM20" s="117">
        <f t="shared" si="16"/>
        <v>34</v>
      </c>
      <c r="DN20" s="316"/>
      <c r="DO20" s="315"/>
      <c r="DP20" s="701" t="str">
        <f t="shared" si="17"/>
        <v>0</v>
      </c>
      <c r="DQ20" s="720"/>
      <c r="DR20" s="622"/>
      <c r="DS20" s="623" t="str">
        <f t="shared" si="18"/>
        <v>0</v>
      </c>
      <c r="DT20" s="255"/>
      <c r="DU20" s="316"/>
      <c r="DV20" s="701" t="str">
        <f t="shared" si="19"/>
        <v>0</v>
      </c>
      <c r="DW20" s="315"/>
      <c r="DX20" s="316"/>
      <c r="DY20" s="701" t="str">
        <f t="shared" si="20"/>
        <v>0</v>
      </c>
      <c r="DZ20" s="324"/>
      <c r="EA20" s="324"/>
      <c r="EB20" s="701" t="str">
        <f t="shared" si="21"/>
        <v>0</v>
      </c>
      <c r="EC20" s="324"/>
      <c r="ED20" s="324"/>
      <c r="EE20" s="701" t="str">
        <f t="shared" si="22"/>
        <v>0</v>
      </c>
      <c r="EF20" s="316"/>
      <c r="EG20" s="316"/>
      <c r="EH20" s="701" t="str">
        <f t="shared" si="23"/>
        <v>0</v>
      </c>
      <c r="EI20" s="324"/>
      <c r="EJ20" s="324"/>
      <c r="EK20" s="324"/>
      <c r="EL20" s="461">
        <f t="shared" si="24"/>
        <v>42088</v>
      </c>
      <c r="EM20" s="351">
        <v>42619</v>
      </c>
      <c r="EN20" s="729">
        <f t="shared" si="25"/>
        <v>17.7</v>
      </c>
      <c r="EO20" s="461">
        <f>DATE(YEAR(CI20)+2,MONTH(CI20),DAY(CI20))</f>
        <v>42581</v>
      </c>
      <c r="EP20" s="116">
        <v>42633</v>
      </c>
      <c r="EQ20" s="116">
        <v>42342</v>
      </c>
      <c r="ER20" s="116" t="s">
        <v>126</v>
      </c>
      <c r="ES20" s="461"/>
      <c r="ET20" s="461">
        <f t="shared" si="26"/>
        <v>42119</v>
      </c>
      <c r="EU20" s="353">
        <v>42627</v>
      </c>
      <c r="EV20" s="347">
        <v>2016</v>
      </c>
      <c r="EW20" s="726">
        <f t="shared" si="27"/>
        <v>16.933333333333334</v>
      </c>
      <c r="EX20" s="716">
        <f>100906.540336335/12</f>
        <v>8408.8783613612504</v>
      </c>
      <c r="EY20" s="315">
        <f t="shared" si="28"/>
        <v>142390.34025238384</v>
      </c>
      <c r="EZ20" s="116" t="s">
        <v>126</v>
      </c>
      <c r="FA20" s="558"/>
      <c r="FB20" s="710">
        <f t="shared" si="29"/>
        <v>8439</v>
      </c>
      <c r="FC20" s="562"/>
      <c r="FD20" s="562"/>
      <c r="FE20" s="562"/>
      <c r="FF20" s="562"/>
      <c r="FG20" s="559"/>
      <c r="FH20" s="571" t="s">
        <v>751</v>
      </c>
      <c r="FI20" s="559"/>
      <c r="FJ20" s="559"/>
      <c r="FK20" s="200">
        <v>42702</v>
      </c>
      <c r="FL20" s="200"/>
      <c r="FM20" s="200" t="s">
        <v>126</v>
      </c>
      <c r="FN20" s="123" t="s">
        <v>126</v>
      </c>
      <c r="FO20" s="200">
        <v>42766</v>
      </c>
      <c r="FP20" s="200">
        <v>42979</v>
      </c>
      <c r="FQ20" s="123">
        <f>DATE(YEAR(EM20)+1,MONTH(EM20),DAY(EM20))</f>
        <v>42984</v>
      </c>
      <c r="FR20" s="692">
        <v>57355</v>
      </c>
      <c r="FS20" s="200">
        <v>42716</v>
      </c>
      <c r="FT20" s="200">
        <v>42755</v>
      </c>
      <c r="FU20" s="123"/>
      <c r="FV20" s="123"/>
      <c r="FW20" s="659"/>
      <c r="FX20" s="122"/>
      <c r="FY20" s="235">
        <v>42829</v>
      </c>
      <c r="FZ20" s="668" t="s">
        <v>801</v>
      </c>
      <c r="GA20" s="605"/>
      <c r="GB20" s="235">
        <v>42808</v>
      </c>
      <c r="GC20" s="183"/>
      <c r="GD20" s="235">
        <v>43214</v>
      </c>
      <c r="GE20" s="122"/>
      <c r="GF20" s="154"/>
      <c r="GG20" s="619">
        <v>3907101</v>
      </c>
      <c r="GH20" s="8">
        <v>4128660.85</v>
      </c>
      <c r="GI20" s="430">
        <f>GS20+GX20+HE20+HX20+HC20+HI20+HH20</f>
        <v>4111004</v>
      </c>
      <c r="GJ20" s="10">
        <f t="shared" si="31"/>
        <v>-17656.850000000093</v>
      </c>
      <c r="GK20" s="46">
        <f t="shared" si="32"/>
        <v>2033.2581557758126</v>
      </c>
      <c r="GL20" s="46">
        <f t="shared" si="33"/>
        <v>171291.83333333334</v>
      </c>
      <c r="GM20" s="8">
        <v>3645377</v>
      </c>
      <c r="GN20" s="9"/>
      <c r="GO20" s="10">
        <f t="shared" si="34"/>
        <v>-3645377</v>
      </c>
      <c r="GP20" s="128">
        <f t="shared" si="35"/>
        <v>0.90148599079045189</v>
      </c>
      <c r="GQ20" s="129"/>
      <c r="GR20" s="8">
        <v>1196851</v>
      </c>
      <c r="GS20" s="9">
        <v>1196851</v>
      </c>
      <c r="GT20" s="64"/>
      <c r="GU20" s="19">
        <f t="shared" si="36"/>
        <v>49868.791666666664</v>
      </c>
      <c r="GV20" s="33">
        <f t="shared" si="37"/>
        <v>0</v>
      </c>
      <c r="GW20" s="8">
        <v>2362522</v>
      </c>
      <c r="GX20" s="9">
        <f t="shared" si="38"/>
        <v>2362522</v>
      </c>
      <c r="GY20" s="11">
        <v>585357</v>
      </c>
      <c r="GZ20" s="11">
        <v>1777165</v>
      </c>
      <c r="HA20" s="33">
        <f t="shared" si="39"/>
        <v>0</v>
      </c>
      <c r="HB20" s="640">
        <f t="shared" si="40"/>
        <v>98438.416666666672</v>
      </c>
      <c r="HC20" s="9">
        <v>0</v>
      </c>
      <c r="HD20" s="8">
        <f>264000+120000</f>
        <v>384000</v>
      </c>
      <c r="HE20" s="13">
        <v>384000</v>
      </c>
      <c r="HF20" s="63"/>
      <c r="HG20" s="36">
        <f t="shared" si="41"/>
        <v>9.3407839058293307E-2</v>
      </c>
      <c r="HH20" s="642">
        <v>159192</v>
      </c>
      <c r="HI20" s="13">
        <v>0</v>
      </c>
      <c r="HJ20" s="20">
        <f>HE20-HD20</f>
        <v>0</v>
      </c>
      <c r="HK20" s="19">
        <f t="shared" si="42"/>
        <v>16000</v>
      </c>
      <c r="HL20" s="46">
        <f t="shared" si="43"/>
        <v>65868.791666666672</v>
      </c>
      <c r="HM20" s="20">
        <f t="shared" si="44"/>
        <v>0</v>
      </c>
      <c r="HN20" s="45"/>
      <c r="HO20" s="45"/>
      <c r="HP20" s="35">
        <v>913316.69861249998</v>
      </c>
      <c r="HQ20" s="35">
        <v>480000</v>
      </c>
      <c r="HR20" s="19">
        <f t="shared" si="45"/>
        <v>85868.791666666672</v>
      </c>
      <c r="HS20" s="35">
        <v>148968.80577250005</v>
      </c>
      <c r="HT20" s="19">
        <f t="shared" si="46"/>
        <v>92075.825240520833</v>
      </c>
      <c r="HU20" s="47">
        <f t="shared" si="47"/>
        <v>0.46259577137783203</v>
      </c>
      <c r="HV20" s="35">
        <v>247321.11820000003</v>
      </c>
      <c r="HW20" s="435"/>
      <c r="HX20" s="436">
        <v>8439</v>
      </c>
      <c r="HY20" s="37">
        <f t="shared" si="48"/>
        <v>5024320.6986125</v>
      </c>
      <c r="HZ20" s="233"/>
      <c r="IA20" s="233">
        <f t="shared" si="49"/>
        <v>0</v>
      </c>
      <c r="IB20" s="114"/>
      <c r="IC20" s="233"/>
      <c r="ID20" s="233"/>
      <c r="IE20" s="114"/>
      <c r="IF20" s="114"/>
      <c r="IG20" s="233"/>
      <c r="IH20" s="114"/>
      <c r="II20" s="233"/>
      <c r="IJ20" s="114"/>
      <c r="IK20" s="233"/>
      <c r="IL20" s="115"/>
      <c r="IM20" s="322"/>
      <c r="IN20" s="314"/>
      <c r="IO20" s="314"/>
      <c r="IP20" s="123"/>
      <c r="IQ20" s="233"/>
      <c r="IR20" s="123"/>
      <c r="IS20" s="233"/>
      <c r="IT20" s="115"/>
      <c r="IU20" s="115"/>
      <c r="IV20" s="115"/>
      <c r="IW20" s="115"/>
      <c r="IX20" s="268"/>
      <c r="IY20" s="268"/>
      <c r="IZ20" s="268"/>
      <c r="JA20" s="268"/>
      <c r="JB20" s="268"/>
      <c r="JC20" s="268"/>
      <c r="JD20" s="233"/>
      <c r="JE20" s="123"/>
      <c r="JF20" s="115"/>
      <c r="JG20" s="123"/>
      <c r="JH20" s="123"/>
      <c r="JI20" s="115"/>
    </row>
    <row r="21" spans="1:269" ht="15" customHeight="1">
      <c r="A21" s="732" t="s">
        <v>385</v>
      </c>
      <c r="B21" s="5" t="s">
        <v>35</v>
      </c>
      <c r="C21" s="5" t="s">
        <v>110</v>
      </c>
      <c r="D21" s="5">
        <v>2012</v>
      </c>
      <c r="E21" s="5" t="s">
        <v>87</v>
      </c>
      <c r="F21" s="5" t="s">
        <v>383</v>
      </c>
      <c r="G21" s="5" t="s">
        <v>471</v>
      </c>
      <c r="H21" s="5" t="s">
        <v>248</v>
      </c>
      <c r="I21" s="50"/>
      <c r="J21" s="50"/>
      <c r="K21" s="256"/>
      <c r="L21" s="153"/>
      <c r="M21" s="153"/>
      <c r="N21" s="153"/>
      <c r="O21" s="207">
        <v>2666</v>
      </c>
      <c r="P21" s="207">
        <v>209000</v>
      </c>
      <c r="Q21" s="207">
        <v>154394</v>
      </c>
      <c r="R21" s="207">
        <f t="shared" si="57"/>
        <v>12294.117647058823</v>
      </c>
      <c r="S21" s="207">
        <f t="shared" si="58"/>
        <v>78.394598649662413</v>
      </c>
      <c r="T21" s="207">
        <f t="shared" si="59"/>
        <v>57.912228057014254</v>
      </c>
      <c r="U21" s="207">
        <f t="shared" si="60"/>
        <v>124.49121109498468</v>
      </c>
      <c r="V21" s="207">
        <f t="shared" si="61"/>
        <v>9082</v>
      </c>
      <c r="W21" s="207">
        <f t="shared" si="62"/>
        <v>156.8235294117647</v>
      </c>
      <c r="X21" s="207"/>
      <c r="Y21" s="209">
        <f t="shared" si="63"/>
        <v>0.46519129782445612</v>
      </c>
      <c r="Z21" s="208" t="s">
        <v>185</v>
      </c>
      <c r="AA21" s="210"/>
      <c r="AB21" s="211"/>
      <c r="AC21" s="5" t="s">
        <v>16</v>
      </c>
      <c r="AD21" s="318">
        <f t="shared" si="0"/>
        <v>17</v>
      </c>
      <c r="AE21" s="6"/>
      <c r="AF21" s="5">
        <v>17</v>
      </c>
      <c r="AG21" s="50"/>
      <c r="AH21" s="50"/>
      <c r="AI21" s="54"/>
      <c r="AJ21" s="7">
        <v>1240.2</v>
      </c>
      <c r="AK21" s="54"/>
      <c r="AL21" s="79">
        <v>1240.2</v>
      </c>
      <c r="AM21" s="7">
        <f t="shared" si="1"/>
        <v>72.952941176470588</v>
      </c>
      <c r="AN21" s="54"/>
      <c r="AO21" s="54"/>
      <c r="AP21" s="54"/>
      <c r="AQ21" s="54"/>
      <c r="AR21" s="54"/>
      <c r="AS21" s="7">
        <v>760</v>
      </c>
      <c r="AT21" s="73">
        <f>30*10</f>
        <v>300</v>
      </c>
      <c r="AU21" s="75">
        <f t="shared" si="64"/>
        <v>0.11252813203300825</v>
      </c>
      <c r="AV21" s="54">
        <v>3</v>
      </c>
      <c r="AW21" s="53" t="s">
        <v>561</v>
      </c>
      <c r="AX21" s="7" t="s">
        <v>119</v>
      </c>
      <c r="AY21" s="785"/>
      <c r="AZ21" s="54"/>
      <c r="BA21" s="290"/>
      <c r="BB21" s="238">
        <v>40963</v>
      </c>
      <c r="BC21" s="422" t="s">
        <v>11</v>
      </c>
      <c r="BD21" s="422" t="s">
        <v>223</v>
      </c>
      <c r="BE21" s="1"/>
      <c r="BF21" s="204">
        <v>41170</v>
      </c>
      <c r="BG21" s="96"/>
      <c r="BH21" s="96"/>
      <c r="BI21" s="204">
        <v>41225</v>
      </c>
      <c r="BJ21" s="96"/>
      <c r="BK21" s="426"/>
      <c r="BL21" s="201"/>
      <c r="BM21" s="99"/>
      <c r="BN21" s="99"/>
      <c r="BO21" s="297">
        <v>41319</v>
      </c>
      <c r="BP21" s="297">
        <f t="shared" si="3"/>
        <v>42049</v>
      </c>
      <c r="BQ21" s="297">
        <f t="shared" si="4"/>
        <v>42414</v>
      </c>
      <c r="BR21" s="297"/>
      <c r="BS21" s="297" t="str">
        <f t="shared" si="66"/>
        <v>oui</v>
      </c>
      <c r="BT21" s="686" t="e">
        <f t="shared" si="5"/>
        <v>#NUM!</v>
      </c>
      <c r="BU21" s="686" t="e">
        <f t="shared" si="6"/>
        <v>#NUM!</v>
      </c>
      <c r="BV21" s="686" t="e">
        <f t="shared" si="7"/>
        <v>#NUM!</v>
      </c>
      <c r="BW21" s="99"/>
      <c r="BX21" s="426"/>
      <c r="BY21" s="99"/>
      <c r="BZ21" s="112"/>
      <c r="CA21" s="112"/>
      <c r="CB21" s="112"/>
      <c r="CC21" s="155" t="s">
        <v>142</v>
      </c>
      <c r="CD21" s="306">
        <v>41255</v>
      </c>
      <c r="CE21" s="251"/>
      <c r="CF21" s="156">
        <f>2504271.14/1.021</f>
        <v>2452763.1145935361</v>
      </c>
      <c r="CG21" s="588">
        <f t="shared" si="54"/>
        <v>41802</v>
      </c>
      <c r="CH21" s="408">
        <f t="shared" si="56"/>
        <v>41985</v>
      </c>
      <c r="CI21" s="344">
        <v>41744</v>
      </c>
      <c r="CJ21" s="251">
        <v>42047</v>
      </c>
      <c r="CK21" s="603">
        <f t="shared" si="65"/>
        <v>22.633333333333333</v>
      </c>
      <c r="CL21" s="123"/>
      <c r="CM21" s="123"/>
      <c r="CN21" s="123"/>
      <c r="CO21" s="529" t="str">
        <f t="shared" si="8"/>
        <v>0</v>
      </c>
      <c r="CP21" s="123"/>
      <c r="CQ21" s="123"/>
      <c r="CR21" s="529" t="str">
        <f t="shared" si="9"/>
        <v>0</v>
      </c>
      <c r="CS21" s="123"/>
      <c r="CT21" s="123"/>
      <c r="CU21" s="529" t="str">
        <f t="shared" si="10"/>
        <v>0</v>
      </c>
      <c r="CV21" s="123"/>
      <c r="CW21" s="123"/>
      <c r="CX21" s="529" t="str">
        <f t="shared" si="11"/>
        <v>0</v>
      </c>
      <c r="CY21" s="126"/>
      <c r="CZ21" s="575"/>
      <c r="DA21" s="529" t="str">
        <f t="shared" si="12"/>
        <v>0</v>
      </c>
      <c r="DB21" s="459"/>
      <c r="DC21" s="233"/>
      <c r="DD21" s="539"/>
      <c r="DE21" s="534"/>
      <c r="DF21" s="535" t="str">
        <f t="shared" si="13"/>
        <v>0</v>
      </c>
      <c r="DG21" s="539"/>
      <c r="DH21" s="354">
        <v>41309</v>
      </c>
      <c r="DI21" s="345">
        <v>2013</v>
      </c>
      <c r="DJ21" s="447">
        <f t="shared" si="14"/>
        <v>4.6333333333333337</v>
      </c>
      <c r="DK21" s="535" t="str">
        <f t="shared" si="15"/>
        <v>0</v>
      </c>
      <c r="DL21" s="255">
        <v>14</v>
      </c>
      <c r="DM21" s="326">
        <f t="shared" si="16"/>
        <v>46</v>
      </c>
      <c r="DN21" s="123"/>
      <c r="DO21" s="233"/>
      <c r="DP21" s="529" t="str">
        <f t="shared" si="17"/>
        <v>0</v>
      </c>
      <c r="DQ21" s="577"/>
      <c r="DR21" s="573"/>
      <c r="DS21" s="532" t="str">
        <f t="shared" si="18"/>
        <v>0</v>
      </c>
      <c r="DT21" s="126"/>
      <c r="DU21" s="316"/>
      <c r="DV21" s="529" t="str">
        <f t="shared" si="19"/>
        <v>0</v>
      </c>
      <c r="DW21" s="123"/>
      <c r="DX21" s="123"/>
      <c r="DY21" s="529" t="str">
        <f t="shared" si="20"/>
        <v>0</v>
      </c>
      <c r="DZ21" s="123"/>
      <c r="EA21" s="123"/>
      <c r="EB21" s="529" t="str">
        <f t="shared" si="21"/>
        <v>0</v>
      </c>
      <c r="EC21" s="123"/>
      <c r="ED21" s="123"/>
      <c r="EE21" s="529" t="str">
        <f t="shared" si="22"/>
        <v>0</v>
      </c>
      <c r="EF21" s="123"/>
      <c r="EG21" s="123"/>
      <c r="EH21" s="529" t="str">
        <f t="shared" si="23"/>
        <v>0</v>
      </c>
      <c r="EI21" s="123"/>
      <c r="EJ21" s="123"/>
      <c r="EK21" s="123"/>
      <c r="EL21" s="711">
        <f t="shared" si="24"/>
        <v>41733</v>
      </c>
      <c r="EM21" s="354">
        <v>42713</v>
      </c>
      <c r="EN21" s="729">
        <f t="shared" si="25"/>
        <v>32.666666666666664</v>
      </c>
      <c r="EO21" s="763">
        <f>DATE(YEAR(CI21)+2,MONTH(CI21),DAY(CI21))</f>
        <v>42475</v>
      </c>
      <c r="EP21" s="316">
        <v>42788</v>
      </c>
      <c r="EQ21" s="316" t="s">
        <v>126</v>
      </c>
      <c r="ER21" s="316" t="s">
        <v>126</v>
      </c>
      <c r="ES21" s="608"/>
      <c r="ET21" s="461">
        <f t="shared" si="26"/>
        <v>41763</v>
      </c>
      <c r="EU21" s="353">
        <v>42726</v>
      </c>
      <c r="EV21" s="347">
        <v>2016</v>
      </c>
      <c r="EW21" s="726">
        <f t="shared" si="27"/>
        <v>32.1</v>
      </c>
      <c r="EX21" s="717">
        <f>79535/12</f>
        <v>6627.916666666667</v>
      </c>
      <c r="EY21" s="315">
        <f t="shared" si="28"/>
        <v>212756.12500000003</v>
      </c>
      <c r="EZ21" s="316" t="s">
        <v>126</v>
      </c>
      <c r="FA21" s="558"/>
      <c r="FB21" s="710">
        <f t="shared" si="29"/>
        <v>0</v>
      </c>
      <c r="FC21" s="562"/>
      <c r="FD21" s="562"/>
      <c r="FE21" s="562"/>
      <c r="FF21" s="562"/>
      <c r="FG21" s="559"/>
      <c r="FH21" s="571" t="s">
        <v>752</v>
      </c>
      <c r="FI21" s="559"/>
      <c r="FJ21" s="559"/>
      <c r="FK21" s="119" t="s">
        <v>530</v>
      </c>
      <c r="FL21" s="119"/>
      <c r="FM21" s="321" t="s">
        <v>578</v>
      </c>
      <c r="FN21" s="119" t="s">
        <v>808</v>
      </c>
      <c r="FO21" s="200">
        <v>42928</v>
      </c>
      <c r="FP21" s="200">
        <v>43000</v>
      </c>
      <c r="FQ21" s="123">
        <f>DATE(YEAR(EM21)+1,MONTH(EM21),DAY(EM21))</f>
        <v>43078</v>
      </c>
      <c r="FR21" s="692">
        <v>41687</v>
      </c>
      <c r="FS21" s="194">
        <v>42779</v>
      </c>
      <c r="FT21" s="194">
        <v>42779</v>
      </c>
      <c r="FU21" s="122"/>
      <c r="FV21" s="122"/>
      <c r="FW21" s="659"/>
      <c r="FX21" s="122"/>
      <c r="FY21" s="122">
        <v>42915</v>
      </c>
      <c r="FZ21" s="183" t="s">
        <v>800</v>
      </c>
      <c r="GA21" s="122"/>
      <c r="GB21" s="235">
        <v>42808</v>
      </c>
      <c r="GC21" s="235" t="s">
        <v>126</v>
      </c>
      <c r="GD21" s="122"/>
      <c r="GE21" s="122"/>
      <c r="GF21" s="154"/>
      <c r="GG21" s="619">
        <v>2618300</v>
      </c>
      <c r="GH21" s="8">
        <v>3231832.2199999997</v>
      </c>
      <c r="GI21" s="430">
        <f>GS21+GX21+HE21+HX21+HC21+HI21+HH21+HF21</f>
        <v>3203900</v>
      </c>
      <c r="GJ21" s="10">
        <f t="shared" si="31"/>
        <v>-27932.219999999739</v>
      </c>
      <c r="GK21" s="46">
        <f t="shared" si="32"/>
        <v>2583.373649411385</v>
      </c>
      <c r="GL21" s="46">
        <f t="shared" si="33"/>
        <v>188464.70588235295</v>
      </c>
      <c r="GM21" s="8">
        <v>2379882</v>
      </c>
      <c r="GN21" s="9"/>
      <c r="GO21" s="10">
        <f t="shared" si="34"/>
        <v>-2379882</v>
      </c>
      <c r="GP21" s="128">
        <f t="shared" si="35"/>
        <v>0.75185200115369855</v>
      </c>
      <c r="GQ21" s="129"/>
      <c r="GR21" s="8">
        <v>750247</v>
      </c>
      <c r="GS21" s="9">
        <v>750248</v>
      </c>
      <c r="GT21" s="64"/>
      <c r="GU21" s="19">
        <f t="shared" si="36"/>
        <v>44132.23529411765</v>
      </c>
      <c r="GV21" s="33">
        <f t="shared" si="37"/>
        <v>1</v>
      </c>
      <c r="GW21" s="8">
        <v>1395754</v>
      </c>
      <c r="GX21" s="9">
        <f t="shared" si="38"/>
        <v>1395754</v>
      </c>
      <c r="GY21" s="11">
        <v>259962</v>
      </c>
      <c r="GZ21" s="11">
        <v>1135792</v>
      </c>
      <c r="HA21" s="33">
        <f t="shared" si="39"/>
        <v>0</v>
      </c>
      <c r="HB21" s="640">
        <f t="shared" si="40"/>
        <v>82103.176470588238</v>
      </c>
      <c r="HC21" s="9">
        <v>0</v>
      </c>
      <c r="HD21" s="8">
        <f>254997+85000</f>
        <v>339997</v>
      </c>
      <c r="HE21" s="13">
        <v>254997</v>
      </c>
      <c r="HF21" s="63">
        <v>85000</v>
      </c>
      <c r="HG21" s="36">
        <f t="shared" si="41"/>
        <v>7.9589562720434465E-2</v>
      </c>
      <c r="HH21" s="642">
        <v>717901</v>
      </c>
      <c r="HI21" s="13">
        <v>0</v>
      </c>
      <c r="HJ21" s="20">
        <f>HE21-HD21+HF21</f>
        <v>0</v>
      </c>
      <c r="HK21" s="19">
        <f t="shared" si="42"/>
        <v>14999.823529411764</v>
      </c>
      <c r="HL21" s="46">
        <f t="shared" si="43"/>
        <v>59132.058823529413</v>
      </c>
      <c r="HM21" s="20">
        <f t="shared" si="44"/>
        <v>0</v>
      </c>
      <c r="HN21" s="45"/>
      <c r="HO21" s="45"/>
      <c r="HP21" s="35">
        <v>508572.84914999997</v>
      </c>
      <c r="HQ21" s="35">
        <v>340000</v>
      </c>
      <c r="HR21" s="19">
        <f t="shared" si="45"/>
        <v>79132.058823529413</v>
      </c>
      <c r="HS21" s="35">
        <v>0</v>
      </c>
      <c r="HT21" s="19">
        <f t="shared" si="46"/>
        <v>79132.058823529413</v>
      </c>
      <c r="HU21" s="47">
        <f t="shared" si="47"/>
        <v>0.37842672261036625</v>
      </c>
      <c r="HV21" s="35">
        <v>157636.68239999999</v>
      </c>
      <c r="HW21" s="35"/>
      <c r="HX21" s="436"/>
      <c r="HY21" s="37">
        <f t="shared" si="48"/>
        <v>3712472.8491500001</v>
      </c>
      <c r="HZ21" s="233"/>
      <c r="IA21" s="233">
        <f t="shared" si="49"/>
        <v>0</v>
      </c>
      <c r="IB21" s="114"/>
      <c r="IC21" s="233"/>
      <c r="ID21" s="233"/>
      <c r="IE21" s="114"/>
      <c r="IF21" s="114"/>
      <c r="IG21" s="233"/>
      <c r="IH21" s="114"/>
      <c r="II21" s="233"/>
      <c r="IJ21" s="114"/>
      <c r="IK21" s="233"/>
      <c r="IL21" s="115"/>
      <c r="IM21" s="322"/>
      <c r="IN21" s="314"/>
      <c r="IO21" s="314"/>
      <c r="IP21" s="123"/>
      <c r="IQ21" s="233"/>
      <c r="IR21" s="123"/>
      <c r="IS21" s="233"/>
      <c r="IT21" s="115"/>
      <c r="IU21" s="115"/>
      <c r="IV21" s="115"/>
      <c r="IW21" s="115"/>
      <c r="IX21" s="268"/>
      <c r="IY21" s="268"/>
      <c r="IZ21" s="268"/>
      <c r="JA21" s="268"/>
      <c r="JB21" s="268"/>
      <c r="JC21" s="268"/>
      <c r="JD21" s="233"/>
      <c r="JE21" s="123"/>
      <c r="JF21" s="115"/>
      <c r="JG21" s="123"/>
      <c r="JH21" s="123"/>
      <c r="JI21" s="115"/>
    </row>
    <row r="22" spans="1:269" ht="15" customHeight="1">
      <c r="A22" s="732" t="s">
        <v>76</v>
      </c>
      <c r="B22" s="5" t="s">
        <v>35</v>
      </c>
      <c r="C22" s="5" t="s">
        <v>110</v>
      </c>
      <c r="D22" s="5">
        <v>2012</v>
      </c>
      <c r="E22" s="5" t="s">
        <v>86</v>
      </c>
      <c r="F22" s="5" t="s">
        <v>382</v>
      </c>
      <c r="G22" s="5" t="s">
        <v>624</v>
      </c>
      <c r="H22" s="5" t="s">
        <v>248</v>
      </c>
      <c r="I22" s="50"/>
      <c r="J22" s="50"/>
      <c r="K22" s="398" t="s">
        <v>599</v>
      </c>
      <c r="L22" s="153"/>
      <c r="M22" s="153"/>
      <c r="N22" s="153"/>
      <c r="O22" s="207">
        <v>12495</v>
      </c>
      <c r="P22" s="207">
        <v>825000</v>
      </c>
      <c r="Q22" s="207">
        <v>546365</v>
      </c>
      <c r="R22" s="207">
        <f t="shared" si="57"/>
        <v>12692.307692307691</v>
      </c>
      <c r="S22" s="207">
        <f t="shared" si="58"/>
        <v>66.026410564225685</v>
      </c>
      <c r="T22" s="207">
        <f t="shared" si="59"/>
        <v>43.726690676270508</v>
      </c>
      <c r="U22" s="207">
        <f t="shared" si="60"/>
        <v>102.74383478695837</v>
      </c>
      <c r="V22" s="207">
        <f t="shared" si="61"/>
        <v>8405.6153846153848</v>
      </c>
      <c r="W22" s="207">
        <f t="shared" si="62"/>
        <v>192.23076923076923</v>
      </c>
      <c r="X22" s="207"/>
      <c r="Y22" s="209">
        <f t="shared" si="63"/>
        <v>0.42558943577430969</v>
      </c>
      <c r="Z22" s="208" t="s">
        <v>203</v>
      </c>
      <c r="AA22" s="210">
        <v>850</v>
      </c>
      <c r="AB22" s="211"/>
      <c r="AC22" s="5" t="s">
        <v>16</v>
      </c>
      <c r="AD22" s="318">
        <f t="shared" si="0"/>
        <v>65</v>
      </c>
      <c r="AE22" s="6"/>
      <c r="AF22" s="5">
        <v>65</v>
      </c>
      <c r="AG22" s="50"/>
      <c r="AH22" s="50"/>
      <c r="AI22" s="690"/>
      <c r="AJ22" s="7">
        <v>5311.74</v>
      </c>
      <c r="AK22" s="54"/>
      <c r="AL22" s="79">
        <v>5317.74</v>
      </c>
      <c r="AM22" s="7">
        <f t="shared" si="1"/>
        <v>81.811384615384611</v>
      </c>
      <c r="AN22" s="75">
        <f>0/AD22</f>
        <v>0</v>
      </c>
      <c r="AO22" s="75">
        <f>19/AD22</f>
        <v>0.29230769230769232</v>
      </c>
      <c r="AP22" s="75">
        <f>20/AD22</f>
        <v>0.30769230769230771</v>
      </c>
      <c r="AQ22" s="75">
        <f>23/AD22</f>
        <v>0.35384615384615387</v>
      </c>
      <c r="AR22" s="75">
        <f>3/AD22</f>
        <v>4.6153846153846156E-2</v>
      </c>
      <c r="AS22" s="7" t="s">
        <v>200</v>
      </c>
      <c r="AT22" s="73">
        <v>2000</v>
      </c>
      <c r="AU22" s="75">
        <f t="shared" si="64"/>
        <v>0.1600640256102441</v>
      </c>
      <c r="AV22" s="54">
        <v>2.5</v>
      </c>
      <c r="AW22" s="53" t="s">
        <v>561</v>
      </c>
      <c r="AX22" s="7"/>
      <c r="AY22" s="785"/>
      <c r="AZ22" s="54"/>
      <c r="BA22" s="50"/>
      <c r="BB22" s="184">
        <v>40963</v>
      </c>
      <c r="BC22" s="422" t="s">
        <v>12</v>
      </c>
      <c r="BD22" s="422" t="s">
        <v>227</v>
      </c>
      <c r="BE22" s="1"/>
      <c r="BF22" s="204">
        <v>41091</v>
      </c>
      <c r="BG22" s="96"/>
      <c r="BH22" s="96"/>
      <c r="BI22" s="204">
        <v>41134</v>
      </c>
      <c r="BJ22" s="96"/>
      <c r="BK22" s="426"/>
      <c r="BL22" s="201"/>
      <c r="BM22" s="99"/>
      <c r="BN22" s="99"/>
      <c r="BO22" s="297">
        <v>41319</v>
      </c>
      <c r="BP22" s="297">
        <f t="shared" si="3"/>
        <v>42049</v>
      </c>
      <c r="BQ22" s="297">
        <f t="shared" si="4"/>
        <v>42414</v>
      </c>
      <c r="BR22" s="297"/>
      <c r="BS22" s="297" t="str">
        <f t="shared" si="66"/>
        <v>oui</v>
      </c>
      <c r="BT22" s="686" t="e">
        <f t="shared" si="5"/>
        <v>#NUM!</v>
      </c>
      <c r="BU22" s="686" t="e">
        <f t="shared" si="6"/>
        <v>#NUM!</v>
      </c>
      <c r="BV22" s="686" t="e">
        <f t="shared" si="7"/>
        <v>#NUM!</v>
      </c>
      <c r="BW22" s="99"/>
      <c r="BX22" s="426"/>
      <c r="BY22" s="99"/>
      <c r="BZ22" s="112"/>
      <c r="CA22" s="112"/>
      <c r="CB22" s="112"/>
      <c r="CC22" s="155" t="s">
        <v>142</v>
      </c>
      <c r="CD22" s="306">
        <v>41261</v>
      </c>
      <c r="CE22" s="251"/>
      <c r="CF22" s="156">
        <v>9654414.4900000002</v>
      </c>
      <c r="CG22" s="588">
        <f t="shared" si="54"/>
        <v>41808</v>
      </c>
      <c r="CH22" s="408">
        <f t="shared" si="56"/>
        <v>41991</v>
      </c>
      <c r="CI22" s="344">
        <v>41785</v>
      </c>
      <c r="CJ22" s="251">
        <v>41927</v>
      </c>
      <c r="CK22" s="603">
        <f t="shared" si="65"/>
        <v>31.733333333333334</v>
      </c>
      <c r="CL22" s="123"/>
      <c r="CM22" s="115"/>
      <c r="CN22" s="115"/>
      <c r="CO22" s="529" t="str">
        <f t="shared" si="8"/>
        <v>0</v>
      </c>
      <c r="CP22" s="123"/>
      <c r="CQ22" s="123"/>
      <c r="CR22" s="529" t="str">
        <f t="shared" si="9"/>
        <v>0</v>
      </c>
      <c r="CS22" s="126"/>
      <c r="CT22" s="123"/>
      <c r="CU22" s="529" t="str">
        <f t="shared" si="10"/>
        <v>0</v>
      </c>
      <c r="CV22" s="126"/>
      <c r="CW22" s="123"/>
      <c r="CX22" s="529" t="str">
        <f t="shared" si="11"/>
        <v>0</v>
      </c>
      <c r="CY22" s="126"/>
      <c r="CZ22" s="575"/>
      <c r="DA22" s="529" t="str">
        <f t="shared" si="12"/>
        <v>0</v>
      </c>
      <c r="DB22" s="240"/>
      <c r="DC22" s="233"/>
      <c r="DD22" s="539"/>
      <c r="DE22" s="534"/>
      <c r="DF22" s="535" t="str">
        <f t="shared" si="13"/>
        <v>0</v>
      </c>
      <c r="DG22" s="539"/>
      <c r="DH22" s="351">
        <v>41320</v>
      </c>
      <c r="DI22" s="345">
        <v>2013</v>
      </c>
      <c r="DJ22" s="447">
        <f t="shared" si="14"/>
        <v>7.6333333333333337</v>
      </c>
      <c r="DK22" s="535" t="str">
        <f t="shared" si="15"/>
        <v>0</v>
      </c>
      <c r="DL22" s="117">
        <v>21</v>
      </c>
      <c r="DM22" s="117">
        <f t="shared" si="16"/>
        <v>51</v>
      </c>
      <c r="DN22" s="123"/>
      <c r="DO22" s="233"/>
      <c r="DP22" s="529" t="str">
        <f t="shared" si="17"/>
        <v>0</v>
      </c>
      <c r="DQ22" s="577"/>
      <c r="DR22" s="573"/>
      <c r="DS22" s="532" t="str">
        <f t="shared" si="18"/>
        <v>0</v>
      </c>
      <c r="DT22" s="126"/>
      <c r="DU22" s="316"/>
      <c r="DV22" s="529" t="str">
        <f t="shared" si="19"/>
        <v>0</v>
      </c>
      <c r="DW22" s="233"/>
      <c r="DX22" s="123"/>
      <c r="DY22" s="529" t="str">
        <f t="shared" si="20"/>
        <v>0</v>
      </c>
      <c r="DZ22" s="115"/>
      <c r="EA22" s="115"/>
      <c r="EB22" s="529" t="str">
        <f t="shared" si="21"/>
        <v>0</v>
      </c>
      <c r="EC22" s="115"/>
      <c r="ED22" s="115"/>
      <c r="EE22" s="529" t="str">
        <f t="shared" si="22"/>
        <v>0</v>
      </c>
      <c r="EF22" s="115"/>
      <c r="EG22" s="115"/>
      <c r="EH22" s="529" t="str">
        <f t="shared" si="23"/>
        <v>0</v>
      </c>
      <c r="EI22" s="115"/>
      <c r="EJ22" s="115"/>
      <c r="EK22" s="115"/>
      <c r="EL22" s="579">
        <f t="shared" si="24"/>
        <v>41958</v>
      </c>
      <c r="EM22" s="352">
        <v>42875</v>
      </c>
      <c r="EN22" s="729">
        <f t="shared" si="25"/>
        <v>30.566666666666666</v>
      </c>
      <c r="EO22" s="461">
        <f>DATE(YEAR(CI22)+2,MONTH(CI22),DAY(CI22))</f>
        <v>42516</v>
      </c>
      <c r="EP22" s="116">
        <v>42879</v>
      </c>
      <c r="EQ22" s="116">
        <v>42535</v>
      </c>
      <c r="ER22" s="116">
        <v>42864</v>
      </c>
      <c r="ES22" s="461"/>
      <c r="ET22" s="461">
        <f t="shared" si="26"/>
        <v>41988</v>
      </c>
      <c r="EU22" s="353">
        <v>42879</v>
      </c>
      <c r="EV22" s="347">
        <v>2017</v>
      </c>
      <c r="EW22" s="726">
        <f t="shared" si="27"/>
        <v>29.7</v>
      </c>
      <c r="EX22" s="448">
        <f>329858.71178776/12</f>
        <v>27488.225982313335</v>
      </c>
      <c r="EY22" s="315">
        <f t="shared" si="28"/>
        <v>816400.31167470606</v>
      </c>
      <c r="EZ22" s="185" t="s">
        <v>126</v>
      </c>
      <c r="FA22" s="558"/>
      <c r="FB22" s="710">
        <f t="shared" si="29"/>
        <v>36111</v>
      </c>
      <c r="FC22" s="562"/>
      <c r="FD22" s="562"/>
      <c r="FE22" s="562"/>
      <c r="FF22" s="562"/>
      <c r="FG22" s="559"/>
      <c r="FH22" s="571" t="s">
        <v>741</v>
      </c>
      <c r="FI22" s="559"/>
      <c r="FJ22" s="559"/>
      <c r="FK22" s="122"/>
      <c r="FL22" s="237" t="s">
        <v>126</v>
      </c>
      <c r="FM22" s="122"/>
      <c r="FN22" s="122"/>
      <c r="FO22" s="194">
        <v>43186</v>
      </c>
      <c r="FP22" s="401" t="s">
        <v>313</v>
      </c>
      <c r="FQ22" s="316">
        <f>DATE(YEAR(EM22)+1,MONTH(EM22),DAY(EM22))</f>
        <v>43240</v>
      </c>
      <c r="FR22" s="692">
        <v>206245</v>
      </c>
      <c r="FS22" s="194" t="s">
        <v>126</v>
      </c>
      <c r="FT22" s="194">
        <v>42907</v>
      </c>
      <c r="FU22" s="122"/>
      <c r="FV22" s="122"/>
      <c r="FW22" s="317">
        <v>43185</v>
      </c>
      <c r="FX22" s="122"/>
      <c r="FY22" s="181" t="s">
        <v>603</v>
      </c>
      <c r="FZ22" s="183" t="s">
        <v>798</v>
      </c>
      <c r="GA22" s="50"/>
      <c r="GB22" s="317">
        <v>43223</v>
      </c>
      <c r="GC22" s="115" t="s">
        <v>126</v>
      </c>
      <c r="GD22" s="122"/>
      <c r="GE22" s="122"/>
      <c r="GF22" s="154"/>
      <c r="GG22" s="619">
        <v>9682468.3900000006</v>
      </c>
      <c r="GH22" s="8">
        <v>10302885.028743383</v>
      </c>
      <c r="GI22" s="430">
        <f>GS22+GX22+HE22+HX22+HC22+HI22+HH22</f>
        <v>10359154.550000001</v>
      </c>
      <c r="GJ22" s="10">
        <f t="shared" si="31"/>
        <v>56269.521256618202</v>
      </c>
      <c r="GK22" s="46">
        <f t="shared" si="32"/>
        <v>1950.2375022120814</v>
      </c>
      <c r="GL22" s="46">
        <f t="shared" si="33"/>
        <v>159371.60846153848</v>
      </c>
      <c r="GM22" s="8">
        <v>9295451</v>
      </c>
      <c r="GN22" s="9"/>
      <c r="GO22" s="10">
        <f t="shared" si="34"/>
        <v>-9295451</v>
      </c>
      <c r="GP22" s="128">
        <f t="shared" si="35"/>
        <v>0.92116484310196667</v>
      </c>
      <c r="GQ22" s="129"/>
      <c r="GR22" s="8">
        <v>3195831</v>
      </c>
      <c r="GS22" s="9">
        <v>3195831</v>
      </c>
      <c r="GT22" s="64"/>
      <c r="GU22" s="19">
        <f t="shared" si="36"/>
        <v>49166.630769230767</v>
      </c>
      <c r="GV22" s="33">
        <f t="shared" si="37"/>
        <v>0</v>
      </c>
      <c r="GW22" s="8">
        <v>6112292.5499999998</v>
      </c>
      <c r="GX22" s="9">
        <f t="shared" si="38"/>
        <v>6112292.5499999998</v>
      </c>
      <c r="GY22" s="11">
        <v>1264343</v>
      </c>
      <c r="GZ22" s="11">
        <v>4847949.55</v>
      </c>
      <c r="HA22" s="33">
        <f t="shared" si="39"/>
        <v>0</v>
      </c>
      <c r="HB22" s="640">
        <f t="shared" si="40"/>
        <v>94035.27</v>
      </c>
      <c r="HC22" s="9">
        <v>0</v>
      </c>
      <c r="HD22" s="8">
        <v>790394</v>
      </c>
      <c r="HE22" s="13">
        <v>790394</v>
      </c>
      <c r="HF22" s="63"/>
      <c r="HG22" s="36">
        <f t="shared" si="41"/>
        <v>7.6299083693079944E-2</v>
      </c>
      <c r="HH22" s="90">
        <v>224526</v>
      </c>
      <c r="HI22" s="13">
        <v>0</v>
      </c>
      <c r="HJ22" s="20">
        <f t="shared" ref="HJ22:HJ53" si="67">HE22-HD22</f>
        <v>0</v>
      </c>
      <c r="HK22" s="19">
        <f t="shared" si="42"/>
        <v>12159.907692307692</v>
      </c>
      <c r="HL22" s="46">
        <f t="shared" si="43"/>
        <v>61326.538461538461</v>
      </c>
      <c r="HM22" s="20">
        <f t="shared" si="44"/>
        <v>0</v>
      </c>
      <c r="HN22" s="45"/>
      <c r="HO22" s="45"/>
      <c r="HP22" s="35">
        <v>1951680.4950927752</v>
      </c>
      <c r="HQ22" s="35">
        <v>1300000</v>
      </c>
      <c r="HR22" s="19">
        <f t="shared" si="45"/>
        <v>81326.538461538468</v>
      </c>
      <c r="HS22" s="35">
        <v>0</v>
      </c>
      <c r="HT22" s="19">
        <f t="shared" si="46"/>
        <v>81326.538461538468</v>
      </c>
      <c r="HU22" s="47">
        <f t="shared" si="47"/>
        <v>0.44977679130011533</v>
      </c>
      <c r="HV22" s="35">
        <v>557838.66500000004</v>
      </c>
      <c r="HW22" s="435"/>
      <c r="HX22" s="436">
        <v>36111</v>
      </c>
      <c r="HY22" s="37">
        <f t="shared" si="48"/>
        <v>12310835.045092776</v>
      </c>
      <c r="HZ22" s="233"/>
      <c r="IA22" s="233">
        <f t="shared" si="49"/>
        <v>0</v>
      </c>
      <c r="IB22" s="114"/>
      <c r="IC22" s="233"/>
      <c r="ID22" s="233"/>
      <c r="IE22" s="114"/>
      <c r="IF22" s="114"/>
      <c r="IG22" s="233"/>
      <c r="IH22" s="114"/>
      <c r="II22" s="233"/>
      <c r="IJ22" s="114"/>
      <c r="IK22" s="233"/>
      <c r="IL22" s="115"/>
      <c r="IM22" s="322"/>
      <c r="IN22" s="314"/>
      <c r="IO22" s="314"/>
      <c r="IP22" s="123"/>
      <c r="IQ22" s="233"/>
      <c r="IR22" s="123"/>
      <c r="IS22" s="233"/>
      <c r="IT22" s="115"/>
      <c r="IU22" s="115"/>
      <c r="IV22" s="115"/>
      <c r="IW22" s="115"/>
      <c r="IX22" s="268"/>
      <c r="IY22" s="268"/>
      <c r="IZ22" s="268"/>
      <c r="JA22" s="268"/>
      <c r="JB22" s="268"/>
      <c r="JC22" s="268"/>
      <c r="JD22" s="233"/>
      <c r="JE22" s="123"/>
      <c r="JF22" s="115"/>
      <c r="JG22" s="123"/>
      <c r="JH22" s="123"/>
      <c r="JI22" s="115"/>
    </row>
    <row r="23" spans="1:269" ht="15" customHeight="1">
      <c r="A23" s="21" t="s">
        <v>33</v>
      </c>
      <c r="B23" s="5" t="s">
        <v>31</v>
      </c>
      <c r="C23" s="5" t="s">
        <v>110</v>
      </c>
      <c r="D23" s="5">
        <v>2013</v>
      </c>
      <c r="E23" s="5" t="s">
        <v>32</v>
      </c>
      <c r="F23" s="5" t="s">
        <v>30</v>
      </c>
      <c r="G23" s="5" t="s">
        <v>471</v>
      </c>
      <c r="H23" s="5" t="s">
        <v>248</v>
      </c>
      <c r="I23" s="50"/>
      <c r="J23" s="50"/>
      <c r="K23" s="256" t="s">
        <v>500</v>
      </c>
      <c r="L23" s="415" t="s">
        <v>61</v>
      </c>
      <c r="M23" s="415" t="s">
        <v>125</v>
      </c>
      <c r="N23" s="415" t="s">
        <v>126</v>
      </c>
      <c r="O23" s="207">
        <v>4625</v>
      </c>
      <c r="P23" s="207">
        <v>215000</v>
      </c>
      <c r="Q23" s="207">
        <v>104244</v>
      </c>
      <c r="R23" s="207">
        <f t="shared" si="57"/>
        <v>15357.142857142857</v>
      </c>
      <c r="S23" s="207">
        <f t="shared" si="58"/>
        <v>46.486486486486484</v>
      </c>
      <c r="T23" s="207">
        <f t="shared" si="59"/>
        <v>22.539243243243245</v>
      </c>
      <c r="U23" s="207">
        <f t="shared" si="60"/>
        <v>91.472596128534079</v>
      </c>
      <c r="V23" s="207">
        <f t="shared" si="61"/>
        <v>7446</v>
      </c>
      <c r="W23" s="207">
        <f t="shared" si="62"/>
        <v>330.35714285714283</v>
      </c>
      <c r="X23" s="208">
        <v>1148.97</v>
      </c>
      <c r="Y23" s="209">
        <f t="shared" si="63"/>
        <v>0.2464043243243243</v>
      </c>
      <c r="Z23" s="208" t="s">
        <v>206</v>
      </c>
      <c r="AA23" s="210">
        <v>20</v>
      </c>
      <c r="AB23" s="211"/>
      <c r="AC23" s="5" t="s">
        <v>16</v>
      </c>
      <c r="AD23" s="318">
        <f t="shared" si="0"/>
        <v>14</v>
      </c>
      <c r="AE23" s="6"/>
      <c r="AF23" s="5">
        <v>14</v>
      </c>
      <c r="AG23" s="50"/>
      <c r="AH23" s="50"/>
      <c r="AI23" s="268"/>
      <c r="AJ23" s="7">
        <v>1044.56</v>
      </c>
      <c r="AK23" s="54"/>
      <c r="AL23" s="79">
        <v>1139.6199999999999</v>
      </c>
      <c r="AM23" s="7">
        <f t="shared" si="1"/>
        <v>81.401428571428568</v>
      </c>
      <c r="AN23" s="56"/>
      <c r="AO23" s="56"/>
      <c r="AP23" s="56"/>
      <c r="AQ23" s="56"/>
      <c r="AR23" s="56"/>
      <c r="AS23" s="7"/>
      <c r="AT23" s="73">
        <v>551.16</v>
      </c>
      <c r="AU23" s="75">
        <f t="shared" si="64"/>
        <v>0.11916972972972972</v>
      </c>
      <c r="AV23" s="56">
        <v>1.5</v>
      </c>
      <c r="AW23" s="50" t="s">
        <v>560</v>
      </c>
      <c r="AX23" s="5" t="s">
        <v>119</v>
      </c>
      <c r="AY23" s="785"/>
      <c r="AZ23" s="50"/>
      <c r="BA23" s="184">
        <v>41233</v>
      </c>
      <c r="BB23" s="184">
        <v>40963</v>
      </c>
      <c r="BC23" s="108" t="s">
        <v>11</v>
      </c>
      <c r="BD23" s="108" t="s">
        <v>124</v>
      </c>
      <c r="BE23" s="424"/>
      <c r="BF23" s="204">
        <v>41515</v>
      </c>
      <c r="BG23" s="96"/>
      <c r="BH23" s="96">
        <v>41535</v>
      </c>
      <c r="BI23" s="204">
        <v>41544</v>
      </c>
      <c r="BJ23" s="96"/>
      <c r="BK23" s="159">
        <v>41549</v>
      </c>
      <c r="BL23" s="202">
        <v>41575</v>
      </c>
      <c r="BM23" s="160">
        <f>DATE(YEAR(BL23),MONTH(BL23)+3,DAY(BL23))</f>
        <v>41667</v>
      </c>
      <c r="BN23" s="160"/>
      <c r="BO23" s="298">
        <v>41659</v>
      </c>
      <c r="BP23" s="297">
        <f t="shared" si="3"/>
        <v>42389</v>
      </c>
      <c r="BQ23" s="297">
        <f t="shared" si="4"/>
        <v>42755</v>
      </c>
      <c r="BR23" s="297"/>
      <c r="BS23" s="297" t="str">
        <f t="shared" si="66"/>
        <v>non</v>
      </c>
      <c r="BT23" s="686">
        <f t="shared" si="5"/>
        <v>14</v>
      </c>
      <c r="BU23" s="686">
        <f t="shared" si="6"/>
        <v>85671.66537622585</v>
      </c>
      <c r="BV23" s="686">
        <f t="shared" si="7"/>
        <v>0</v>
      </c>
      <c r="BW23" s="160"/>
      <c r="BX23" s="425" t="s">
        <v>199</v>
      </c>
      <c r="BY23" s="97"/>
      <c r="BZ23" s="101"/>
      <c r="CA23" s="101"/>
      <c r="CB23" s="101"/>
      <c r="CC23" s="155" t="s">
        <v>142</v>
      </c>
      <c r="CD23" s="306">
        <v>41625</v>
      </c>
      <c r="CE23" s="251"/>
      <c r="CF23" s="156">
        <v>2345333.9</v>
      </c>
      <c r="CG23" s="588">
        <f t="shared" si="54"/>
        <v>42172</v>
      </c>
      <c r="CH23" s="408">
        <f t="shared" si="56"/>
        <v>42355</v>
      </c>
      <c r="CI23" s="344">
        <v>41977</v>
      </c>
      <c r="CJ23" s="251">
        <v>42262</v>
      </c>
      <c r="CK23" s="603">
        <f t="shared" si="65"/>
        <v>1.7</v>
      </c>
      <c r="CL23" s="123"/>
      <c r="CM23" s="123"/>
      <c r="CN23" s="123"/>
      <c r="CO23" s="529" t="str">
        <f t="shared" si="8"/>
        <v>0</v>
      </c>
      <c r="CP23" s="123"/>
      <c r="CQ23" s="123"/>
      <c r="CR23" s="529" t="str">
        <f t="shared" si="9"/>
        <v>0</v>
      </c>
      <c r="CS23" s="123"/>
      <c r="CT23" s="123"/>
      <c r="CU23" s="529" t="str">
        <f t="shared" si="10"/>
        <v>0</v>
      </c>
      <c r="CV23" s="123"/>
      <c r="CW23" s="123"/>
      <c r="CX23" s="529" t="str">
        <f t="shared" si="11"/>
        <v>0</v>
      </c>
      <c r="CY23" s="126"/>
      <c r="CZ23" s="575"/>
      <c r="DA23" s="529" t="str">
        <f t="shared" si="12"/>
        <v>0</v>
      </c>
      <c r="DB23" s="459"/>
      <c r="DC23" s="233"/>
      <c r="DD23" s="123"/>
      <c r="DE23" s="233"/>
      <c r="DF23" s="529" t="str">
        <f t="shared" si="13"/>
        <v>0</v>
      </c>
      <c r="DG23" s="123"/>
      <c r="DH23" s="351">
        <v>41848</v>
      </c>
      <c r="DI23" s="345">
        <v>2014</v>
      </c>
      <c r="DJ23" s="447">
        <f t="shared" si="14"/>
        <v>11.1</v>
      </c>
      <c r="DK23" s="529" t="str">
        <f t="shared" si="15"/>
        <v>0</v>
      </c>
      <c r="DL23" s="242">
        <v>14</v>
      </c>
      <c r="DM23" s="242">
        <f t="shared" si="16"/>
        <v>14</v>
      </c>
      <c r="DN23" s="316"/>
      <c r="DO23" s="315"/>
      <c r="DP23" s="701" t="str">
        <f t="shared" si="17"/>
        <v>0</v>
      </c>
      <c r="DQ23" s="720"/>
      <c r="DR23" s="622"/>
      <c r="DS23" s="623" t="str">
        <f t="shared" si="18"/>
        <v>0</v>
      </c>
      <c r="DT23" s="255"/>
      <c r="DU23" s="316"/>
      <c r="DV23" s="701" t="str">
        <f t="shared" si="19"/>
        <v>0</v>
      </c>
      <c r="DW23" s="316"/>
      <c r="DX23" s="316"/>
      <c r="DY23" s="701" t="str">
        <f t="shared" si="20"/>
        <v>0</v>
      </c>
      <c r="DZ23" s="316"/>
      <c r="EA23" s="316"/>
      <c r="EB23" s="701" t="str">
        <f t="shared" si="21"/>
        <v>0</v>
      </c>
      <c r="EC23" s="316"/>
      <c r="ED23" s="316"/>
      <c r="EE23" s="701" t="str">
        <f t="shared" si="22"/>
        <v>0</v>
      </c>
      <c r="EF23" s="316"/>
      <c r="EG23" s="316"/>
      <c r="EH23" s="701" t="str">
        <f t="shared" si="23"/>
        <v>0</v>
      </c>
      <c r="EI23" s="316"/>
      <c r="EJ23" s="316"/>
      <c r="EK23" s="316"/>
      <c r="EL23" s="461">
        <f t="shared" si="24"/>
        <v>42275</v>
      </c>
      <c r="EM23" s="351">
        <v>42276</v>
      </c>
      <c r="EN23" s="729">
        <f t="shared" si="25"/>
        <v>3.3333333333333333E-2</v>
      </c>
      <c r="EO23" s="579"/>
      <c r="EP23" s="116">
        <v>42333</v>
      </c>
      <c r="EQ23" s="236" t="s">
        <v>126</v>
      </c>
      <c r="ER23" s="116" t="e">
        <f>DATE(YEAR(#REF!),MONTH(#REF!),DAY(#REF!)+10)</f>
        <v>#REF!</v>
      </c>
      <c r="ES23" s="461"/>
      <c r="ET23" s="461">
        <f t="shared" si="26"/>
        <v>42305</v>
      </c>
      <c r="EU23" s="355">
        <v>42313</v>
      </c>
      <c r="EV23" s="462">
        <v>2015</v>
      </c>
      <c r="EW23" s="724">
        <f t="shared" si="27"/>
        <v>0.26666666666666666</v>
      </c>
      <c r="EX23" s="721">
        <f>73432.856036765/12</f>
        <v>6119.4046697304175</v>
      </c>
      <c r="EY23" s="233">
        <f t="shared" si="28"/>
        <v>1631.8412452614446</v>
      </c>
      <c r="EZ23" s="116"/>
      <c r="FA23" s="558"/>
      <c r="FB23" s="710">
        <f t="shared" si="29"/>
        <v>23860</v>
      </c>
      <c r="FC23" s="562"/>
      <c r="FD23" s="562"/>
      <c r="FE23" s="562">
        <f>(25658+3320+12600+10350+8537+1080+595+1470+1190)*1.021</f>
        <v>66160.799999999988</v>
      </c>
      <c r="FF23" s="787">
        <f>FE23/GI23</f>
        <v>2.7264579017489746E-2</v>
      </c>
      <c r="FG23" s="559"/>
      <c r="FH23" s="571" t="s">
        <v>756</v>
      </c>
      <c r="FI23" s="559"/>
      <c r="FJ23" s="559"/>
      <c r="FK23" s="116">
        <v>42725</v>
      </c>
      <c r="FL23" s="116"/>
      <c r="FM23" s="116" t="s">
        <v>126</v>
      </c>
      <c r="FN23" s="116" t="s">
        <v>126</v>
      </c>
      <c r="FO23" s="116">
        <v>42555</v>
      </c>
      <c r="FP23" s="116">
        <v>42870</v>
      </c>
      <c r="FQ23" s="116">
        <v>42660</v>
      </c>
      <c r="FR23" s="696">
        <v>13313</v>
      </c>
      <c r="FS23" s="194">
        <v>42324</v>
      </c>
      <c r="FT23" s="194">
        <v>42402</v>
      </c>
      <c r="FU23" s="290"/>
      <c r="FV23" s="290"/>
      <c r="FW23" s="238">
        <v>42459</v>
      </c>
      <c r="FX23" s="50"/>
      <c r="FY23" s="200" t="s">
        <v>576</v>
      </c>
      <c r="FZ23" s="200"/>
      <c r="GA23" s="184" t="s">
        <v>609</v>
      </c>
      <c r="GB23" s="235" t="s">
        <v>126</v>
      </c>
      <c r="GC23" s="235"/>
      <c r="GD23" s="235" t="s">
        <v>126</v>
      </c>
      <c r="GE23" s="50"/>
      <c r="GF23" s="109" t="s">
        <v>118</v>
      </c>
      <c r="GG23" s="615">
        <v>2360150.41</v>
      </c>
      <c r="GH23" s="8">
        <f>+GR23+GW23+HD23</f>
        <v>2396286</v>
      </c>
      <c r="GI23" s="9">
        <f>GS23+GX23+HE23+HX23</f>
        <v>2426621</v>
      </c>
      <c r="GJ23" s="10">
        <f t="shared" si="31"/>
        <v>30335</v>
      </c>
      <c r="GK23" s="46">
        <f t="shared" si="32"/>
        <v>2323.1035076970211</v>
      </c>
      <c r="GL23" s="46">
        <f t="shared" si="33"/>
        <v>173330.07142857142</v>
      </c>
      <c r="GM23" s="8">
        <v>2112298</v>
      </c>
      <c r="GN23" s="9">
        <v>2153147</v>
      </c>
      <c r="GO23" s="10">
        <f t="shared" si="34"/>
        <v>40849</v>
      </c>
      <c r="GP23" s="128">
        <f t="shared" si="35"/>
        <v>0.89999952342917333</v>
      </c>
      <c r="GQ23" s="129"/>
      <c r="GR23" s="8">
        <v>601367</v>
      </c>
      <c r="GS23" s="9">
        <v>642565</v>
      </c>
      <c r="GT23" s="64"/>
      <c r="GU23" s="19">
        <f t="shared" si="36"/>
        <v>45897.5</v>
      </c>
      <c r="GV23" s="33">
        <f t="shared" si="37"/>
        <v>41198</v>
      </c>
      <c r="GW23" s="8">
        <v>1294919</v>
      </c>
      <c r="GX23" s="9">
        <f t="shared" si="38"/>
        <v>1260196</v>
      </c>
      <c r="GY23" s="11">
        <v>284216</v>
      </c>
      <c r="GZ23" s="11">
        <v>975980</v>
      </c>
      <c r="HA23" s="33">
        <f t="shared" si="39"/>
        <v>-34723</v>
      </c>
      <c r="HB23" s="640">
        <f t="shared" si="40"/>
        <v>90014</v>
      </c>
      <c r="HC23" s="9"/>
      <c r="HD23" s="8">
        <v>500000</v>
      </c>
      <c r="HE23" s="9">
        <v>500000</v>
      </c>
      <c r="HF23" s="64"/>
      <c r="HG23" s="36">
        <f t="shared" si="41"/>
        <v>0.20604783359247283</v>
      </c>
      <c r="HH23" s="302"/>
      <c r="HI23" s="9">
        <v>0</v>
      </c>
      <c r="HJ23" s="20">
        <f t="shared" si="67"/>
        <v>0</v>
      </c>
      <c r="HK23" s="19">
        <f t="shared" si="42"/>
        <v>35714.285714285717</v>
      </c>
      <c r="HL23" s="46">
        <f t="shared" si="43"/>
        <v>81611.78571428571</v>
      </c>
      <c r="HM23" s="20">
        <f t="shared" si="44"/>
        <v>0</v>
      </c>
      <c r="HN23" s="45"/>
      <c r="HO23" s="45"/>
      <c r="HP23" s="35">
        <v>461213.14905750001</v>
      </c>
      <c r="HQ23" s="35">
        <v>238500</v>
      </c>
      <c r="HR23" s="19">
        <f t="shared" si="45"/>
        <v>98647.5</v>
      </c>
      <c r="HS23" s="35">
        <v>0</v>
      </c>
      <c r="HT23" s="19">
        <f t="shared" si="46"/>
        <v>98647.5</v>
      </c>
      <c r="HU23" s="47">
        <f t="shared" si="47"/>
        <v>0.49653574328412386</v>
      </c>
      <c r="HV23" s="35">
        <v>106433.17505000001</v>
      </c>
      <c r="HW23" s="35"/>
      <c r="HX23" s="436">
        <v>23860</v>
      </c>
      <c r="HY23" s="37">
        <f t="shared" si="48"/>
        <v>2887834.1490575001</v>
      </c>
      <c r="HZ23" s="233">
        <v>118584</v>
      </c>
      <c r="IA23" s="233">
        <f t="shared" si="49"/>
        <v>58369</v>
      </c>
      <c r="IB23" s="114">
        <v>40161</v>
      </c>
      <c r="IC23" s="233">
        <v>7820</v>
      </c>
      <c r="ID23" s="233"/>
      <c r="IE23" s="114"/>
      <c r="IF23" s="114">
        <v>41267</v>
      </c>
      <c r="IG23" s="233">
        <v>3939</v>
      </c>
      <c r="IH23" s="114">
        <v>41313</v>
      </c>
      <c r="II23" s="233">
        <v>17030</v>
      </c>
      <c r="IJ23" s="114">
        <v>11851</v>
      </c>
      <c r="IK23" s="233">
        <v>11851</v>
      </c>
      <c r="IL23" s="115">
        <v>41547</v>
      </c>
      <c r="IM23" s="322">
        <v>17729</v>
      </c>
      <c r="IN23" s="314"/>
      <c r="IO23" s="314"/>
      <c r="IP23" s="123"/>
      <c r="IQ23" s="233"/>
      <c r="IR23" s="123"/>
      <c r="IS23" s="233"/>
      <c r="IT23" s="323"/>
      <c r="IU23" s="323"/>
      <c r="IV23" s="323"/>
      <c r="IW23" s="323"/>
      <c r="IX23" s="268"/>
      <c r="IY23" s="268"/>
      <c r="IZ23" s="268"/>
      <c r="JA23" s="268"/>
      <c r="JB23" s="268"/>
      <c r="JC23" s="268"/>
      <c r="JD23" s="233">
        <v>17030</v>
      </c>
      <c r="JE23" s="123"/>
      <c r="JF23" s="115"/>
      <c r="JG23" s="123"/>
      <c r="JH23" s="123"/>
      <c r="JI23" s="115"/>
    </row>
    <row r="24" spans="1:269" ht="15" customHeight="1">
      <c r="A24" s="648" t="s">
        <v>384</v>
      </c>
      <c r="B24" s="5" t="s">
        <v>35</v>
      </c>
      <c r="C24" s="5" t="s">
        <v>110</v>
      </c>
      <c r="D24" s="5">
        <v>2013</v>
      </c>
      <c r="E24" s="5" t="s">
        <v>54</v>
      </c>
      <c r="F24" s="5"/>
      <c r="G24" s="5" t="s">
        <v>663</v>
      </c>
      <c r="H24" s="5" t="s">
        <v>248</v>
      </c>
      <c r="I24" s="50"/>
      <c r="J24" s="50"/>
      <c r="K24" s="256"/>
      <c r="L24" s="161" t="s">
        <v>62</v>
      </c>
      <c r="M24" s="104" t="s">
        <v>69</v>
      </c>
      <c r="N24" s="105"/>
      <c r="O24" s="207">
        <f>1825+425</f>
        <v>2250</v>
      </c>
      <c r="P24" s="207">
        <v>102507</v>
      </c>
      <c r="Q24" s="207">
        <v>68451</v>
      </c>
      <c r="R24" s="207">
        <f t="shared" si="57"/>
        <v>11389.666666666666</v>
      </c>
      <c r="S24" s="207">
        <f t="shared" si="58"/>
        <v>45.558666666666667</v>
      </c>
      <c r="T24" s="213">
        <f t="shared" si="59"/>
        <v>30.422666666666668</v>
      </c>
      <c r="U24" s="213">
        <f t="shared" si="60"/>
        <v>96.496842223976543</v>
      </c>
      <c r="V24" s="213">
        <f t="shared" si="61"/>
        <v>7605.666666666667</v>
      </c>
      <c r="W24" s="207">
        <f t="shared" si="62"/>
        <v>250</v>
      </c>
      <c r="X24" s="208"/>
      <c r="Y24" s="209">
        <f t="shared" si="63"/>
        <v>0.31527111111111111</v>
      </c>
      <c r="Z24" s="208" t="s">
        <v>203</v>
      </c>
      <c r="AA24" s="210"/>
      <c r="AB24" s="211"/>
      <c r="AC24" s="5" t="s">
        <v>16</v>
      </c>
      <c r="AD24" s="318">
        <f t="shared" si="0"/>
        <v>9</v>
      </c>
      <c r="AE24" s="6"/>
      <c r="AF24" s="5">
        <v>9</v>
      </c>
      <c r="AG24" s="50"/>
      <c r="AH24" s="50"/>
      <c r="AI24" s="268"/>
      <c r="AJ24" s="7">
        <v>709.36</v>
      </c>
      <c r="AK24" s="54"/>
      <c r="AL24" s="79">
        <v>709.36</v>
      </c>
      <c r="AM24" s="7">
        <f t="shared" si="1"/>
        <v>78.817777777777778</v>
      </c>
      <c r="AN24" s="75">
        <v>0</v>
      </c>
      <c r="AO24" s="75">
        <v>0</v>
      </c>
      <c r="AP24" s="75">
        <f>4/AD24</f>
        <v>0.44444444444444442</v>
      </c>
      <c r="AQ24" s="75">
        <f>4/AD24</f>
        <v>0.44444444444444442</v>
      </c>
      <c r="AR24" s="75">
        <f>1/AD24</f>
        <v>0.1111111111111111</v>
      </c>
      <c r="AS24" s="7"/>
      <c r="AT24" s="73" t="s">
        <v>321</v>
      </c>
      <c r="AU24" s="75" t="e">
        <f t="shared" si="64"/>
        <v>#VALUE!</v>
      </c>
      <c r="AV24" s="54">
        <v>2</v>
      </c>
      <c r="AW24" s="53" t="s">
        <v>561</v>
      </c>
      <c r="AX24" s="5"/>
      <c r="AY24" s="785"/>
      <c r="AZ24" s="50"/>
      <c r="BA24" s="50"/>
      <c r="BB24" s="184">
        <v>40963</v>
      </c>
      <c r="BC24" s="108" t="s">
        <v>11</v>
      </c>
      <c r="BD24" s="108" t="s">
        <v>124</v>
      </c>
      <c r="BE24" s="424"/>
      <c r="BF24" s="204">
        <v>41486</v>
      </c>
      <c r="BG24" s="96"/>
      <c r="BH24" s="96">
        <v>41516</v>
      </c>
      <c r="BI24" s="204">
        <v>41519</v>
      </c>
      <c r="BJ24" s="96"/>
      <c r="BK24" s="159">
        <v>41549</v>
      </c>
      <c r="BL24" s="202">
        <v>41576</v>
      </c>
      <c r="BM24" s="160">
        <f>DATE(YEAR(BL24),MONTH(BL24)+3,DAY(BL24))</f>
        <v>41668</v>
      </c>
      <c r="BN24" s="160"/>
      <c r="BO24" s="298">
        <v>41659</v>
      </c>
      <c r="BP24" s="297">
        <f t="shared" si="3"/>
        <v>42389</v>
      </c>
      <c r="BQ24" s="297">
        <f t="shared" si="4"/>
        <v>42755</v>
      </c>
      <c r="BR24" s="297"/>
      <c r="BS24" s="297" t="str">
        <f t="shared" si="66"/>
        <v>oui</v>
      </c>
      <c r="BT24" s="686">
        <f t="shared" si="5"/>
        <v>5</v>
      </c>
      <c r="BU24" s="686">
        <f t="shared" si="6"/>
        <v>18837.732114698876</v>
      </c>
      <c r="BV24" s="686">
        <f t="shared" si="7"/>
        <v>0</v>
      </c>
      <c r="BW24" s="160"/>
      <c r="BX24" s="425" t="s">
        <v>175</v>
      </c>
      <c r="BY24" s="97"/>
      <c r="BZ24" s="98"/>
      <c r="CA24" s="101"/>
      <c r="CB24" s="101"/>
      <c r="CC24" s="155" t="s">
        <v>69</v>
      </c>
      <c r="CD24" s="306">
        <v>41625</v>
      </c>
      <c r="CE24" s="251"/>
      <c r="CF24" s="156">
        <f>1479199.4/1.021</f>
        <v>1448775.1224289911</v>
      </c>
      <c r="CG24" s="588">
        <f t="shared" si="54"/>
        <v>42172</v>
      </c>
      <c r="CH24" s="408">
        <f t="shared" si="56"/>
        <v>42355</v>
      </c>
      <c r="CI24" s="344">
        <v>42066</v>
      </c>
      <c r="CJ24" s="251">
        <v>42200</v>
      </c>
      <c r="CK24" s="603">
        <f t="shared" si="65"/>
        <v>12.566666666666666</v>
      </c>
      <c r="CL24" s="123"/>
      <c r="CM24" s="123"/>
      <c r="CN24" s="123"/>
      <c r="CO24" s="529" t="str">
        <f t="shared" si="8"/>
        <v>0</v>
      </c>
      <c r="CP24" s="123"/>
      <c r="CQ24" s="123"/>
      <c r="CR24" s="529" t="str">
        <f t="shared" si="9"/>
        <v>0</v>
      </c>
      <c r="CS24" s="123"/>
      <c r="CT24" s="123"/>
      <c r="CU24" s="529" t="str">
        <f t="shared" si="10"/>
        <v>0</v>
      </c>
      <c r="CV24" s="123"/>
      <c r="CW24" s="123"/>
      <c r="CX24" s="529" t="str">
        <f t="shared" si="11"/>
        <v>0</v>
      </c>
      <c r="CY24" s="126"/>
      <c r="CZ24" s="575"/>
      <c r="DA24" s="529" t="str">
        <f t="shared" si="12"/>
        <v>0</v>
      </c>
      <c r="DB24" s="459"/>
      <c r="DC24" s="233"/>
      <c r="DD24" s="123"/>
      <c r="DE24" s="233"/>
      <c r="DF24" s="529" t="str">
        <f t="shared" si="13"/>
        <v>0</v>
      </c>
      <c r="DG24" s="123"/>
      <c r="DH24" s="351">
        <v>41900</v>
      </c>
      <c r="DI24" s="345">
        <v>2014</v>
      </c>
      <c r="DJ24" s="447">
        <f t="shared" si="14"/>
        <v>13.8</v>
      </c>
      <c r="DK24" s="529" t="str">
        <f t="shared" si="15"/>
        <v>0</v>
      </c>
      <c r="DL24" s="117">
        <v>13</v>
      </c>
      <c r="DM24" s="117">
        <f t="shared" si="16"/>
        <v>17</v>
      </c>
      <c r="DN24" s="316"/>
      <c r="DO24" s="315"/>
      <c r="DP24" s="701" t="str">
        <f t="shared" si="17"/>
        <v>0</v>
      </c>
      <c r="DQ24" s="720"/>
      <c r="DR24" s="622"/>
      <c r="DS24" s="623" t="str">
        <f t="shared" si="18"/>
        <v>0</v>
      </c>
      <c r="DT24" s="255"/>
      <c r="DU24" s="316"/>
      <c r="DV24" s="701" t="str">
        <f t="shared" si="19"/>
        <v>0</v>
      </c>
      <c r="DW24" s="315"/>
      <c r="DX24" s="316"/>
      <c r="DY24" s="701" t="str">
        <f t="shared" si="20"/>
        <v>0</v>
      </c>
      <c r="DZ24" s="324"/>
      <c r="EA24" s="324"/>
      <c r="EB24" s="701" t="str">
        <f t="shared" si="21"/>
        <v>0</v>
      </c>
      <c r="EC24" s="324"/>
      <c r="ED24" s="324"/>
      <c r="EE24" s="701" t="str">
        <f t="shared" si="22"/>
        <v>0</v>
      </c>
      <c r="EF24" s="316"/>
      <c r="EG24" s="316"/>
      <c r="EH24" s="701" t="str">
        <f t="shared" si="23"/>
        <v>0</v>
      </c>
      <c r="EI24" s="324"/>
      <c r="EJ24" s="324"/>
      <c r="EK24" s="324"/>
      <c r="EL24" s="461">
        <f t="shared" si="24"/>
        <v>42295</v>
      </c>
      <c r="EM24" s="351">
        <v>42424</v>
      </c>
      <c r="EN24" s="729">
        <f t="shared" si="25"/>
        <v>4.3</v>
      </c>
      <c r="EO24" s="637">
        <f>DATE(YEAR(CI24)+2,MONTH(CI24),DAY(CI24))</f>
        <v>42797</v>
      </c>
      <c r="EP24" s="116">
        <v>42566</v>
      </c>
      <c r="EQ24" s="116" t="s">
        <v>126</v>
      </c>
      <c r="ER24" s="116">
        <v>42577</v>
      </c>
      <c r="ES24" s="461"/>
      <c r="ET24" s="461">
        <f t="shared" si="26"/>
        <v>42326</v>
      </c>
      <c r="EU24" s="353">
        <v>42577</v>
      </c>
      <c r="EV24" s="347">
        <v>2016</v>
      </c>
      <c r="EW24" s="726">
        <f t="shared" si="27"/>
        <v>8.3666666666666671</v>
      </c>
      <c r="EX24" s="716">
        <f>45210.5570752773/12</f>
        <v>3767.5464229397749</v>
      </c>
      <c r="EY24" s="315">
        <f t="shared" si="28"/>
        <v>31521.805071929452</v>
      </c>
      <c r="EZ24" s="116"/>
      <c r="FA24" s="558"/>
      <c r="FB24" s="710">
        <f t="shared" si="29"/>
        <v>0</v>
      </c>
      <c r="FC24" s="562"/>
      <c r="FD24" s="562"/>
      <c r="FE24" s="562">
        <f>39383.9*1.021</f>
        <v>40210.961899999995</v>
      </c>
      <c r="FF24" s="787">
        <f>FE24/GI24</f>
        <v>2.5876362659390653E-2</v>
      </c>
      <c r="FG24" s="559"/>
      <c r="FH24" s="571" t="s">
        <v>745</v>
      </c>
      <c r="FI24" s="559"/>
      <c r="FJ24" s="559"/>
      <c r="FK24" s="200" t="s">
        <v>126</v>
      </c>
      <c r="FL24" s="200"/>
      <c r="FM24" s="200" t="s">
        <v>126</v>
      </c>
      <c r="FN24" s="200" t="s">
        <v>126</v>
      </c>
      <c r="FO24" s="241">
        <v>42768</v>
      </c>
      <c r="FP24" s="630" t="s">
        <v>532</v>
      </c>
      <c r="FQ24" s="200">
        <f>DATE(YEAR(EM24)+1,MONTH(EM24),DAY(EM24))</f>
        <v>42790</v>
      </c>
      <c r="FR24" s="694">
        <v>12615</v>
      </c>
      <c r="FS24" s="241">
        <v>42621</v>
      </c>
      <c r="FT24" s="241">
        <v>42688</v>
      </c>
      <c r="FU24" s="50"/>
      <c r="FV24" s="184"/>
      <c r="FW24" s="123">
        <v>42878</v>
      </c>
      <c r="FX24" s="50"/>
      <c r="FY24" s="123" t="s">
        <v>126</v>
      </c>
      <c r="FZ24" s="123"/>
      <c r="GA24" s="52" t="s">
        <v>581</v>
      </c>
      <c r="GB24" s="235">
        <v>42808</v>
      </c>
      <c r="GC24" s="235"/>
      <c r="GD24" s="50"/>
      <c r="GE24" s="50"/>
      <c r="GF24" s="109" t="s">
        <v>118</v>
      </c>
      <c r="GG24" s="615">
        <v>1547410</v>
      </c>
      <c r="GH24" s="8">
        <f t="shared" ref="GH24:GH35" si="68">+GR24+GW24+HD24+HX24</f>
        <v>1517365</v>
      </c>
      <c r="GI24" s="9">
        <f>GS24+GX24+HE24+HX24+HH24</f>
        <v>1553965</v>
      </c>
      <c r="GJ24" s="10">
        <f t="shared" si="31"/>
        <v>36600</v>
      </c>
      <c r="GK24" s="46">
        <f t="shared" si="32"/>
        <v>2190.6577760234577</v>
      </c>
      <c r="GL24" s="46">
        <f t="shared" si="33"/>
        <v>172662.77777777778</v>
      </c>
      <c r="GM24" s="8">
        <v>1337540</v>
      </c>
      <c r="GN24" s="9">
        <v>1322857</v>
      </c>
      <c r="GO24" s="10">
        <f t="shared" si="34"/>
        <v>-14683</v>
      </c>
      <c r="GP24" s="128">
        <f t="shared" si="35"/>
        <v>0.89999989455404594</v>
      </c>
      <c r="GQ24" s="129"/>
      <c r="GR24" s="8">
        <v>424314</v>
      </c>
      <c r="GS24" s="9">
        <v>426409</v>
      </c>
      <c r="GT24" s="64"/>
      <c r="GU24" s="19">
        <f t="shared" si="36"/>
        <v>47378.777777777781</v>
      </c>
      <c r="GV24" s="33">
        <f t="shared" si="37"/>
        <v>2095</v>
      </c>
      <c r="GW24" s="8">
        <v>868051</v>
      </c>
      <c r="GX24" s="9">
        <f t="shared" si="38"/>
        <v>864010</v>
      </c>
      <c r="GY24" s="11">
        <v>176535</v>
      </c>
      <c r="GZ24" s="11">
        <v>687475</v>
      </c>
      <c r="HA24" s="33">
        <f t="shared" si="39"/>
        <v>-4041</v>
      </c>
      <c r="HB24" s="640">
        <f t="shared" si="40"/>
        <v>96001.111111111109</v>
      </c>
      <c r="HC24" s="9"/>
      <c r="HD24" s="8">
        <v>225000</v>
      </c>
      <c r="HE24" s="9">
        <v>225000</v>
      </c>
      <c r="HF24" s="64"/>
      <c r="HG24" s="36">
        <f t="shared" si="41"/>
        <v>0.14479090584408272</v>
      </c>
      <c r="HH24" s="642">
        <v>38546</v>
      </c>
      <c r="HI24" s="9">
        <v>0</v>
      </c>
      <c r="HJ24" s="20">
        <f t="shared" si="67"/>
        <v>0</v>
      </c>
      <c r="HK24" s="19">
        <f t="shared" si="42"/>
        <v>25000</v>
      </c>
      <c r="HL24" s="78">
        <f t="shared" si="43"/>
        <v>72378.777777777781</v>
      </c>
      <c r="HM24" s="20">
        <f t="shared" si="44"/>
        <v>0</v>
      </c>
      <c r="HN24" s="45"/>
      <c r="HO24" s="45"/>
      <c r="HP24" s="35">
        <v>270120.19565000001</v>
      </c>
      <c r="HQ24" s="35">
        <v>180000</v>
      </c>
      <c r="HR24" s="19">
        <f t="shared" si="45"/>
        <v>92378.777777777781</v>
      </c>
      <c r="HS24" s="35">
        <v>0</v>
      </c>
      <c r="HT24" s="19">
        <f t="shared" si="46"/>
        <v>92378.777777777781</v>
      </c>
      <c r="HU24" s="47">
        <f t="shared" si="47"/>
        <v>0.47363006816549857</v>
      </c>
      <c r="HV24" s="35">
        <v>68687.774999999994</v>
      </c>
      <c r="HW24" s="435"/>
      <c r="HX24" s="436"/>
      <c r="HY24" s="93">
        <f t="shared" si="48"/>
        <v>1824085.1956500001</v>
      </c>
      <c r="HZ24" s="233">
        <v>79167</v>
      </c>
      <c r="IA24" s="233">
        <f t="shared" si="49"/>
        <v>39036</v>
      </c>
      <c r="IB24" s="114"/>
      <c r="IC24" s="233"/>
      <c r="ID24" s="233"/>
      <c r="IE24" s="114"/>
      <c r="IF24" s="114"/>
      <c r="IG24" s="233"/>
      <c r="IH24" s="114">
        <v>40941</v>
      </c>
      <c r="II24" s="233">
        <v>16481</v>
      </c>
      <c r="IJ24" s="114">
        <v>41254</v>
      </c>
      <c r="IK24" s="233">
        <v>10844</v>
      </c>
      <c r="IL24" s="115">
        <v>41508</v>
      </c>
      <c r="IM24" s="322">
        <v>11711</v>
      </c>
      <c r="IN24" s="314"/>
      <c r="IO24" s="314"/>
      <c r="IP24" s="123"/>
      <c r="IQ24" s="233"/>
      <c r="IR24" s="123"/>
      <c r="IS24" s="233"/>
      <c r="IT24" s="115"/>
      <c r="IU24" s="115"/>
      <c r="IV24" s="115"/>
      <c r="IW24" s="115"/>
      <c r="IX24" s="268"/>
      <c r="IY24" s="268"/>
      <c r="IZ24" s="268"/>
      <c r="JA24" s="268"/>
      <c r="JB24" s="268"/>
      <c r="JC24" s="268"/>
      <c r="JD24" s="233">
        <v>16481</v>
      </c>
      <c r="JE24" s="123"/>
      <c r="JF24" s="115"/>
      <c r="JG24" s="123"/>
      <c r="JH24" s="123"/>
      <c r="JI24" s="115"/>
    </row>
    <row r="25" spans="1:269" ht="15" customHeight="1">
      <c r="A25" s="732" t="s">
        <v>386</v>
      </c>
      <c r="B25" s="5" t="s">
        <v>35</v>
      </c>
      <c r="C25" s="5" t="s">
        <v>110</v>
      </c>
      <c r="D25" s="5">
        <v>2013</v>
      </c>
      <c r="E25" s="5" t="s">
        <v>36</v>
      </c>
      <c r="F25" s="5" t="s">
        <v>378</v>
      </c>
      <c r="G25" s="5" t="s">
        <v>663</v>
      </c>
      <c r="H25" s="5" t="s">
        <v>248</v>
      </c>
      <c r="I25" s="50">
        <f>26523.95*1.085</f>
        <v>28778.48575</v>
      </c>
      <c r="J25" s="50">
        <f>I25/1.085</f>
        <v>26523.95</v>
      </c>
      <c r="K25" s="256"/>
      <c r="L25" s="161" t="s">
        <v>61</v>
      </c>
      <c r="M25" s="104"/>
      <c r="N25" s="105" t="s">
        <v>126</v>
      </c>
      <c r="O25" s="207">
        <v>2330</v>
      </c>
      <c r="P25" s="207">
        <f>Q25</f>
        <v>800000</v>
      </c>
      <c r="Q25" s="207">
        <v>800000</v>
      </c>
      <c r="R25" s="207">
        <f t="shared" si="57"/>
        <v>18181.81818181818</v>
      </c>
      <c r="S25" s="207">
        <f t="shared" si="58"/>
        <v>343.34763948497852</v>
      </c>
      <c r="T25" s="207">
        <f t="shared" si="59"/>
        <v>343.34763948497852</v>
      </c>
      <c r="U25" s="207">
        <f t="shared" si="60"/>
        <v>218.75076904567243</v>
      </c>
      <c r="V25" s="207">
        <f t="shared" si="61"/>
        <v>18181.81818181818</v>
      </c>
      <c r="W25" s="207">
        <f t="shared" si="62"/>
        <v>52.954545454545453</v>
      </c>
      <c r="X25" s="208"/>
      <c r="Y25" s="209">
        <f t="shared" si="63"/>
        <v>1.5695836909871246</v>
      </c>
      <c r="Z25" s="208" t="s">
        <v>191</v>
      </c>
      <c r="AA25" s="210">
        <v>580</v>
      </c>
      <c r="AB25" s="211"/>
      <c r="AC25" s="5" t="s">
        <v>15</v>
      </c>
      <c r="AD25" s="318">
        <f t="shared" si="0"/>
        <v>44</v>
      </c>
      <c r="AE25" s="5">
        <v>44</v>
      </c>
      <c r="AF25" s="6"/>
      <c r="AG25" s="61"/>
      <c r="AH25" s="61"/>
      <c r="AI25" s="268"/>
      <c r="AJ25" s="7">
        <v>3666.81</v>
      </c>
      <c r="AK25" s="54"/>
      <c r="AL25" s="79">
        <v>3657.13</v>
      </c>
      <c r="AM25" s="7">
        <f t="shared" si="1"/>
        <v>83.116590909090917</v>
      </c>
      <c r="AN25" s="75">
        <f>6/AD25</f>
        <v>0.13636363636363635</v>
      </c>
      <c r="AO25" s="75"/>
      <c r="AP25" s="75">
        <f>17/AE25</f>
        <v>0.38636363636363635</v>
      </c>
      <c r="AQ25" s="75">
        <f>17/AD25</f>
        <v>0.38636363636363635</v>
      </c>
      <c r="AR25" s="75">
        <f>4/AD25</f>
        <v>9.0909090909090912E-2</v>
      </c>
      <c r="AS25" s="7">
        <v>1428</v>
      </c>
      <c r="AT25" s="73">
        <v>0</v>
      </c>
      <c r="AU25" s="75">
        <f t="shared" si="64"/>
        <v>0</v>
      </c>
      <c r="AV25" s="54">
        <v>4</v>
      </c>
      <c r="AW25" s="53" t="s">
        <v>561</v>
      </c>
      <c r="AX25" s="5" t="s">
        <v>118</v>
      </c>
      <c r="AY25" s="785"/>
      <c r="AZ25" s="50"/>
      <c r="BA25" s="50"/>
      <c r="BB25" s="184">
        <v>41348</v>
      </c>
      <c r="BC25" s="108" t="s">
        <v>12</v>
      </c>
      <c r="BD25" s="108" t="s">
        <v>137</v>
      </c>
      <c r="BE25" s="424"/>
      <c r="BF25" s="204">
        <v>41446</v>
      </c>
      <c r="BG25" s="96"/>
      <c r="BH25" s="96">
        <v>41467</v>
      </c>
      <c r="BI25" s="204">
        <v>41500</v>
      </c>
      <c r="BJ25" s="96"/>
      <c r="BK25" s="159">
        <v>41550</v>
      </c>
      <c r="BL25" s="202">
        <v>41576</v>
      </c>
      <c r="BM25" s="160">
        <f>DATE(YEAR(BL25),MONTH(BL25)+3,DAY(BL25))</f>
        <v>41668</v>
      </c>
      <c r="BN25" s="160"/>
      <c r="BO25" s="298">
        <v>41659</v>
      </c>
      <c r="BP25" s="297">
        <f t="shared" si="3"/>
        <v>42389</v>
      </c>
      <c r="BQ25" s="297">
        <f t="shared" si="4"/>
        <v>42755</v>
      </c>
      <c r="BR25" s="297"/>
      <c r="BS25" s="297" t="str">
        <f t="shared" si="66"/>
        <v>oui</v>
      </c>
      <c r="BT25" s="686">
        <f t="shared" si="5"/>
        <v>2</v>
      </c>
      <c r="BU25" s="686">
        <f t="shared" si="6"/>
        <v>54436</v>
      </c>
      <c r="BV25" s="686">
        <f t="shared" si="7"/>
        <v>0</v>
      </c>
      <c r="BW25" s="160"/>
      <c r="BX25" s="425" t="s">
        <v>175</v>
      </c>
      <c r="BY25" s="97"/>
      <c r="BZ25" s="98"/>
      <c r="CA25" s="101"/>
      <c r="CB25" s="101"/>
      <c r="CC25" s="155" t="s">
        <v>136</v>
      </c>
      <c r="CD25" s="306">
        <v>41626</v>
      </c>
      <c r="CE25" s="251"/>
      <c r="CF25" s="156">
        <v>6818520.4699999997</v>
      </c>
      <c r="CG25" s="588">
        <f t="shared" si="54"/>
        <v>42173</v>
      </c>
      <c r="CH25" s="408">
        <f t="shared" si="56"/>
        <v>42356</v>
      </c>
      <c r="CI25" s="344">
        <v>41988</v>
      </c>
      <c r="CJ25" s="251">
        <v>42398</v>
      </c>
      <c r="CK25" s="603">
        <f t="shared" si="65"/>
        <v>9.1</v>
      </c>
      <c r="CL25" s="123"/>
      <c r="CM25" s="123"/>
      <c r="CN25" s="123"/>
      <c r="CO25" s="529" t="str">
        <f t="shared" si="8"/>
        <v>0</v>
      </c>
      <c r="CP25" s="123"/>
      <c r="CQ25" s="123"/>
      <c r="CR25" s="529" t="str">
        <f t="shared" si="9"/>
        <v>0</v>
      </c>
      <c r="CS25" s="123"/>
      <c r="CT25" s="123"/>
      <c r="CU25" s="529" t="str">
        <f t="shared" si="10"/>
        <v>0</v>
      </c>
      <c r="CV25" s="123"/>
      <c r="CW25" s="123"/>
      <c r="CX25" s="529" t="str">
        <f t="shared" si="11"/>
        <v>0</v>
      </c>
      <c r="CY25" s="126"/>
      <c r="CZ25" s="575"/>
      <c r="DA25" s="529" t="str">
        <f t="shared" si="12"/>
        <v>0</v>
      </c>
      <c r="DB25" s="459"/>
      <c r="DC25" s="233"/>
      <c r="DD25" s="123"/>
      <c r="DE25" s="233"/>
      <c r="DF25" s="529" t="str">
        <f t="shared" si="13"/>
        <v>0</v>
      </c>
      <c r="DG25" s="123"/>
      <c r="DH25" s="351">
        <v>41766</v>
      </c>
      <c r="DI25" s="345">
        <v>2014</v>
      </c>
      <c r="DJ25" s="447">
        <f t="shared" si="14"/>
        <v>10.666666666666666</v>
      </c>
      <c r="DK25" s="529" t="str">
        <f t="shared" si="15"/>
        <v>0</v>
      </c>
      <c r="DL25" s="117">
        <v>15</v>
      </c>
      <c r="DM25" s="117">
        <f t="shared" si="16"/>
        <v>28</v>
      </c>
      <c r="DN25" s="316"/>
      <c r="DO25" s="315"/>
      <c r="DP25" s="701" t="str">
        <f t="shared" si="17"/>
        <v>0</v>
      </c>
      <c r="DQ25" s="720"/>
      <c r="DR25" s="622"/>
      <c r="DS25" s="623" t="str">
        <f t="shared" si="18"/>
        <v>0</v>
      </c>
      <c r="DT25" s="255"/>
      <c r="DU25" s="316"/>
      <c r="DV25" s="701" t="str">
        <f t="shared" si="19"/>
        <v>0</v>
      </c>
      <c r="DW25" s="315"/>
      <c r="DX25" s="316"/>
      <c r="DY25" s="701" t="str">
        <f t="shared" si="20"/>
        <v>0</v>
      </c>
      <c r="DZ25" s="324"/>
      <c r="EA25" s="324"/>
      <c r="EB25" s="701" t="str">
        <f t="shared" si="21"/>
        <v>0</v>
      </c>
      <c r="EC25" s="324"/>
      <c r="ED25" s="324"/>
      <c r="EE25" s="701" t="str">
        <f t="shared" si="22"/>
        <v>0</v>
      </c>
      <c r="EF25" s="316"/>
      <c r="EG25" s="316"/>
      <c r="EH25" s="701" t="str">
        <f t="shared" si="23"/>
        <v>0</v>
      </c>
      <c r="EI25" s="324"/>
      <c r="EJ25" s="324"/>
      <c r="EK25" s="324"/>
      <c r="EL25" s="461">
        <f t="shared" si="24"/>
        <v>42223</v>
      </c>
      <c r="EM25" s="353">
        <v>42640</v>
      </c>
      <c r="EN25" s="729">
        <f t="shared" si="25"/>
        <v>13.9</v>
      </c>
      <c r="EO25" s="461">
        <f>DATE(YEAR(CI25)+2,MONTH(CI25),DAY(CI25))</f>
        <v>42719</v>
      </c>
      <c r="EP25" s="321">
        <v>42745</v>
      </c>
      <c r="EQ25" s="116">
        <v>42523</v>
      </c>
      <c r="ER25" s="116">
        <f>DATE(YEAR(EM25),MONTH(EM25)+1,DAY(EM25))</f>
        <v>42670</v>
      </c>
      <c r="ES25" s="461"/>
      <c r="ET25" s="461">
        <f t="shared" si="26"/>
        <v>42254</v>
      </c>
      <c r="EU25" s="353">
        <v>42671</v>
      </c>
      <c r="EV25" s="347">
        <v>2016</v>
      </c>
      <c r="EW25" s="726">
        <f t="shared" si="27"/>
        <v>13.9</v>
      </c>
      <c r="EX25" s="716">
        <v>27218</v>
      </c>
      <c r="EY25" s="315">
        <f t="shared" si="28"/>
        <v>378330.2</v>
      </c>
      <c r="EZ25" s="116" t="s">
        <v>126</v>
      </c>
      <c r="FA25" s="558"/>
      <c r="FB25" s="710">
        <f t="shared" si="29"/>
        <v>0</v>
      </c>
      <c r="FC25" s="562">
        <v>285000</v>
      </c>
      <c r="FD25" s="562"/>
      <c r="FE25" s="562">
        <f>190041.07*1.021</f>
        <v>194031.93247</v>
      </c>
      <c r="FF25" s="787">
        <f>FE25/GI25</f>
        <v>2.6509981000663596E-2</v>
      </c>
      <c r="FG25" s="559"/>
      <c r="FH25" s="571"/>
      <c r="FI25" s="559"/>
      <c r="FJ25" s="559"/>
      <c r="FK25" s="321" t="s">
        <v>126</v>
      </c>
      <c r="FL25" s="200">
        <v>42851</v>
      </c>
      <c r="FM25" s="316" t="s">
        <v>126</v>
      </c>
      <c r="FN25" s="316" t="s">
        <v>126</v>
      </c>
      <c r="FO25" s="241">
        <v>42912</v>
      </c>
      <c r="FP25" s="200" t="s">
        <v>126</v>
      </c>
      <c r="FQ25" s="200">
        <f>DATE(YEAR(EM25)+1,MONTH(EM25),DAY(EM25))</f>
        <v>43005</v>
      </c>
      <c r="FR25" s="694">
        <v>205656</v>
      </c>
      <c r="FS25" s="241">
        <v>42705</v>
      </c>
      <c r="FT25" s="241">
        <v>42873</v>
      </c>
      <c r="FU25" s="115"/>
      <c r="FV25" s="115"/>
      <c r="FW25" s="115"/>
      <c r="FX25" s="50"/>
      <c r="FY25" s="115"/>
      <c r="FZ25" s="52" t="s">
        <v>799</v>
      </c>
      <c r="GA25" s="50"/>
      <c r="GB25" s="181">
        <v>42955</v>
      </c>
      <c r="GC25" s="181">
        <v>43139</v>
      </c>
      <c r="GD25" s="50"/>
      <c r="GE25" s="50"/>
      <c r="GF25" s="109" t="s">
        <v>118</v>
      </c>
      <c r="GG25" s="615">
        <v>7150691</v>
      </c>
      <c r="GH25" s="8">
        <f t="shared" si="68"/>
        <v>7150692</v>
      </c>
      <c r="GI25" s="430">
        <f>GS25+GX25+HE25+HX25+HC25+HI25+HH25</f>
        <v>7319203</v>
      </c>
      <c r="GJ25" s="10">
        <f t="shared" si="31"/>
        <v>168511</v>
      </c>
      <c r="GK25" s="46">
        <f t="shared" si="32"/>
        <v>1996.0682446049836</v>
      </c>
      <c r="GL25" s="46">
        <f t="shared" si="33"/>
        <v>166345.52272727274</v>
      </c>
      <c r="GM25" s="742">
        <v>6405313</v>
      </c>
      <c r="GN25" s="9">
        <v>6413222</v>
      </c>
      <c r="GO25" s="10">
        <f t="shared" si="34"/>
        <v>7909</v>
      </c>
      <c r="GP25" s="128">
        <f t="shared" si="35"/>
        <v>0.91457226419484994</v>
      </c>
      <c r="GQ25" s="129"/>
      <c r="GR25" s="8">
        <v>2389181</v>
      </c>
      <c r="GS25" s="9">
        <v>2438948</v>
      </c>
      <c r="GT25" s="64"/>
      <c r="GU25" s="19">
        <f t="shared" si="36"/>
        <v>55430.63636363636</v>
      </c>
      <c r="GV25" s="33">
        <f t="shared" si="37"/>
        <v>49767</v>
      </c>
      <c r="GW25" s="8">
        <v>4761510</v>
      </c>
      <c r="GX25" s="9">
        <f t="shared" si="38"/>
        <v>4693223</v>
      </c>
      <c r="GY25" s="11">
        <v>982573</v>
      </c>
      <c r="GZ25" s="11">
        <v>3710650</v>
      </c>
      <c r="HA25" s="33">
        <f t="shared" si="39"/>
        <v>-68287</v>
      </c>
      <c r="HB25" s="640">
        <f t="shared" si="40"/>
        <v>106664.15909090909</v>
      </c>
      <c r="HC25" s="9"/>
      <c r="HD25" s="8">
        <v>1</v>
      </c>
      <c r="HE25" s="9">
        <v>1</v>
      </c>
      <c r="HF25" s="64"/>
      <c r="HG25" s="36">
        <f t="shared" si="41"/>
        <v>1.3662689776468832E-7</v>
      </c>
      <c r="HH25" s="642">
        <v>171546</v>
      </c>
      <c r="HI25" s="9">
        <v>15485</v>
      </c>
      <c r="HJ25" s="20">
        <f t="shared" si="67"/>
        <v>0</v>
      </c>
      <c r="HK25" s="19">
        <f t="shared" si="42"/>
        <v>2.2727272727272728E-2</v>
      </c>
      <c r="HL25" s="46">
        <f t="shared" si="43"/>
        <v>55430.659090909088</v>
      </c>
      <c r="HM25" s="20">
        <f t="shared" si="44"/>
        <v>0</v>
      </c>
      <c r="HN25" s="45"/>
      <c r="HO25" s="45"/>
      <c r="HP25" s="35"/>
      <c r="HQ25" s="35"/>
      <c r="HR25" s="19">
        <f t="shared" si="45"/>
        <v>55430.659090909088</v>
      </c>
      <c r="HS25" s="35"/>
      <c r="HT25" s="19">
        <f t="shared" si="46"/>
        <v>55430.659090909088</v>
      </c>
      <c r="HU25" s="47">
        <f t="shared" si="47"/>
        <v>0.33322603567628878</v>
      </c>
      <c r="HV25" s="35"/>
      <c r="HW25" s="35"/>
      <c r="HX25" s="436">
        <v>0</v>
      </c>
      <c r="HY25" s="37">
        <f t="shared" si="48"/>
        <v>7319203</v>
      </c>
      <c r="HZ25" s="233">
        <v>343148</v>
      </c>
      <c r="IA25" s="233">
        <f t="shared" si="49"/>
        <v>186489</v>
      </c>
      <c r="IB25" s="114">
        <v>41060</v>
      </c>
      <c r="IC25" s="233">
        <v>37298</v>
      </c>
      <c r="ID25" s="233"/>
      <c r="IE25" s="114"/>
      <c r="IF25" s="114">
        <v>41324</v>
      </c>
      <c r="IG25" s="233">
        <v>18649</v>
      </c>
      <c r="IH25" s="114">
        <v>41262</v>
      </c>
      <c r="II25" s="233">
        <v>37298</v>
      </c>
      <c r="IJ25" s="114">
        <v>41396</v>
      </c>
      <c r="IK25" s="233">
        <v>37298</v>
      </c>
      <c r="IL25" s="115">
        <v>41547</v>
      </c>
      <c r="IM25" s="322">
        <v>55946</v>
      </c>
      <c r="IN25" s="314"/>
      <c r="IO25" s="314"/>
      <c r="IP25" s="123"/>
      <c r="IQ25" s="233"/>
      <c r="IR25" s="123"/>
      <c r="IS25" s="233"/>
      <c r="IT25" s="115"/>
      <c r="IU25" s="115"/>
      <c r="IV25" s="115"/>
      <c r="IW25" s="115"/>
      <c r="IX25" s="268"/>
      <c r="IY25" s="268"/>
      <c r="IZ25" s="268"/>
      <c r="JA25" s="268"/>
      <c r="JB25" s="268"/>
      <c r="JC25" s="268"/>
      <c r="JD25" s="233">
        <v>37298</v>
      </c>
      <c r="JE25" s="123"/>
      <c r="JF25" s="115"/>
      <c r="JG25" s="123"/>
      <c r="JH25" s="123"/>
      <c r="JI25" s="115"/>
    </row>
    <row r="26" spans="1:269" ht="15" customHeight="1">
      <c r="A26" s="21" t="s">
        <v>338</v>
      </c>
      <c r="B26" s="5" t="s">
        <v>34</v>
      </c>
      <c r="C26" s="5" t="s">
        <v>111</v>
      </c>
      <c r="D26" s="5">
        <v>2013</v>
      </c>
      <c r="E26" s="5" t="s">
        <v>50</v>
      </c>
      <c r="F26" s="5" t="s">
        <v>318</v>
      </c>
      <c r="G26" s="5" t="s">
        <v>471</v>
      </c>
      <c r="H26" s="5" t="s">
        <v>248</v>
      </c>
      <c r="I26" s="50"/>
      <c r="J26" s="50" t="s">
        <v>375</v>
      </c>
      <c r="K26" s="398" t="s">
        <v>649</v>
      </c>
      <c r="L26" s="161" t="s">
        <v>60</v>
      </c>
      <c r="M26" s="104" t="s">
        <v>68</v>
      </c>
      <c r="N26" s="105"/>
      <c r="O26" s="207">
        <v>18523</v>
      </c>
      <c r="P26" s="207">
        <v>492000</v>
      </c>
      <c r="Q26" s="207">
        <v>699015</v>
      </c>
      <c r="R26" s="207">
        <f t="shared" si="57"/>
        <v>13297.297297297297</v>
      </c>
      <c r="S26" s="207">
        <f t="shared" si="58"/>
        <v>26.56157209955191</v>
      </c>
      <c r="T26" s="207">
        <f t="shared" si="59"/>
        <v>37.737677482049342</v>
      </c>
      <c r="U26" s="207">
        <f>Q26/(AL26+AL62)</f>
        <v>189.87388190043652</v>
      </c>
      <c r="V26" s="207">
        <f>Q26/(AD26+AD62)</f>
        <v>6297.4324324324325</v>
      </c>
      <c r="W26" s="207">
        <f>O26/(AD26+AD62)</f>
        <v>166.87387387387386</v>
      </c>
      <c r="X26" s="208"/>
      <c r="Y26" s="209">
        <f>(AL26+AL62)/O26</f>
        <v>0.19875128218971008</v>
      </c>
      <c r="Z26" s="208" t="s">
        <v>195</v>
      </c>
      <c r="AA26" s="210"/>
      <c r="AB26" s="211"/>
      <c r="AC26" s="5" t="s">
        <v>15</v>
      </c>
      <c r="AD26" s="318">
        <f t="shared" si="0"/>
        <v>37</v>
      </c>
      <c r="AE26" s="5">
        <v>37</v>
      </c>
      <c r="AF26" s="6"/>
      <c r="AG26" s="61"/>
      <c r="AH26" s="61"/>
      <c r="AI26" s="268"/>
      <c r="AJ26" s="7">
        <v>3305.14</v>
      </c>
      <c r="AK26" s="54"/>
      <c r="AL26" s="79">
        <v>3681.47</v>
      </c>
      <c r="AM26" s="7">
        <f t="shared" si="1"/>
        <v>99.499189189189181</v>
      </c>
      <c r="AN26" s="56"/>
      <c r="AO26" s="56"/>
      <c r="AP26" s="56"/>
      <c r="AQ26" s="56"/>
      <c r="AR26" s="56"/>
      <c r="AS26" s="7">
        <v>3236</v>
      </c>
      <c r="AT26" s="73"/>
      <c r="AU26" s="75">
        <f t="shared" si="64"/>
        <v>0</v>
      </c>
      <c r="AV26" s="54">
        <v>3.5</v>
      </c>
      <c r="AW26" s="53" t="s">
        <v>561</v>
      </c>
      <c r="AX26" s="16" t="s">
        <v>118</v>
      </c>
      <c r="AY26" s="806"/>
      <c r="AZ26" s="51"/>
      <c r="BA26" s="184">
        <v>41170</v>
      </c>
      <c r="BB26" s="184">
        <v>40963</v>
      </c>
      <c r="BC26" s="108" t="s">
        <v>11</v>
      </c>
      <c r="BD26" s="108" t="s">
        <v>146</v>
      </c>
      <c r="BE26" s="424"/>
      <c r="BF26" s="204">
        <v>41493</v>
      </c>
      <c r="BG26" s="96"/>
      <c r="BH26" s="96">
        <v>41537</v>
      </c>
      <c r="BI26" s="204">
        <v>41543</v>
      </c>
      <c r="BJ26" s="96"/>
      <c r="BK26" s="159">
        <v>41549</v>
      </c>
      <c r="BL26" s="202">
        <v>41576</v>
      </c>
      <c r="BM26" s="160">
        <f>DATE(YEAR(BL26),MONTH(BL26)+3,DAY(BL26))</f>
        <v>41668</v>
      </c>
      <c r="BN26" s="160"/>
      <c r="BO26" s="298">
        <v>41659</v>
      </c>
      <c r="BP26" s="297">
        <f t="shared" si="3"/>
        <v>42389</v>
      </c>
      <c r="BQ26" s="297">
        <f t="shared" si="4"/>
        <v>42755</v>
      </c>
      <c r="BR26" s="297"/>
      <c r="BS26" s="297" t="str">
        <f t="shared" si="66"/>
        <v>oui</v>
      </c>
      <c r="BT26" s="686">
        <f t="shared" si="5"/>
        <v>1</v>
      </c>
      <c r="BU26" s="686">
        <f t="shared" si="6"/>
        <v>23136.729423819084</v>
      </c>
      <c r="BV26" s="686">
        <f t="shared" si="7"/>
        <v>0</v>
      </c>
      <c r="BW26" s="160"/>
      <c r="BX26" s="159">
        <v>41652</v>
      </c>
      <c r="BY26" s="97"/>
      <c r="BZ26" s="98"/>
      <c r="CA26" s="98"/>
      <c r="CB26" s="101"/>
      <c r="CC26" s="155" t="s">
        <v>147</v>
      </c>
      <c r="CD26" s="306">
        <v>41635</v>
      </c>
      <c r="CE26" s="251"/>
      <c r="CF26" s="156">
        <v>13003860.789999999</v>
      </c>
      <c r="CG26" s="588">
        <f t="shared" si="54"/>
        <v>42182</v>
      </c>
      <c r="CH26" s="408">
        <f t="shared" si="56"/>
        <v>42365</v>
      </c>
      <c r="CI26" s="344">
        <v>42159</v>
      </c>
      <c r="CJ26" s="251">
        <v>42731</v>
      </c>
      <c r="CK26" s="603">
        <f t="shared" si="65"/>
        <v>-0.9</v>
      </c>
      <c r="CL26" s="123"/>
      <c r="CM26" s="123"/>
      <c r="CN26" s="123"/>
      <c r="CO26" s="529" t="str">
        <f t="shared" si="8"/>
        <v>0</v>
      </c>
      <c r="CP26" s="123"/>
      <c r="CQ26" s="123"/>
      <c r="CR26" s="529" t="str">
        <f t="shared" si="9"/>
        <v>0</v>
      </c>
      <c r="CS26" s="123"/>
      <c r="CT26" s="123"/>
      <c r="CU26" s="529" t="str">
        <f t="shared" si="10"/>
        <v>0</v>
      </c>
      <c r="CV26" s="123"/>
      <c r="CW26" s="123"/>
      <c r="CX26" s="529" t="str">
        <f t="shared" si="11"/>
        <v>0</v>
      </c>
      <c r="CY26" s="126"/>
      <c r="CZ26" s="575"/>
      <c r="DA26" s="529" t="str">
        <f t="shared" si="12"/>
        <v>0</v>
      </c>
      <c r="DB26" s="459"/>
      <c r="DC26" s="233"/>
      <c r="DD26" s="123"/>
      <c r="DE26" s="233"/>
      <c r="DF26" s="529" t="str">
        <f t="shared" si="13"/>
        <v>0</v>
      </c>
      <c r="DG26" s="123"/>
      <c r="DH26" s="351">
        <v>41801</v>
      </c>
      <c r="DI26" s="345">
        <v>2014</v>
      </c>
      <c r="DJ26" s="447">
        <f t="shared" si="14"/>
        <v>10.266666666666667</v>
      </c>
      <c r="DK26" s="529" t="str">
        <f t="shared" si="15"/>
        <v>0</v>
      </c>
      <c r="DL26" s="242">
        <v>24</v>
      </c>
      <c r="DM26" s="117">
        <f t="shared" si="16"/>
        <v>28</v>
      </c>
      <c r="DN26" s="123"/>
      <c r="DO26" s="233"/>
      <c r="DP26" s="529" t="str">
        <f t="shared" si="17"/>
        <v>0</v>
      </c>
      <c r="DQ26" s="577"/>
      <c r="DR26" s="573"/>
      <c r="DS26" s="532" t="str">
        <f t="shared" si="18"/>
        <v>0</v>
      </c>
      <c r="DT26" s="126"/>
      <c r="DU26" s="316"/>
      <c r="DV26" s="529" t="str">
        <f t="shared" si="19"/>
        <v>0</v>
      </c>
      <c r="DW26" s="123"/>
      <c r="DX26" s="123"/>
      <c r="DY26" s="529" t="str">
        <f t="shared" si="20"/>
        <v>0</v>
      </c>
      <c r="DZ26" s="123"/>
      <c r="EA26" s="123"/>
      <c r="EB26" s="529" t="str">
        <f t="shared" si="21"/>
        <v>0</v>
      </c>
      <c r="EC26" s="123"/>
      <c r="ED26" s="123"/>
      <c r="EE26" s="529" t="str">
        <f t="shared" si="22"/>
        <v>0</v>
      </c>
      <c r="EF26" s="123"/>
      <c r="EG26" s="123"/>
      <c r="EH26" s="529" t="str">
        <f t="shared" si="23"/>
        <v>0</v>
      </c>
      <c r="EI26" s="123"/>
      <c r="EJ26" s="123"/>
      <c r="EK26" s="123"/>
      <c r="EL26" s="609">
        <f t="shared" si="24"/>
        <v>42532</v>
      </c>
      <c r="EM26" s="351">
        <v>42682</v>
      </c>
      <c r="EN26" s="729">
        <f t="shared" si="25"/>
        <v>5</v>
      </c>
      <c r="EO26" s="637">
        <v>42735</v>
      </c>
      <c r="EP26" s="116">
        <v>42726</v>
      </c>
      <c r="EQ26" s="116">
        <v>42538</v>
      </c>
      <c r="ER26" s="116">
        <v>42692</v>
      </c>
      <c r="ES26" s="461"/>
      <c r="ET26" s="461">
        <f t="shared" si="26"/>
        <v>42562</v>
      </c>
      <c r="EU26" s="353">
        <v>42704</v>
      </c>
      <c r="EV26" s="347">
        <v>2016</v>
      </c>
      <c r="EW26" s="726">
        <f t="shared" si="27"/>
        <v>4.7333333333333334</v>
      </c>
      <c r="EX26" s="716">
        <f>277640.753085829/12</f>
        <v>23136.729423819084</v>
      </c>
      <c r="EY26" s="315">
        <f t="shared" si="28"/>
        <v>109513.85260607699</v>
      </c>
      <c r="EZ26" s="116">
        <v>42670</v>
      </c>
      <c r="FA26" s="558"/>
      <c r="FB26" s="710">
        <f t="shared" si="29"/>
        <v>0</v>
      </c>
      <c r="FC26" s="562"/>
      <c r="FD26" s="562"/>
      <c r="FE26" s="562">
        <f>128413*1.021</f>
        <v>131109.67299999998</v>
      </c>
      <c r="FF26" s="787">
        <f>FE26/(GI26+GI27)</f>
        <v>9.6389719953015856E-3</v>
      </c>
      <c r="FG26" s="559"/>
      <c r="FH26" s="571"/>
      <c r="FI26" s="559"/>
      <c r="FJ26" s="559"/>
      <c r="FK26" s="321" t="s">
        <v>126</v>
      </c>
      <c r="FL26" s="321" t="s">
        <v>126</v>
      </c>
      <c r="FM26" s="321" t="s">
        <v>126</v>
      </c>
      <c r="FN26" s="321" t="s">
        <v>126</v>
      </c>
      <c r="FO26" s="123">
        <v>43224</v>
      </c>
      <c r="FP26" s="630" t="s">
        <v>126</v>
      </c>
      <c r="FQ26" s="123">
        <f>DATE(YEAR(EM26)+1,MONTH(EM26),DAY(EM26))</f>
        <v>43047</v>
      </c>
      <c r="FR26" s="692">
        <v>91095</v>
      </c>
      <c r="FS26" s="190">
        <v>42795</v>
      </c>
      <c r="FT26" s="50"/>
      <c r="FU26" s="50"/>
      <c r="FV26" s="50"/>
      <c r="FW26" s="271"/>
      <c r="FX26" s="50"/>
      <c r="FY26" s="317">
        <v>42795</v>
      </c>
      <c r="FZ26" s="411" t="s">
        <v>613</v>
      </c>
      <c r="GA26" s="50" t="s">
        <v>426</v>
      </c>
      <c r="GB26" s="235" t="s">
        <v>126</v>
      </c>
      <c r="GC26" s="183"/>
      <c r="GD26" s="115" t="s">
        <v>126</v>
      </c>
      <c r="GE26" s="50"/>
      <c r="GF26" s="109" t="s">
        <v>118</v>
      </c>
      <c r="GG26" s="621">
        <v>6447379</v>
      </c>
      <c r="GH26" s="8">
        <f t="shared" si="68"/>
        <v>6447379</v>
      </c>
      <c r="GI26" s="430">
        <f>GS26+GX26+HE26+HX26+HC26+HI26+HH26</f>
        <v>7137960</v>
      </c>
      <c r="GJ26" s="10">
        <f t="shared" si="31"/>
        <v>690581</v>
      </c>
      <c r="GK26" s="46">
        <f t="shared" si="32"/>
        <v>2159.6543565476804</v>
      </c>
      <c r="GL26" s="46">
        <f t="shared" si="33"/>
        <v>192917.83783783784</v>
      </c>
      <c r="GM26" s="8">
        <v>5795250</v>
      </c>
      <c r="GN26" s="9">
        <v>6458898</v>
      </c>
      <c r="GO26" s="10">
        <f t="shared" si="34"/>
        <v>663648</v>
      </c>
      <c r="GP26" s="128">
        <f t="shared" si="35"/>
        <v>0.91772955335803885</v>
      </c>
      <c r="GQ26" s="129"/>
      <c r="GR26" s="8">
        <v>2155832</v>
      </c>
      <c r="GS26" s="9">
        <v>2453735</v>
      </c>
      <c r="GT26" s="64"/>
      <c r="GU26" s="19">
        <f t="shared" si="36"/>
        <v>66317.16216216216</v>
      </c>
      <c r="GV26" s="33">
        <f t="shared" si="37"/>
        <v>297903</v>
      </c>
      <c r="GW26" s="8">
        <v>4291546</v>
      </c>
      <c r="GX26" s="9">
        <f t="shared" si="38"/>
        <v>4684224</v>
      </c>
      <c r="GY26" s="11">
        <v>641413</v>
      </c>
      <c r="GZ26" s="11">
        <v>4042811</v>
      </c>
      <c r="HA26" s="33">
        <f t="shared" si="39"/>
        <v>392678</v>
      </c>
      <c r="HB26" s="640">
        <f t="shared" si="40"/>
        <v>126600.64864864865</v>
      </c>
      <c r="HC26" s="9"/>
      <c r="HD26" s="8">
        <v>1</v>
      </c>
      <c r="HE26" s="9">
        <v>1</v>
      </c>
      <c r="HF26" s="64"/>
      <c r="HG26" s="36">
        <f t="shared" si="41"/>
        <v>1.4009604985177837E-7</v>
      </c>
      <c r="HH26" s="642"/>
      <c r="HI26" s="9">
        <v>0</v>
      </c>
      <c r="HJ26" s="20">
        <f t="shared" si="67"/>
        <v>0</v>
      </c>
      <c r="HK26" s="19">
        <f t="shared" si="42"/>
        <v>2.7027027027027029E-2</v>
      </c>
      <c r="HL26" s="46">
        <f t="shared" si="43"/>
        <v>66317.189189189186</v>
      </c>
      <c r="HM26" s="20">
        <f t="shared" si="44"/>
        <v>0</v>
      </c>
      <c r="HN26" s="45"/>
      <c r="HO26" s="45"/>
      <c r="HP26" s="35">
        <v>2196102.662575</v>
      </c>
      <c r="HQ26" s="35">
        <v>1303101.6922500001</v>
      </c>
      <c r="HR26" s="19">
        <f t="shared" si="45"/>
        <v>101536.15384459461</v>
      </c>
      <c r="HS26" s="35">
        <v>0</v>
      </c>
      <c r="HT26" s="19">
        <f t="shared" si="46"/>
        <v>101536.15384459461</v>
      </c>
      <c r="HU26" s="47">
        <f t="shared" si="47"/>
        <v>0.41994795777936861</v>
      </c>
      <c r="HV26" s="35">
        <v>388102.52</v>
      </c>
      <c r="HW26" s="35"/>
      <c r="HX26" s="436">
        <v>0</v>
      </c>
      <c r="HY26" s="37">
        <f t="shared" si="48"/>
        <v>9334062.662574999</v>
      </c>
      <c r="HZ26" s="233">
        <v>657747</v>
      </c>
      <c r="IA26" s="233">
        <f t="shared" si="49"/>
        <v>328481</v>
      </c>
      <c r="IB26" s="114">
        <v>40945</v>
      </c>
      <c r="IC26" s="233">
        <v>42492</v>
      </c>
      <c r="ID26" s="233"/>
      <c r="IE26" s="114"/>
      <c r="IF26" s="114"/>
      <c r="IG26" s="233"/>
      <c r="IH26" s="114">
        <v>41407</v>
      </c>
      <c r="II26" s="233">
        <v>121749</v>
      </c>
      <c r="IJ26" s="114">
        <v>41485</v>
      </c>
      <c r="IK26" s="233">
        <v>65696</v>
      </c>
      <c r="IL26" s="115">
        <v>41570</v>
      </c>
      <c r="IM26" s="322">
        <v>98544</v>
      </c>
      <c r="IN26" s="314"/>
      <c r="IO26" s="314"/>
      <c r="IP26" s="123"/>
      <c r="IQ26" s="233"/>
      <c r="IR26" s="123"/>
      <c r="IS26" s="233"/>
      <c r="IT26" s="115"/>
      <c r="IU26" s="115"/>
      <c r="IV26" s="115"/>
      <c r="IW26" s="115"/>
      <c r="IX26" s="268"/>
      <c r="IY26" s="268"/>
      <c r="IZ26" s="268"/>
      <c r="JA26" s="268"/>
      <c r="JB26" s="268"/>
      <c r="JC26" s="268"/>
      <c r="JD26" s="233">
        <v>121749</v>
      </c>
      <c r="JE26" s="123"/>
      <c r="JF26" s="115"/>
      <c r="JG26" s="123"/>
      <c r="JH26" s="123"/>
      <c r="JI26" s="115"/>
    </row>
    <row r="27" spans="1:269" s="59" customFormat="1" ht="15" customHeight="1">
      <c r="A27" s="21" t="s">
        <v>339</v>
      </c>
      <c r="B27" s="5" t="s">
        <v>34</v>
      </c>
      <c r="C27" s="5" t="s">
        <v>111</v>
      </c>
      <c r="D27" s="5">
        <v>2013</v>
      </c>
      <c r="E27" s="5" t="s">
        <v>50</v>
      </c>
      <c r="F27" s="5" t="s">
        <v>318</v>
      </c>
      <c r="G27" s="4"/>
      <c r="H27" s="5" t="s">
        <v>248</v>
      </c>
      <c r="I27" s="50"/>
      <c r="J27" s="50" t="s">
        <v>375</v>
      </c>
      <c r="K27" s="256"/>
      <c r="L27" s="161" t="s">
        <v>60</v>
      </c>
      <c r="M27" s="104" t="s">
        <v>68</v>
      </c>
      <c r="N27" s="105"/>
      <c r="O27" s="62"/>
      <c r="P27" s="62"/>
      <c r="Q27" s="62"/>
      <c r="R27" s="62"/>
      <c r="S27" s="62"/>
      <c r="T27" s="62"/>
      <c r="U27" s="62"/>
      <c r="V27" s="62"/>
      <c r="W27" s="62"/>
      <c r="X27" s="61"/>
      <c r="Y27" s="61"/>
      <c r="Z27" s="61"/>
      <c r="AA27" s="210"/>
      <c r="AB27" s="792"/>
      <c r="AC27" s="5" t="s">
        <v>16</v>
      </c>
      <c r="AD27" s="318">
        <f t="shared" si="0"/>
        <v>44</v>
      </c>
      <c r="AE27" s="6"/>
      <c r="AF27" s="5">
        <v>44</v>
      </c>
      <c r="AG27" s="50"/>
      <c r="AH27" s="50"/>
      <c r="AI27" s="268"/>
      <c r="AJ27" s="7">
        <v>3272.11</v>
      </c>
      <c r="AK27" s="54"/>
      <c r="AL27" s="79">
        <v>3318.11</v>
      </c>
      <c r="AM27" s="7">
        <f t="shared" si="1"/>
        <v>75.411590909090918</v>
      </c>
      <c r="AN27" s="56"/>
      <c r="AO27" s="56"/>
      <c r="AP27" s="56"/>
      <c r="AQ27" s="56"/>
      <c r="AR27" s="56"/>
      <c r="AS27" s="7"/>
      <c r="AT27" s="73"/>
      <c r="AU27" s="75" t="e">
        <f t="shared" si="64"/>
        <v>#DIV/0!</v>
      </c>
      <c r="AV27" s="54">
        <v>3.5</v>
      </c>
      <c r="AW27" s="53" t="s">
        <v>561</v>
      </c>
      <c r="AX27" s="16" t="s">
        <v>118</v>
      </c>
      <c r="AY27" s="806"/>
      <c r="AZ27" s="51"/>
      <c r="BA27" s="184">
        <v>41170</v>
      </c>
      <c r="BB27" s="184">
        <v>40963</v>
      </c>
      <c r="BC27" s="108" t="s">
        <v>11</v>
      </c>
      <c r="BD27" s="108" t="s">
        <v>146</v>
      </c>
      <c r="BE27" s="734">
        <v>220000</v>
      </c>
      <c r="BF27" s="204">
        <v>41465</v>
      </c>
      <c r="BG27" s="96"/>
      <c r="BH27" s="96">
        <v>41537</v>
      </c>
      <c r="BI27" s="204">
        <v>41543</v>
      </c>
      <c r="BJ27" s="96"/>
      <c r="BK27" s="159">
        <v>41549</v>
      </c>
      <c r="BL27" s="202">
        <v>41583</v>
      </c>
      <c r="BM27" s="160">
        <f>DATE(YEAR(BL27),MONTH(BL27)+3,DAY(BL27))</f>
        <v>41675</v>
      </c>
      <c r="BN27" s="160"/>
      <c r="BO27" s="298">
        <v>41659</v>
      </c>
      <c r="BP27" s="297">
        <f t="shared" si="3"/>
        <v>42389</v>
      </c>
      <c r="BQ27" s="297">
        <f t="shared" si="4"/>
        <v>42755</v>
      </c>
      <c r="BR27" s="297"/>
      <c r="BS27" s="297" t="str">
        <f t="shared" si="66"/>
        <v>oui</v>
      </c>
      <c r="BT27" s="686">
        <f t="shared" si="5"/>
        <v>1</v>
      </c>
      <c r="BU27" s="686">
        <f t="shared" si="6"/>
        <v>17948.329338702748</v>
      </c>
      <c r="BV27" s="686">
        <f t="shared" si="7"/>
        <v>0</v>
      </c>
      <c r="BW27" s="160"/>
      <c r="BX27" s="159">
        <v>41659</v>
      </c>
      <c r="BY27" s="97"/>
      <c r="BZ27" s="98"/>
      <c r="CA27" s="101"/>
      <c r="CB27" s="101"/>
      <c r="CC27" s="155"/>
      <c r="CD27" s="306">
        <v>41635</v>
      </c>
      <c r="CE27" s="251"/>
      <c r="CF27" s="156">
        <v>13003860.789999999</v>
      </c>
      <c r="CG27" s="588">
        <f t="shared" si="54"/>
        <v>42182</v>
      </c>
      <c r="CH27" s="408">
        <f t="shared" si="56"/>
        <v>42365</v>
      </c>
      <c r="CI27" s="344">
        <v>42159</v>
      </c>
      <c r="CJ27" s="408"/>
      <c r="CK27" s="408"/>
      <c r="CL27" s="123"/>
      <c r="CM27" s="123"/>
      <c r="CN27" s="123"/>
      <c r="CO27" s="529" t="str">
        <f t="shared" si="8"/>
        <v>0</v>
      </c>
      <c r="CP27" s="123"/>
      <c r="CQ27" s="123"/>
      <c r="CR27" s="529" t="str">
        <f t="shared" si="9"/>
        <v>0</v>
      </c>
      <c r="CS27" s="123"/>
      <c r="CT27" s="123"/>
      <c r="CU27" s="529" t="str">
        <f t="shared" si="10"/>
        <v>0</v>
      </c>
      <c r="CV27" s="123"/>
      <c r="CW27" s="123"/>
      <c r="CX27" s="529" t="str">
        <f t="shared" si="11"/>
        <v>0</v>
      </c>
      <c r="CY27" s="126"/>
      <c r="CZ27" s="575"/>
      <c r="DA27" s="529" t="str">
        <f t="shared" si="12"/>
        <v>0</v>
      </c>
      <c r="DB27" s="459"/>
      <c r="DC27" s="233"/>
      <c r="DD27" s="123"/>
      <c r="DE27" s="233"/>
      <c r="DF27" s="529" t="str">
        <f t="shared" si="13"/>
        <v>0</v>
      </c>
      <c r="DG27" s="123"/>
      <c r="DH27" s="351">
        <v>41801</v>
      </c>
      <c r="DI27" s="345">
        <v>2014</v>
      </c>
      <c r="DJ27" s="447">
        <f t="shared" si="14"/>
        <v>11.2</v>
      </c>
      <c r="DK27" s="529" t="str">
        <f t="shared" si="15"/>
        <v>0</v>
      </c>
      <c r="DL27" s="242">
        <v>24</v>
      </c>
      <c r="DM27" s="117">
        <f t="shared" si="16"/>
        <v>28</v>
      </c>
      <c r="DN27" s="123"/>
      <c r="DO27" s="233"/>
      <c r="DP27" s="529" t="str">
        <f t="shared" si="17"/>
        <v>0</v>
      </c>
      <c r="DQ27" s="577"/>
      <c r="DR27" s="573"/>
      <c r="DS27" s="532" t="str">
        <f t="shared" si="18"/>
        <v>0</v>
      </c>
      <c r="DT27" s="126"/>
      <c r="DU27" s="316"/>
      <c r="DV27" s="529" t="str">
        <f t="shared" si="19"/>
        <v>0</v>
      </c>
      <c r="DW27" s="123"/>
      <c r="DX27" s="123"/>
      <c r="DY27" s="529" t="str">
        <f t="shared" si="20"/>
        <v>0</v>
      </c>
      <c r="DZ27" s="123"/>
      <c r="EA27" s="123"/>
      <c r="EB27" s="529" t="str">
        <f t="shared" si="21"/>
        <v>0</v>
      </c>
      <c r="EC27" s="123"/>
      <c r="ED27" s="123"/>
      <c r="EE27" s="529" t="str">
        <f t="shared" si="22"/>
        <v>0</v>
      </c>
      <c r="EF27" s="123"/>
      <c r="EG27" s="123"/>
      <c r="EH27" s="529" t="str">
        <f t="shared" si="23"/>
        <v>0</v>
      </c>
      <c r="EI27" s="123"/>
      <c r="EJ27" s="123"/>
      <c r="EK27" s="123"/>
      <c r="EL27" s="579">
        <f t="shared" si="24"/>
        <v>42532</v>
      </c>
      <c r="EM27" s="351">
        <v>42682</v>
      </c>
      <c r="EN27" s="729">
        <f t="shared" si="25"/>
        <v>5</v>
      </c>
      <c r="EO27" s="637">
        <v>42735</v>
      </c>
      <c r="EP27" s="116">
        <v>42726</v>
      </c>
      <c r="EQ27" s="116">
        <v>42538</v>
      </c>
      <c r="ER27" s="116">
        <v>42692</v>
      </c>
      <c r="ES27" s="461"/>
      <c r="ET27" s="461">
        <f t="shared" si="26"/>
        <v>42562</v>
      </c>
      <c r="EU27" s="353">
        <v>42704</v>
      </c>
      <c r="EV27" s="347">
        <v>2016</v>
      </c>
      <c r="EW27" s="726">
        <f t="shared" si="27"/>
        <v>4.7333333333333334</v>
      </c>
      <c r="EX27" s="716">
        <f>215379.952064433/12</f>
        <v>17948.329338702748</v>
      </c>
      <c r="EY27" s="315">
        <f t="shared" si="28"/>
        <v>84955.425536526338</v>
      </c>
      <c r="EZ27" s="116">
        <v>42670</v>
      </c>
      <c r="FA27" s="115"/>
      <c r="FB27" s="692">
        <f t="shared" si="29"/>
        <v>0</v>
      </c>
      <c r="FC27" s="233"/>
      <c r="FD27" s="233"/>
      <c r="FE27" s="233"/>
      <c r="FF27" s="788"/>
      <c r="FG27" s="559"/>
      <c r="FH27" s="571" t="s">
        <v>757</v>
      </c>
      <c r="FI27" s="559"/>
      <c r="FJ27" s="559"/>
      <c r="FK27" s="321" t="s">
        <v>126</v>
      </c>
      <c r="FL27" s="321" t="s">
        <v>126</v>
      </c>
      <c r="FM27" s="321" t="s">
        <v>126</v>
      </c>
      <c r="FN27" s="321" t="s">
        <v>126</v>
      </c>
      <c r="FO27" s="123">
        <v>43224</v>
      </c>
      <c r="FP27" s="630" t="s">
        <v>126</v>
      </c>
      <c r="FQ27" s="123">
        <f>DATE(YEAR(EM27)+1,MONTH(EM27),DAY(EM27))</f>
        <v>43047</v>
      </c>
      <c r="FR27" s="692">
        <v>82104</v>
      </c>
      <c r="FS27" s="262">
        <v>42795</v>
      </c>
      <c r="FT27" s="50"/>
      <c r="FU27" s="50"/>
      <c r="FV27" s="50"/>
      <c r="FW27" s="271"/>
      <c r="FX27" s="50"/>
      <c r="FY27" s="262">
        <v>42795</v>
      </c>
      <c r="FZ27" s="411" t="s">
        <v>613</v>
      </c>
      <c r="GA27" s="50" t="s">
        <v>426</v>
      </c>
      <c r="GB27" s="235" t="s">
        <v>126</v>
      </c>
      <c r="GC27" s="183"/>
      <c r="GD27" s="50"/>
      <c r="GE27" s="50"/>
      <c r="GF27" s="109" t="s">
        <v>118</v>
      </c>
      <c r="GG27" s="621">
        <v>6402537</v>
      </c>
      <c r="GH27" s="8">
        <f t="shared" si="68"/>
        <v>6402537</v>
      </c>
      <c r="GI27" s="430">
        <f>GS27+GX27+HE27+HX27+HC27+HI27+HH27</f>
        <v>6464079</v>
      </c>
      <c r="GJ27" s="10">
        <f t="shared" si="31"/>
        <v>61542</v>
      </c>
      <c r="GK27" s="46">
        <f t="shared" si="32"/>
        <v>1975.5078527311123</v>
      </c>
      <c r="GL27" s="46">
        <f t="shared" si="33"/>
        <v>146910.88636363635</v>
      </c>
      <c r="GM27" s="8">
        <v>5737343</v>
      </c>
      <c r="GN27" s="9">
        <v>5833192</v>
      </c>
      <c r="GO27" s="10">
        <f t="shared" si="34"/>
        <v>95849</v>
      </c>
      <c r="GP27" s="128">
        <f t="shared" si="35"/>
        <v>0.91492281934489406</v>
      </c>
      <c r="GQ27" s="129"/>
      <c r="GR27" s="8">
        <v>1799492</v>
      </c>
      <c r="GS27" s="9">
        <v>1905132</v>
      </c>
      <c r="GT27" s="64"/>
      <c r="GU27" s="19">
        <f t="shared" si="36"/>
        <v>43298.454545454544</v>
      </c>
      <c r="GV27" s="33">
        <f t="shared" si="37"/>
        <v>105640</v>
      </c>
      <c r="GW27" s="8">
        <v>3703045</v>
      </c>
      <c r="GX27" s="9">
        <f t="shared" si="38"/>
        <v>3678947</v>
      </c>
      <c r="GY27" s="11">
        <v>473086</v>
      </c>
      <c r="GZ27" s="11">
        <v>3205861</v>
      </c>
      <c r="HA27" s="33">
        <f t="shared" si="39"/>
        <v>-24098</v>
      </c>
      <c r="HB27" s="640">
        <f t="shared" si="40"/>
        <v>83612.431818181823</v>
      </c>
      <c r="HC27" s="9"/>
      <c r="HD27" s="8">
        <v>900000</v>
      </c>
      <c r="HE27" s="9">
        <v>880000</v>
      </c>
      <c r="HF27" s="64"/>
      <c r="HG27" s="36">
        <f t="shared" si="41"/>
        <v>0.13613695005893336</v>
      </c>
      <c r="HH27" s="642"/>
      <c r="HI27" s="9">
        <v>0</v>
      </c>
      <c r="HJ27" s="20">
        <f t="shared" si="67"/>
        <v>-20000</v>
      </c>
      <c r="HK27" s="19">
        <f t="shared" si="42"/>
        <v>20000</v>
      </c>
      <c r="HL27" s="46">
        <f t="shared" si="43"/>
        <v>63298.454545454544</v>
      </c>
      <c r="HM27" s="20">
        <f t="shared" si="44"/>
        <v>-454.54545454545456</v>
      </c>
      <c r="HN27" s="45"/>
      <c r="HO27" s="45"/>
      <c r="HP27" s="35">
        <v>0</v>
      </c>
      <c r="HQ27" s="35">
        <v>0</v>
      </c>
      <c r="HR27" s="19">
        <f t="shared" si="45"/>
        <v>63298.454545454544</v>
      </c>
      <c r="HS27" s="35">
        <v>0</v>
      </c>
      <c r="HT27" s="19">
        <f t="shared" si="46"/>
        <v>63298.454545454544</v>
      </c>
      <c r="HU27" s="47">
        <f t="shared" si="47"/>
        <v>0.45371634850544579</v>
      </c>
      <c r="HV27" s="35">
        <v>325591.79499999998</v>
      </c>
      <c r="HW27" s="35"/>
      <c r="HX27" s="9">
        <v>0</v>
      </c>
      <c r="HY27" s="37">
        <f t="shared" si="48"/>
        <v>6464079</v>
      </c>
      <c r="HZ27" s="233"/>
      <c r="IA27" s="233">
        <f t="shared" si="49"/>
        <v>0</v>
      </c>
      <c r="IB27" s="114"/>
      <c r="IC27" s="233"/>
      <c r="ID27" s="233"/>
      <c r="IE27" s="114"/>
      <c r="IF27" s="114"/>
      <c r="IG27" s="233"/>
      <c r="IH27" s="114"/>
      <c r="II27" s="233"/>
      <c r="IJ27" s="114"/>
      <c r="IK27" s="233"/>
      <c r="IL27" s="115"/>
      <c r="IM27" s="322"/>
      <c r="IN27" s="314"/>
      <c r="IO27" s="314"/>
      <c r="IP27" s="123"/>
      <c r="IQ27" s="233"/>
      <c r="IR27" s="123"/>
      <c r="IS27" s="233"/>
      <c r="IT27" s="324"/>
      <c r="IU27" s="324"/>
      <c r="IV27" s="324"/>
      <c r="IW27" s="324"/>
      <c r="IX27" s="268"/>
      <c r="IY27" s="268"/>
      <c r="IZ27" s="268"/>
      <c r="JA27" s="268"/>
      <c r="JB27" s="268"/>
      <c r="JC27" s="268"/>
      <c r="JD27" s="233"/>
      <c r="JE27" s="123"/>
      <c r="JF27" s="115"/>
      <c r="JG27" s="123"/>
      <c r="JH27" s="123"/>
      <c r="JI27" s="115"/>
    </row>
    <row r="28" spans="1:269" ht="16.5" customHeight="1">
      <c r="A28" s="648" t="s">
        <v>52</v>
      </c>
      <c r="B28" s="5" t="s">
        <v>28</v>
      </c>
      <c r="C28" s="5" t="s">
        <v>110</v>
      </c>
      <c r="D28" s="5">
        <v>2013</v>
      </c>
      <c r="E28" s="5" t="s">
        <v>53</v>
      </c>
      <c r="F28" s="5" t="s">
        <v>30</v>
      </c>
      <c r="G28" s="5" t="s">
        <v>624</v>
      </c>
      <c r="H28" s="5" t="s">
        <v>248</v>
      </c>
      <c r="I28" s="50"/>
      <c r="J28" s="50"/>
      <c r="K28" s="256"/>
      <c r="L28" s="161" t="s">
        <v>66</v>
      </c>
      <c r="M28" s="104" t="s">
        <v>67</v>
      </c>
      <c r="N28" s="105"/>
      <c r="O28" s="207">
        <f>4015+535</f>
        <v>4550</v>
      </c>
      <c r="P28" s="207">
        <v>298500</v>
      </c>
      <c r="Q28" s="207">
        <v>122015</v>
      </c>
      <c r="R28" s="207">
        <f>P28/15</f>
        <v>19900</v>
      </c>
      <c r="S28" s="207">
        <f>P28/O28</f>
        <v>65.604395604395606</v>
      </c>
      <c r="T28" s="213">
        <f>Q28/O28</f>
        <v>26.816483516483515</v>
      </c>
      <c r="U28" s="213">
        <f>Q28/AL28</f>
        <v>103.92126802429075</v>
      </c>
      <c r="V28" s="213">
        <f>Q28/AD28</f>
        <v>8134.333333333333</v>
      </c>
      <c r="W28" s="207">
        <f>O28/AD28</f>
        <v>303.33333333333331</v>
      </c>
      <c r="X28" s="208"/>
      <c r="Y28" s="209">
        <f>AL28/O28</f>
        <v>0.25804615384615381</v>
      </c>
      <c r="Z28" s="208" t="s">
        <v>190</v>
      </c>
      <c r="AA28" s="210">
        <v>600</v>
      </c>
      <c r="AB28" s="211"/>
      <c r="AC28" s="5" t="s">
        <v>16</v>
      </c>
      <c r="AD28" s="318">
        <f t="shared" si="0"/>
        <v>15</v>
      </c>
      <c r="AE28" s="6"/>
      <c r="AF28" s="5">
        <v>15</v>
      </c>
      <c r="AG28" s="50"/>
      <c r="AH28" s="50"/>
      <c r="AI28" s="268"/>
      <c r="AJ28" s="7">
        <v>1160.5899999999999</v>
      </c>
      <c r="AK28" s="54"/>
      <c r="AL28" s="79">
        <v>1174.1099999999999</v>
      </c>
      <c r="AM28" s="7">
        <f t="shared" si="1"/>
        <v>78.273999999999987</v>
      </c>
      <c r="AN28" s="56"/>
      <c r="AO28" s="56"/>
      <c r="AP28" s="56"/>
      <c r="AQ28" s="56"/>
      <c r="AR28" s="56"/>
      <c r="AS28" s="7"/>
      <c r="AT28" s="73"/>
      <c r="AU28" s="75">
        <f t="shared" si="64"/>
        <v>0</v>
      </c>
      <c r="AV28" s="54">
        <v>1.5</v>
      </c>
      <c r="AW28" s="50" t="s">
        <v>560</v>
      </c>
      <c r="AX28" s="5"/>
      <c r="AY28" s="785"/>
      <c r="AZ28" s="50"/>
      <c r="BA28" s="50"/>
      <c r="BB28" s="184">
        <v>40963</v>
      </c>
      <c r="BC28" s="108" t="s">
        <v>11</v>
      </c>
      <c r="BD28" s="108" t="s">
        <v>143</v>
      </c>
      <c r="BE28" s="424"/>
      <c r="BF28" s="204">
        <v>41596</v>
      </c>
      <c r="BG28" s="192"/>
      <c r="BH28" s="192" t="s">
        <v>316</v>
      </c>
      <c r="BI28" s="205" t="s">
        <v>320</v>
      </c>
      <c r="BJ28" s="192">
        <v>42291</v>
      </c>
      <c r="BK28" s="159">
        <v>41550</v>
      </c>
      <c r="BL28" s="202" t="s">
        <v>126</v>
      </c>
      <c r="BM28" s="160">
        <f>DATE(YEAR(BK28),MONTH(BK28)+3,DAY(BK28))</f>
        <v>41642</v>
      </c>
      <c r="BN28" s="160" t="s">
        <v>126</v>
      </c>
      <c r="BO28" s="298">
        <v>41818</v>
      </c>
      <c r="BP28" s="297">
        <f t="shared" si="3"/>
        <v>42549</v>
      </c>
      <c r="BQ28" s="297">
        <f t="shared" si="4"/>
        <v>42914</v>
      </c>
      <c r="BR28" s="297"/>
      <c r="BS28" s="297" t="str">
        <f t="shared" si="66"/>
        <v>oui</v>
      </c>
      <c r="BT28" s="686">
        <f t="shared" si="5"/>
        <v>3</v>
      </c>
      <c r="BU28" s="686">
        <f t="shared" si="6"/>
        <v>14214.1333635839</v>
      </c>
      <c r="BV28" s="686">
        <f t="shared" si="7"/>
        <v>0</v>
      </c>
      <c r="BW28" s="160"/>
      <c r="BX28" s="425" t="s">
        <v>314</v>
      </c>
      <c r="BY28" s="101"/>
      <c r="BZ28" s="101"/>
      <c r="CA28" s="101"/>
      <c r="CB28" s="101"/>
      <c r="CC28" s="155" t="s">
        <v>69</v>
      </c>
      <c r="CD28" s="306">
        <v>42340</v>
      </c>
      <c r="CE28" s="251"/>
      <c r="CF28" s="156">
        <v>2671324.61</v>
      </c>
      <c r="CG28" s="588">
        <f t="shared" si="54"/>
        <v>42888</v>
      </c>
      <c r="CH28" s="408">
        <f t="shared" si="56"/>
        <v>43071</v>
      </c>
      <c r="CI28" s="344">
        <v>42535</v>
      </c>
      <c r="CJ28" s="251">
        <v>43071</v>
      </c>
      <c r="CK28" s="603">
        <f>(EU28-CJ28)/30</f>
        <v>-8.5666666666666664</v>
      </c>
      <c r="CL28" s="123"/>
      <c r="CM28" s="123"/>
      <c r="CN28" s="123"/>
      <c r="CO28" s="529" t="str">
        <f t="shared" si="8"/>
        <v>0</v>
      </c>
      <c r="CP28" s="123"/>
      <c r="CQ28" s="123"/>
      <c r="CR28" s="529" t="str">
        <f t="shared" si="9"/>
        <v>0</v>
      </c>
      <c r="CS28" s="123"/>
      <c r="CT28" s="123"/>
      <c r="CU28" s="529" t="str">
        <f t="shared" si="10"/>
        <v>0</v>
      </c>
      <c r="CV28" s="123"/>
      <c r="CW28" s="123"/>
      <c r="CX28" s="529" t="str">
        <f t="shared" si="11"/>
        <v>0</v>
      </c>
      <c r="CY28" s="126"/>
      <c r="CZ28" s="575"/>
      <c r="DA28" s="529" t="str">
        <f t="shared" si="12"/>
        <v>0</v>
      </c>
      <c r="DB28" s="459"/>
      <c r="DC28" s="233"/>
      <c r="DD28" s="123"/>
      <c r="DE28" s="233"/>
      <c r="DF28" s="529" t="str">
        <f t="shared" si="13"/>
        <v>0</v>
      </c>
      <c r="DG28" s="123"/>
      <c r="DH28" s="351">
        <v>42341</v>
      </c>
      <c r="DI28" s="346">
        <v>2015</v>
      </c>
      <c r="DJ28" s="449">
        <f t="shared" si="14"/>
        <v>24.833333333333332</v>
      </c>
      <c r="DK28" s="529" t="str">
        <f t="shared" si="15"/>
        <v>0</v>
      </c>
      <c r="DL28" s="245">
        <v>13</v>
      </c>
      <c r="DM28" s="242">
        <f t="shared" si="16"/>
        <v>15</v>
      </c>
      <c r="DN28" s="123"/>
      <c r="DO28" s="233"/>
      <c r="DP28" s="529" t="str">
        <f t="shared" si="17"/>
        <v>0</v>
      </c>
      <c r="DQ28" s="577"/>
      <c r="DR28" s="573"/>
      <c r="DS28" s="532" t="str">
        <f t="shared" si="18"/>
        <v>0</v>
      </c>
      <c r="DT28" s="126"/>
      <c r="DU28" s="316"/>
      <c r="DV28" s="529" t="str">
        <f t="shared" si="19"/>
        <v>0</v>
      </c>
      <c r="DW28" s="233"/>
      <c r="DX28" s="123"/>
      <c r="DY28" s="529" t="str">
        <f t="shared" si="20"/>
        <v>0</v>
      </c>
      <c r="DZ28" s="115"/>
      <c r="EA28" s="115"/>
      <c r="EB28" s="529" t="str">
        <f t="shared" si="21"/>
        <v>0</v>
      </c>
      <c r="EC28" s="115"/>
      <c r="ED28" s="115"/>
      <c r="EE28" s="529" t="str">
        <f t="shared" si="22"/>
        <v>0</v>
      </c>
      <c r="EF28" s="123"/>
      <c r="EG28" s="123"/>
      <c r="EH28" s="529" t="str">
        <f t="shared" si="23"/>
        <v>0</v>
      </c>
      <c r="EI28" s="115"/>
      <c r="EJ28" s="115"/>
      <c r="EK28" s="115"/>
      <c r="EL28" s="607">
        <f t="shared" si="24"/>
        <v>42738</v>
      </c>
      <c r="EM28" s="595">
        <v>42814</v>
      </c>
      <c r="EN28" s="729">
        <f t="shared" si="25"/>
        <v>2.5333333333333332</v>
      </c>
      <c r="EO28" s="764">
        <f t="shared" ref="EO28:EO42" si="69">DATE(YEAR(CI28)+2,MONTH(CI28),DAY(CI28))</f>
        <v>43265</v>
      </c>
      <c r="EP28" s="185">
        <v>42865</v>
      </c>
      <c r="EQ28" s="185" t="s">
        <v>429</v>
      </c>
      <c r="ER28" s="185">
        <v>42804</v>
      </c>
      <c r="ES28" s="764"/>
      <c r="ET28" s="461">
        <f t="shared" si="26"/>
        <v>42769</v>
      </c>
      <c r="EU28" s="610">
        <v>42814</v>
      </c>
      <c r="EV28" s="347">
        <v>2017</v>
      </c>
      <c r="EW28" s="725">
        <f t="shared" si="27"/>
        <v>1.5</v>
      </c>
      <c r="EX28" s="716">
        <f>56856.5334543356/12</f>
        <v>4738.044454527967</v>
      </c>
      <c r="EY28" s="315">
        <f t="shared" si="28"/>
        <v>7107.06668179195</v>
      </c>
      <c r="EZ28" s="185" t="s">
        <v>126</v>
      </c>
      <c r="FA28" s="558"/>
      <c r="FB28" s="710">
        <f t="shared" si="29"/>
        <v>0</v>
      </c>
      <c r="FC28" s="562"/>
      <c r="FD28" s="562"/>
      <c r="FE28" s="789">
        <v>0</v>
      </c>
      <c r="FF28" s="787">
        <f>FE28/GI28</f>
        <v>0</v>
      </c>
      <c r="FG28" s="559"/>
      <c r="FH28" s="571" t="s">
        <v>746</v>
      </c>
      <c r="FI28" s="559"/>
      <c r="FJ28" s="559"/>
      <c r="FK28" s="194" t="s">
        <v>126</v>
      </c>
      <c r="FL28" s="237" t="s">
        <v>126</v>
      </c>
      <c r="FM28" s="122"/>
      <c r="FN28" s="122"/>
      <c r="FO28" s="122"/>
      <c r="FP28" s="317">
        <v>43223</v>
      </c>
      <c r="FQ28" s="316">
        <f>DATE(YEAR(EM28)+1,MONTH(EM28),DAY(EM28))</f>
        <v>43179</v>
      </c>
      <c r="FR28" s="693">
        <v>13223</v>
      </c>
      <c r="FS28" s="317">
        <v>42977</v>
      </c>
      <c r="FT28" s="115"/>
      <c r="FU28" s="115"/>
      <c r="FV28" s="317">
        <v>43125</v>
      </c>
      <c r="FW28" s="317">
        <v>43180</v>
      </c>
      <c r="FX28" s="50"/>
      <c r="FY28" s="184">
        <v>42998</v>
      </c>
      <c r="FZ28" s="50"/>
      <c r="GA28" s="50" t="s">
        <v>426</v>
      </c>
      <c r="GB28" s="410" t="s">
        <v>126</v>
      </c>
      <c r="GC28" s="52"/>
      <c r="GD28" s="50"/>
      <c r="GE28" s="50"/>
      <c r="GF28" s="109"/>
      <c r="GG28" s="615">
        <v>2369120</v>
      </c>
      <c r="GH28" s="8">
        <f t="shared" si="68"/>
        <v>2369121</v>
      </c>
      <c r="GI28" s="9">
        <f>GS28+GX28+HE28+HX28+HC28+HI28+HH28</f>
        <v>2951882</v>
      </c>
      <c r="GJ28" s="10">
        <f t="shared" si="31"/>
        <v>582761</v>
      </c>
      <c r="GK28" s="46">
        <f t="shared" si="32"/>
        <v>2543.4322198192299</v>
      </c>
      <c r="GL28" s="46">
        <f t="shared" si="33"/>
        <v>196792.13333333333</v>
      </c>
      <c r="GM28" s="8">
        <v>2132208</v>
      </c>
      <c r="GN28" s="9">
        <v>2403709.4727445007</v>
      </c>
      <c r="GO28" s="10">
        <f t="shared" si="34"/>
        <v>271501.47274450073</v>
      </c>
      <c r="GP28" s="128">
        <f t="shared" si="35"/>
        <v>0.91889961213462701</v>
      </c>
      <c r="GQ28" s="129"/>
      <c r="GR28" s="8">
        <v>646677</v>
      </c>
      <c r="GS28" s="9">
        <v>835967</v>
      </c>
      <c r="GT28" s="64"/>
      <c r="GU28" s="19">
        <f t="shared" si="36"/>
        <v>55731.133333333331</v>
      </c>
      <c r="GV28" s="33">
        <f t="shared" si="37"/>
        <v>189290</v>
      </c>
      <c r="GW28" s="8">
        <v>1328613</v>
      </c>
      <c r="GX28" s="9">
        <f t="shared" si="38"/>
        <v>1314229</v>
      </c>
      <c r="GY28" s="11">
        <v>212380</v>
      </c>
      <c r="GZ28" s="11">
        <v>1101849</v>
      </c>
      <c r="HA28" s="33">
        <f t="shared" si="39"/>
        <v>-14384</v>
      </c>
      <c r="HB28" s="640">
        <f t="shared" si="40"/>
        <v>87615.266666666663</v>
      </c>
      <c r="HC28" s="9"/>
      <c r="HD28" s="8">
        <v>393831</v>
      </c>
      <c r="HE28" s="9">
        <v>393831</v>
      </c>
      <c r="HF28" s="64"/>
      <c r="HG28" s="36">
        <f t="shared" si="41"/>
        <v>0.1334169184269561</v>
      </c>
      <c r="HH28" s="90">
        <v>407855</v>
      </c>
      <c r="HI28" s="9">
        <v>0</v>
      </c>
      <c r="HJ28" s="20">
        <f t="shared" si="67"/>
        <v>0</v>
      </c>
      <c r="HK28" s="19">
        <f t="shared" si="42"/>
        <v>26255.4</v>
      </c>
      <c r="HL28" s="46">
        <f t="shared" si="43"/>
        <v>81986.53333333334</v>
      </c>
      <c r="HM28" s="20">
        <f t="shared" si="44"/>
        <v>0</v>
      </c>
      <c r="HN28" s="45"/>
      <c r="HO28" s="45"/>
      <c r="HP28" s="35">
        <v>753806.75427749997</v>
      </c>
      <c r="HQ28" s="35">
        <v>300000</v>
      </c>
      <c r="HR28" s="19">
        <f t="shared" si="45"/>
        <v>101986.53333333334</v>
      </c>
      <c r="HS28" s="35">
        <v>162750</v>
      </c>
      <c r="HT28" s="19">
        <f t="shared" si="46"/>
        <v>112836.53333333334</v>
      </c>
      <c r="HU28" s="47">
        <f t="shared" si="47"/>
        <v>0.4726319970267101</v>
      </c>
      <c r="HV28" s="35">
        <v>124577</v>
      </c>
      <c r="HW28" s="435"/>
      <c r="HX28" s="436">
        <v>0</v>
      </c>
      <c r="HY28" s="37">
        <f t="shared" si="48"/>
        <v>3705688.7542774999</v>
      </c>
      <c r="HZ28" s="276">
        <v>144741</v>
      </c>
      <c r="IA28" s="276">
        <f t="shared" si="49"/>
        <v>57156</v>
      </c>
      <c r="IB28" s="114">
        <v>40814</v>
      </c>
      <c r="IC28" s="233">
        <v>10799</v>
      </c>
      <c r="ID28" s="233"/>
      <c r="IE28" s="114"/>
      <c r="IF28" s="114"/>
      <c r="IG28" s="233"/>
      <c r="IH28" s="114"/>
      <c r="II28" s="233"/>
      <c r="IJ28" s="114">
        <v>41050</v>
      </c>
      <c r="IK28" s="233">
        <v>29206</v>
      </c>
      <c r="IL28" s="115">
        <v>41627</v>
      </c>
      <c r="IM28" s="322">
        <v>17151</v>
      </c>
      <c r="IN28" s="314"/>
      <c r="IO28" s="314"/>
      <c r="IP28" s="123"/>
      <c r="IQ28" s="233"/>
      <c r="IR28" s="123"/>
      <c r="IS28" s="233"/>
      <c r="IT28" s="115"/>
      <c r="IU28" s="115"/>
      <c r="IV28" s="115"/>
      <c r="IW28" s="115"/>
      <c r="IX28" s="268"/>
      <c r="IY28" s="268"/>
      <c r="IZ28" s="268"/>
      <c r="JA28" s="268"/>
      <c r="JB28" s="268"/>
      <c r="JC28" s="268"/>
      <c r="JD28" s="233"/>
      <c r="JE28" s="123"/>
      <c r="JF28" s="115"/>
      <c r="JG28" s="123"/>
      <c r="JH28" s="123"/>
      <c r="JI28" s="115"/>
    </row>
    <row r="29" spans="1:269" ht="15" customHeight="1">
      <c r="A29" s="648" t="s">
        <v>139</v>
      </c>
      <c r="B29" s="5" t="s">
        <v>41</v>
      </c>
      <c r="C29" s="5" t="s">
        <v>111</v>
      </c>
      <c r="D29" s="5">
        <v>2013</v>
      </c>
      <c r="E29" s="5" t="s">
        <v>42</v>
      </c>
      <c r="F29" s="5" t="s">
        <v>382</v>
      </c>
      <c r="G29" s="5" t="s">
        <v>178</v>
      </c>
      <c r="H29" s="5" t="s">
        <v>248</v>
      </c>
      <c r="I29" s="50"/>
      <c r="J29" s="50"/>
      <c r="K29" s="398" t="s">
        <v>650</v>
      </c>
      <c r="L29" s="161" t="s">
        <v>60</v>
      </c>
      <c r="M29" s="104" t="s">
        <v>141</v>
      </c>
      <c r="N29" s="105">
        <v>41619</v>
      </c>
      <c r="O29" s="207">
        <v>15520</v>
      </c>
      <c r="P29" s="207">
        <v>130195</v>
      </c>
      <c r="Q29" s="207">
        <v>184575</v>
      </c>
      <c r="R29" s="207">
        <f>P29/AD29</f>
        <v>5424.791666666667</v>
      </c>
      <c r="S29" s="207">
        <f>P29/O29</f>
        <v>8.3888530927835046</v>
      </c>
      <c r="T29" s="207">
        <f>Q29/O29</f>
        <v>11.892719072164949</v>
      </c>
      <c r="U29" s="207">
        <f>Q29/AL29</f>
        <v>100.20684712857096</v>
      </c>
      <c r="V29" s="207">
        <f>Q29/AD29</f>
        <v>7690.625</v>
      </c>
      <c r="W29" s="207">
        <f>O29/AD29</f>
        <v>646.66666666666663</v>
      </c>
      <c r="X29" s="208"/>
      <c r="Y29" s="209">
        <f>AL29/O29</f>
        <v>0.11868170103092784</v>
      </c>
      <c r="Z29" s="208" t="s">
        <v>208</v>
      </c>
      <c r="AA29" s="210">
        <v>790</v>
      </c>
      <c r="AB29" s="211"/>
      <c r="AC29" s="5" t="s">
        <v>16</v>
      </c>
      <c r="AD29" s="318">
        <f t="shared" si="0"/>
        <v>24</v>
      </c>
      <c r="AE29" s="6"/>
      <c r="AF29" s="5">
        <v>24</v>
      </c>
      <c r="AG29" s="50"/>
      <c r="AH29" s="50"/>
      <c r="AI29" s="268"/>
      <c r="AJ29" s="7">
        <v>1833.06</v>
      </c>
      <c r="AK29" s="54"/>
      <c r="AL29" s="79">
        <v>1841.94</v>
      </c>
      <c r="AM29" s="7">
        <f t="shared" si="1"/>
        <v>76.747500000000002</v>
      </c>
      <c r="AN29" s="56"/>
      <c r="AO29" s="56"/>
      <c r="AP29" s="56"/>
      <c r="AQ29" s="56"/>
      <c r="AR29" s="56"/>
      <c r="AS29" s="7"/>
      <c r="AT29" s="73">
        <v>700</v>
      </c>
      <c r="AU29" s="75">
        <f t="shared" si="64"/>
        <v>4.5103092783505154E-2</v>
      </c>
      <c r="AV29" s="54">
        <v>1.5</v>
      </c>
      <c r="AW29" s="51" t="s">
        <v>560</v>
      </c>
      <c r="AX29" s="16" t="s">
        <v>119</v>
      </c>
      <c r="AY29" s="806"/>
      <c r="AZ29" s="51"/>
      <c r="BA29" s="50"/>
      <c r="BB29" s="184">
        <v>41346</v>
      </c>
      <c r="BC29" s="108" t="s">
        <v>12</v>
      </c>
      <c r="BD29" s="108" t="s">
        <v>140</v>
      </c>
      <c r="BE29" s="734">
        <v>120000</v>
      </c>
      <c r="BF29" s="204">
        <v>41536</v>
      </c>
      <c r="BG29" s="96"/>
      <c r="BH29" s="96">
        <v>41564</v>
      </c>
      <c r="BI29" s="204">
        <v>41568</v>
      </c>
      <c r="BJ29" s="96"/>
      <c r="BK29" s="159">
        <v>41550</v>
      </c>
      <c r="BL29" s="202">
        <v>41583</v>
      </c>
      <c r="BM29" s="160">
        <f>DATE(YEAR(BL29),MONTH(BL29)+3,DAY(BL29))</f>
        <v>41675</v>
      </c>
      <c r="BN29" s="160"/>
      <c r="BO29" s="298">
        <v>41659</v>
      </c>
      <c r="BP29" s="297">
        <f t="shared" si="3"/>
        <v>42389</v>
      </c>
      <c r="BQ29" s="297">
        <f t="shared" si="4"/>
        <v>42755</v>
      </c>
      <c r="BR29" s="297"/>
      <c r="BS29" s="297" t="str">
        <f t="shared" si="66"/>
        <v>oui</v>
      </c>
      <c r="BT29" s="686" t="e">
        <f t="shared" si="5"/>
        <v>#NUM!</v>
      </c>
      <c r="BU29" s="686" t="e">
        <f t="shared" si="6"/>
        <v>#NUM!</v>
      </c>
      <c r="BV29" s="686" t="e">
        <f t="shared" si="7"/>
        <v>#NUM!</v>
      </c>
      <c r="BW29" s="160"/>
      <c r="BX29" s="159">
        <v>41659</v>
      </c>
      <c r="BY29" s="97"/>
      <c r="BZ29" s="98"/>
      <c r="CA29" s="101"/>
      <c r="CB29" s="101"/>
      <c r="CC29" s="155" t="s">
        <v>142</v>
      </c>
      <c r="CD29" s="306">
        <v>41626</v>
      </c>
      <c r="CE29" s="251"/>
      <c r="CF29" s="156">
        <f>3488955.15568/1.021</f>
        <v>3417194.08</v>
      </c>
      <c r="CG29" s="588">
        <f t="shared" si="54"/>
        <v>42173</v>
      </c>
      <c r="CH29" s="408">
        <f t="shared" si="56"/>
        <v>42356</v>
      </c>
      <c r="CI29" s="344">
        <v>42114</v>
      </c>
      <c r="CJ29" s="251">
        <v>42292</v>
      </c>
      <c r="CK29" s="603">
        <f>(EU29-CJ29)/30</f>
        <v>16.066666666666666</v>
      </c>
      <c r="CL29" s="123"/>
      <c r="CM29" s="115"/>
      <c r="CN29" s="115"/>
      <c r="CO29" s="529" t="str">
        <f t="shared" si="8"/>
        <v>0</v>
      </c>
      <c r="CP29" s="123"/>
      <c r="CQ29" s="123"/>
      <c r="CR29" s="529" t="str">
        <f t="shared" si="9"/>
        <v>0</v>
      </c>
      <c r="CS29" s="126"/>
      <c r="CT29" s="123"/>
      <c r="CU29" s="529" t="str">
        <f t="shared" si="10"/>
        <v>0</v>
      </c>
      <c r="CV29" s="126"/>
      <c r="CW29" s="123"/>
      <c r="CX29" s="529" t="str">
        <f t="shared" si="11"/>
        <v>0</v>
      </c>
      <c r="CY29" s="126"/>
      <c r="CZ29" s="575"/>
      <c r="DA29" s="529" t="str">
        <f t="shared" si="12"/>
        <v>0</v>
      </c>
      <c r="DB29" s="459"/>
      <c r="DC29" s="233"/>
      <c r="DD29" s="123"/>
      <c r="DE29" s="233"/>
      <c r="DF29" s="529" t="str">
        <f t="shared" si="13"/>
        <v>0</v>
      </c>
      <c r="DG29" s="123"/>
      <c r="DH29" s="351">
        <v>41876</v>
      </c>
      <c r="DI29" s="345">
        <v>2014</v>
      </c>
      <c r="DJ29" s="447">
        <f t="shared" si="14"/>
        <v>11.333333333333334</v>
      </c>
      <c r="DK29" s="529" t="str">
        <f t="shared" si="15"/>
        <v>0</v>
      </c>
      <c r="DL29" s="117">
        <v>14</v>
      </c>
      <c r="DM29" s="242">
        <f t="shared" si="16"/>
        <v>27</v>
      </c>
      <c r="DN29" s="123"/>
      <c r="DO29" s="233"/>
      <c r="DP29" s="529" t="str">
        <f t="shared" si="17"/>
        <v>0</v>
      </c>
      <c r="DQ29" s="577"/>
      <c r="DR29" s="573"/>
      <c r="DS29" s="532" t="str">
        <f t="shared" si="18"/>
        <v>0</v>
      </c>
      <c r="DT29" s="126"/>
      <c r="DU29" s="316"/>
      <c r="DV29" s="529" t="str">
        <f t="shared" si="19"/>
        <v>0</v>
      </c>
      <c r="DW29" s="233"/>
      <c r="DX29" s="123"/>
      <c r="DY29" s="529" t="str">
        <f t="shared" si="20"/>
        <v>0</v>
      </c>
      <c r="DZ29" s="115"/>
      <c r="EA29" s="115"/>
      <c r="EB29" s="529" t="str">
        <f t="shared" si="21"/>
        <v>0</v>
      </c>
      <c r="EC29" s="115"/>
      <c r="ED29" s="115"/>
      <c r="EE29" s="529" t="str">
        <f t="shared" si="22"/>
        <v>0</v>
      </c>
      <c r="EF29" s="115"/>
      <c r="EG29" s="115"/>
      <c r="EH29" s="529" t="str">
        <f t="shared" si="23"/>
        <v>0</v>
      </c>
      <c r="EI29" s="115"/>
      <c r="EJ29" s="115"/>
      <c r="EK29" s="115"/>
      <c r="EL29" s="579">
        <f t="shared" si="24"/>
        <v>42302</v>
      </c>
      <c r="EM29" s="353">
        <v>42704</v>
      </c>
      <c r="EN29" s="729">
        <f t="shared" si="25"/>
        <v>13.4</v>
      </c>
      <c r="EO29" s="762">
        <f t="shared" si="69"/>
        <v>42845</v>
      </c>
      <c r="EP29" s="116">
        <v>42774</v>
      </c>
      <c r="EQ29" s="116" t="s">
        <v>126</v>
      </c>
      <c r="ER29" s="116" t="s">
        <v>126</v>
      </c>
      <c r="ES29" s="461"/>
      <c r="ET29" s="461">
        <f t="shared" si="26"/>
        <v>42333</v>
      </c>
      <c r="EU29" s="353">
        <v>42774</v>
      </c>
      <c r="EV29" s="347">
        <v>2017</v>
      </c>
      <c r="EW29" s="726">
        <f t="shared" si="27"/>
        <v>14.7</v>
      </c>
      <c r="EX29" s="716">
        <f>115866.7697376/12</f>
        <v>9655.5641448000006</v>
      </c>
      <c r="EY29" s="315">
        <f t="shared" si="28"/>
        <v>141936.79292856</v>
      </c>
      <c r="EZ29" s="116"/>
      <c r="FA29" s="558"/>
      <c r="FB29" s="710">
        <f t="shared" si="29"/>
        <v>384475</v>
      </c>
      <c r="FC29" s="562"/>
      <c r="FD29" s="562"/>
      <c r="FE29" s="562">
        <f>58276*1.021</f>
        <v>59499.795999999995</v>
      </c>
      <c r="FF29" s="787">
        <f>FE29/GI29</f>
        <v>1.3800065359189099E-2</v>
      </c>
      <c r="FG29" s="559"/>
      <c r="FH29" s="571" t="s">
        <v>743</v>
      </c>
      <c r="FI29" s="559"/>
      <c r="FJ29" s="559"/>
      <c r="FK29" s="120" t="s">
        <v>527</v>
      </c>
      <c r="FL29" s="237" t="s">
        <v>126</v>
      </c>
      <c r="FM29" s="118" t="s">
        <v>528</v>
      </c>
      <c r="FN29" s="118" t="s">
        <v>529</v>
      </c>
      <c r="FO29" s="120"/>
      <c r="FP29" s="237" t="s">
        <v>126</v>
      </c>
      <c r="FQ29" s="317">
        <v>43069</v>
      </c>
      <c r="FR29" s="693">
        <v>29948</v>
      </c>
      <c r="FS29" s="194" t="s">
        <v>126</v>
      </c>
      <c r="FT29" s="194">
        <v>42907</v>
      </c>
      <c r="FU29" s="50"/>
      <c r="FV29" s="184"/>
      <c r="FW29" s="114">
        <v>43202</v>
      </c>
      <c r="FX29" s="50"/>
      <c r="FY29" s="50"/>
      <c r="FZ29" s="50" t="s">
        <v>827</v>
      </c>
      <c r="GA29" s="50" t="s">
        <v>426</v>
      </c>
      <c r="GB29" s="442">
        <v>43003</v>
      </c>
      <c r="GC29" s="115" t="s">
        <v>126</v>
      </c>
      <c r="GD29" s="50"/>
      <c r="GE29" s="50"/>
      <c r="GF29" s="109" t="s">
        <v>118</v>
      </c>
      <c r="GG29" s="615">
        <v>3574384</v>
      </c>
      <c r="GH29" s="8">
        <f t="shared" si="68"/>
        <v>3958860</v>
      </c>
      <c r="GI29" s="9">
        <f>GS29+GX29+HE29+HX29+HC29+HI29+HH29+HF29</f>
        <v>4311559</v>
      </c>
      <c r="GJ29" s="10">
        <f t="shared" si="31"/>
        <v>352699</v>
      </c>
      <c r="GK29" s="46">
        <f t="shared" si="32"/>
        <v>2352.1101327834331</v>
      </c>
      <c r="GL29" s="46">
        <f t="shared" si="33"/>
        <v>179648.29166666666</v>
      </c>
      <c r="GM29" s="8">
        <v>3273574</v>
      </c>
      <c r="GN29" s="9">
        <v>3268014</v>
      </c>
      <c r="GO29" s="10">
        <f t="shared" si="34"/>
        <v>-5560</v>
      </c>
      <c r="GP29" s="128">
        <f t="shared" si="35"/>
        <v>0.84426300854286318</v>
      </c>
      <c r="GQ29" s="129"/>
      <c r="GR29" s="8">
        <v>1046714</v>
      </c>
      <c r="GS29" s="9">
        <v>1042673</v>
      </c>
      <c r="GT29" s="64"/>
      <c r="GU29" s="19">
        <f t="shared" si="36"/>
        <v>43444.708333333336</v>
      </c>
      <c r="GV29" s="33">
        <f t="shared" si="37"/>
        <v>-4041</v>
      </c>
      <c r="GW29" s="8">
        <v>2047671</v>
      </c>
      <c r="GX29" s="64">
        <f t="shared" si="38"/>
        <v>2051712</v>
      </c>
      <c r="GY29" s="11">
        <v>255345</v>
      </c>
      <c r="GZ29" s="11">
        <v>1796367</v>
      </c>
      <c r="HA29" s="33">
        <f t="shared" si="39"/>
        <v>4041</v>
      </c>
      <c r="HB29" s="640">
        <f t="shared" si="40"/>
        <v>85488</v>
      </c>
      <c r="HC29" s="9"/>
      <c r="HD29" s="8">
        <v>480000</v>
      </c>
      <c r="HE29" s="9">
        <v>360000</v>
      </c>
      <c r="HF29" s="64">
        <v>120000</v>
      </c>
      <c r="HG29" s="36">
        <f t="shared" si="41"/>
        <v>8.3496480043529497E-2</v>
      </c>
      <c r="HH29" s="90">
        <v>327805</v>
      </c>
      <c r="HI29" s="9">
        <v>24894</v>
      </c>
      <c r="HJ29" s="20">
        <f t="shared" si="67"/>
        <v>-120000</v>
      </c>
      <c r="HK29" s="19">
        <f t="shared" si="42"/>
        <v>15000</v>
      </c>
      <c r="HL29" s="46">
        <f t="shared" si="43"/>
        <v>58444.708333333336</v>
      </c>
      <c r="HM29" s="20">
        <f t="shared" si="44"/>
        <v>-5000</v>
      </c>
      <c r="HN29" s="45"/>
      <c r="HO29" s="45"/>
      <c r="HP29" s="35">
        <v>1244630.4489499999</v>
      </c>
      <c r="HQ29" s="35">
        <v>480000</v>
      </c>
      <c r="HR29" s="19">
        <f t="shared" si="45"/>
        <v>78444.708333333328</v>
      </c>
      <c r="HS29" s="35">
        <v>0</v>
      </c>
      <c r="HT29" s="19">
        <f t="shared" si="46"/>
        <v>78444.708333333328</v>
      </c>
      <c r="HU29" s="47">
        <f t="shared" si="47"/>
        <v>0.35073859209247982</v>
      </c>
      <c r="HV29" s="35">
        <v>188451.07500000001</v>
      </c>
      <c r="HW29" s="35"/>
      <c r="HX29" s="437">
        <v>384475</v>
      </c>
      <c r="HY29" s="93">
        <f t="shared" si="48"/>
        <v>5556189.4489500001</v>
      </c>
      <c r="HZ29" s="233">
        <v>172483</v>
      </c>
      <c r="IA29" s="233">
        <f t="shared" si="49"/>
        <v>86240</v>
      </c>
      <c r="IB29" s="114">
        <v>41246</v>
      </c>
      <c r="IC29" s="233">
        <v>16144</v>
      </c>
      <c r="ID29" s="233"/>
      <c r="IE29" s="114"/>
      <c r="IF29" s="114">
        <v>41291</v>
      </c>
      <c r="IG29" s="233"/>
      <c r="IH29" s="114">
        <v>41275</v>
      </c>
      <c r="II29" s="233">
        <v>24216</v>
      </c>
      <c r="IJ29" s="114">
        <v>41484</v>
      </c>
      <c r="IK29" s="233">
        <v>20008</v>
      </c>
      <c r="IL29" s="115">
        <v>41583</v>
      </c>
      <c r="IM29" s="322">
        <v>25872</v>
      </c>
      <c r="IN29" s="314"/>
      <c r="IO29" s="314"/>
      <c r="IP29" s="123"/>
      <c r="IQ29" s="233"/>
      <c r="IR29" s="123"/>
      <c r="IS29" s="233"/>
      <c r="IT29" s="115"/>
      <c r="IU29" s="115"/>
      <c r="IV29" s="115"/>
      <c r="IW29" s="115"/>
      <c r="IX29" s="268"/>
      <c r="IY29" s="268"/>
      <c r="IZ29" s="268"/>
      <c r="JA29" s="268"/>
      <c r="JB29" s="268"/>
      <c r="JC29" s="268"/>
      <c r="JD29" s="233">
        <v>24216</v>
      </c>
      <c r="JE29" s="123"/>
      <c r="JF29" s="115"/>
      <c r="JG29" s="123"/>
      <c r="JH29" s="123"/>
      <c r="JI29" s="115"/>
    </row>
    <row r="30" spans="1:269" ht="15" customHeight="1">
      <c r="A30" s="21" t="s">
        <v>341</v>
      </c>
      <c r="B30" s="5" t="s">
        <v>48</v>
      </c>
      <c r="C30" s="5" t="s">
        <v>111</v>
      </c>
      <c r="D30" s="5">
        <v>2013</v>
      </c>
      <c r="E30" s="5" t="s">
        <v>49</v>
      </c>
      <c r="F30" s="5" t="s">
        <v>318</v>
      </c>
      <c r="G30" s="5"/>
      <c r="H30" s="5" t="s">
        <v>169</v>
      </c>
      <c r="I30" s="50"/>
      <c r="J30" s="50"/>
      <c r="K30" s="256"/>
      <c r="L30" s="161" t="s">
        <v>61</v>
      </c>
      <c r="M30" s="104"/>
      <c r="N30" s="105"/>
      <c r="O30" s="207">
        <v>20161</v>
      </c>
      <c r="P30" s="207">
        <v>1550000</v>
      </c>
      <c r="Q30" s="207">
        <v>1105335</v>
      </c>
      <c r="R30" s="207">
        <f>P30/(110)</f>
        <v>14090.90909090909</v>
      </c>
      <c r="S30" s="207">
        <f>P30/O30</f>
        <v>76.88110708794207</v>
      </c>
      <c r="T30" s="207">
        <f>Q30/O30</f>
        <v>54.825405485838999</v>
      </c>
      <c r="U30" s="207">
        <f>Q30/(AL30+AL133)</f>
        <v>392.66733926833251</v>
      </c>
      <c r="V30" s="207">
        <f>Q30/(110)</f>
        <v>10048.5</v>
      </c>
      <c r="W30" s="207">
        <f>O30/(AD30+AD135)</f>
        <v>746.7037037037037</v>
      </c>
      <c r="X30" s="208"/>
      <c r="Y30" s="209">
        <f>(AL30+AL133)/O30</f>
        <v>0.13962303457169783</v>
      </c>
      <c r="Z30" s="208" t="s">
        <v>193</v>
      </c>
      <c r="AA30" s="210">
        <v>460</v>
      </c>
      <c r="AB30" s="211"/>
      <c r="AC30" s="5" t="s">
        <v>15</v>
      </c>
      <c r="AD30" s="318">
        <f t="shared" si="0"/>
        <v>27</v>
      </c>
      <c r="AE30" s="5">
        <v>27</v>
      </c>
      <c r="AF30" s="6"/>
      <c r="AG30" s="61"/>
      <c r="AH30" s="61"/>
      <c r="AI30" s="268"/>
      <c r="AJ30" s="7">
        <v>2870.27</v>
      </c>
      <c r="AK30" s="54"/>
      <c r="AL30" s="79">
        <v>2814.94</v>
      </c>
      <c r="AM30" s="7">
        <f t="shared" si="1"/>
        <v>104.25703703703704</v>
      </c>
      <c r="AN30" s="75">
        <v>0</v>
      </c>
      <c r="AO30" s="75">
        <v>0</v>
      </c>
      <c r="AP30" s="75">
        <v>0</v>
      </c>
      <c r="AQ30" s="75">
        <f>19/AE30</f>
        <v>0.70370370370370372</v>
      </c>
      <c r="AR30" s="75">
        <f>8/AE30</f>
        <v>0.29629629629629628</v>
      </c>
      <c r="AS30" s="7">
        <v>12480</v>
      </c>
      <c r="AT30" s="73"/>
      <c r="AU30" s="75">
        <f t="shared" si="64"/>
        <v>0</v>
      </c>
      <c r="AV30" s="54">
        <v>3.5</v>
      </c>
      <c r="AW30" s="53" t="s">
        <v>561</v>
      </c>
      <c r="AX30" s="5" t="s">
        <v>118</v>
      </c>
      <c r="AY30" s="785"/>
      <c r="AZ30" s="50"/>
      <c r="BA30" s="184">
        <v>41170</v>
      </c>
      <c r="BB30" s="184">
        <v>41348</v>
      </c>
      <c r="BC30" s="108" t="s">
        <v>11</v>
      </c>
      <c r="BD30" s="108" t="s">
        <v>242</v>
      </c>
      <c r="BE30" s="424"/>
      <c r="BF30" s="204">
        <v>41493</v>
      </c>
      <c r="BG30" s="96"/>
      <c r="BH30" s="96">
        <v>41747</v>
      </c>
      <c r="BI30" s="204">
        <v>42160</v>
      </c>
      <c r="BJ30" s="96"/>
      <c r="BK30" s="159">
        <v>42163</v>
      </c>
      <c r="BL30" s="202">
        <v>42171</v>
      </c>
      <c r="BM30" s="160">
        <v>42263</v>
      </c>
      <c r="BN30" s="160">
        <v>42192</v>
      </c>
      <c r="BO30" s="298">
        <v>42255</v>
      </c>
      <c r="BP30" s="297">
        <f t="shared" si="3"/>
        <v>42986</v>
      </c>
      <c r="BQ30" s="297">
        <f t="shared" si="4"/>
        <v>43351</v>
      </c>
      <c r="BR30" s="297"/>
      <c r="BS30" s="297" t="str">
        <f t="shared" si="66"/>
        <v>oui</v>
      </c>
      <c r="BT30" s="686">
        <f t="shared" si="5"/>
        <v>9</v>
      </c>
      <c r="BU30" s="686">
        <f t="shared" si="6"/>
        <v>157492.0272608505</v>
      </c>
      <c r="BV30" s="686">
        <f t="shared" si="7"/>
        <v>0</v>
      </c>
      <c r="BW30" s="160" t="s">
        <v>126</v>
      </c>
      <c r="BX30" s="159" t="s">
        <v>322</v>
      </c>
      <c r="BY30" s="97" t="s">
        <v>165</v>
      </c>
      <c r="BZ30" s="97"/>
      <c r="CA30" s="98" t="s">
        <v>165</v>
      </c>
      <c r="CB30" s="98" t="s">
        <v>165</v>
      </c>
      <c r="CC30" s="155" t="s">
        <v>147</v>
      </c>
      <c r="CD30" s="306">
        <v>42360</v>
      </c>
      <c r="CE30" s="251"/>
      <c r="CF30" s="156">
        <v>18979814</v>
      </c>
      <c r="CG30" s="588">
        <f t="shared" si="54"/>
        <v>42908</v>
      </c>
      <c r="CH30" s="408">
        <f t="shared" si="56"/>
        <v>43091</v>
      </c>
      <c r="CI30" s="344">
        <v>42360</v>
      </c>
      <c r="CJ30" s="251">
        <v>43081</v>
      </c>
      <c r="CK30" s="603">
        <f>(EU30-CJ30)/30</f>
        <v>-0.43333333333333335</v>
      </c>
      <c r="CL30" s="123"/>
      <c r="CM30" s="115"/>
      <c r="CN30" s="115"/>
      <c r="CO30" s="529" t="str">
        <f t="shared" si="8"/>
        <v>0</v>
      </c>
      <c r="CP30" s="123"/>
      <c r="CQ30" s="123"/>
      <c r="CR30" s="529" t="str">
        <f t="shared" si="9"/>
        <v>0</v>
      </c>
      <c r="CS30" s="126"/>
      <c r="CT30" s="123"/>
      <c r="CU30" s="529" t="str">
        <f t="shared" si="10"/>
        <v>0</v>
      </c>
      <c r="CV30" s="126"/>
      <c r="CW30" s="123"/>
      <c r="CX30" s="529" t="str">
        <f t="shared" si="11"/>
        <v>0</v>
      </c>
      <c r="CY30" s="126"/>
      <c r="CZ30" s="575"/>
      <c r="DA30" s="529" t="str">
        <f t="shared" si="12"/>
        <v>0</v>
      </c>
      <c r="DB30" s="459"/>
      <c r="DC30" s="233"/>
      <c r="DD30" s="123"/>
      <c r="DE30" s="233"/>
      <c r="DF30" s="529" t="str">
        <f t="shared" si="13"/>
        <v>0</v>
      </c>
      <c r="DG30" s="123"/>
      <c r="DH30" s="351">
        <v>42139</v>
      </c>
      <c r="DI30" s="347">
        <v>2015</v>
      </c>
      <c r="DJ30" s="448">
        <f t="shared" si="14"/>
        <v>21.533333333333335</v>
      </c>
      <c r="DK30" s="529" t="str">
        <f t="shared" si="15"/>
        <v>0</v>
      </c>
      <c r="DL30" s="242">
        <v>24</v>
      </c>
      <c r="DM30" s="117">
        <f t="shared" si="16"/>
        <v>30</v>
      </c>
      <c r="DN30" s="123"/>
      <c r="DO30" s="233"/>
      <c r="DP30" s="529" t="str">
        <f t="shared" si="17"/>
        <v>0</v>
      </c>
      <c r="DQ30" s="577"/>
      <c r="DR30" s="573"/>
      <c r="DS30" s="532" t="str">
        <f t="shared" si="18"/>
        <v>0</v>
      </c>
      <c r="DT30" s="126"/>
      <c r="DU30" s="316"/>
      <c r="DV30" s="529" t="str">
        <f t="shared" si="19"/>
        <v>0</v>
      </c>
      <c r="DW30" s="233"/>
      <c r="DX30" s="123"/>
      <c r="DY30" s="529" t="str">
        <f t="shared" si="20"/>
        <v>0</v>
      </c>
      <c r="DZ30" s="115"/>
      <c r="EA30" s="115"/>
      <c r="EB30" s="529" t="str">
        <f t="shared" si="21"/>
        <v>0</v>
      </c>
      <c r="EC30" s="115"/>
      <c r="ED30" s="115"/>
      <c r="EE30" s="529" t="str">
        <f t="shared" si="22"/>
        <v>0</v>
      </c>
      <c r="EF30" s="114"/>
      <c r="EG30" s="115"/>
      <c r="EH30" s="529" t="str">
        <f t="shared" si="23"/>
        <v>0</v>
      </c>
      <c r="EI30" s="115"/>
      <c r="EJ30" s="115"/>
      <c r="EK30" s="115"/>
      <c r="EL30" s="461">
        <f t="shared" si="24"/>
        <v>42870</v>
      </c>
      <c r="EM30" s="353">
        <v>43059</v>
      </c>
      <c r="EN30" s="729">
        <f t="shared" si="25"/>
        <v>6.3</v>
      </c>
      <c r="EO30" s="637">
        <f t="shared" si="69"/>
        <v>43091</v>
      </c>
      <c r="EP30" s="316">
        <v>43075</v>
      </c>
      <c r="EQ30" s="116">
        <v>42712</v>
      </c>
      <c r="ER30" s="185">
        <v>43066</v>
      </c>
      <c r="ES30" s="764"/>
      <c r="ET30" s="461">
        <f t="shared" si="26"/>
        <v>42901</v>
      </c>
      <c r="EU30" s="610">
        <v>43068</v>
      </c>
      <c r="EV30" s="347">
        <v>2017</v>
      </c>
      <c r="EW30" s="725">
        <f t="shared" si="27"/>
        <v>5.5666666666666664</v>
      </c>
      <c r="EX30" s="716">
        <f>209989.369681134/12</f>
        <v>17499.114140094502</v>
      </c>
      <c r="EY30" s="315">
        <f t="shared" si="28"/>
        <v>97411.735379859383</v>
      </c>
      <c r="EZ30" s="316">
        <v>42978</v>
      </c>
      <c r="FA30" s="558">
        <v>0</v>
      </c>
      <c r="FB30" s="558">
        <v>0</v>
      </c>
      <c r="FC30" s="562"/>
      <c r="FD30" s="562"/>
      <c r="FE30" s="562">
        <f>698989*1.021</f>
        <v>713667.76899999997</v>
      </c>
      <c r="FF30" s="787">
        <f>FE30/(GI30+GI31)</f>
        <v>3.5947813466163943E-2</v>
      </c>
      <c r="FG30" s="559"/>
      <c r="FH30" s="571"/>
      <c r="FI30" s="559"/>
      <c r="FJ30" s="559"/>
      <c r="FK30" s="122"/>
      <c r="FL30" s="122"/>
      <c r="FM30" s="122"/>
      <c r="FN30" s="122"/>
      <c r="FO30" s="122"/>
      <c r="FP30" s="50"/>
      <c r="FQ30" s="279">
        <f t="shared" ref="FQ30:FQ61" si="70">DATE(YEAR(EM30)+1,MONTH(EM30),DAY(EM30))</f>
        <v>43424</v>
      </c>
      <c r="FR30" s="693">
        <v>52707</v>
      </c>
      <c r="FS30" s="122"/>
      <c r="FT30" s="122"/>
      <c r="FU30" s="122"/>
      <c r="FV30" s="122"/>
      <c r="FW30" s="122"/>
      <c r="FX30" s="50"/>
      <c r="FY30" s="50"/>
      <c r="FZ30" s="50" t="s">
        <v>842</v>
      </c>
      <c r="GA30" s="184"/>
      <c r="GB30" s="666">
        <v>43160</v>
      </c>
      <c r="GC30" s="50"/>
      <c r="GD30" s="50"/>
      <c r="GE30" s="50"/>
      <c r="GF30" s="109" t="s">
        <v>118</v>
      </c>
      <c r="GG30" s="615">
        <v>5545807</v>
      </c>
      <c r="GH30" s="8">
        <f t="shared" si="68"/>
        <v>5546805</v>
      </c>
      <c r="GI30" s="9">
        <f t="shared" ref="GI30:GI36" si="71">GS30+GX30+HE30+HX30+HC30+HI30+HH30</f>
        <v>5488129.9500000002</v>
      </c>
      <c r="GJ30" s="10">
        <f t="shared" si="31"/>
        <v>-58675.049999999814</v>
      </c>
      <c r="GK30" s="46">
        <f t="shared" si="32"/>
        <v>1912.0605204388437</v>
      </c>
      <c r="GL30" s="46">
        <f t="shared" si="33"/>
        <v>203264.07222222222</v>
      </c>
      <c r="GM30" s="8">
        <v>5057320</v>
      </c>
      <c r="GN30" s="9">
        <v>4965430</v>
      </c>
      <c r="GO30" s="10">
        <f t="shared" si="34"/>
        <v>-91890</v>
      </c>
      <c r="GP30" s="128">
        <f t="shared" si="35"/>
        <v>0.93090053102641968</v>
      </c>
      <c r="GQ30" s="129"/>
      <c r="GR30" s="8">
        <v>1882322</v>
      </c>
      <c r="GS30" s="9">
        <v>1916369</v>
      </c>
      <c r="GT30" s="64"/>
      <c r="GU30" s="19">
        <f t="shared" si="36"/>
        <v>70976.629629629635</v>
      </c>
      <c r="GV30" s="33">
        <f t="shared" si="37"/>
        <v>34047</v>
      </c>
      <c r="GW30" s="8">
        <v>3664482</v>
      </c>
      <c r="GX30" s="9">
        <f t="shared" si="38"/>
        <v>3571759.95</v>
      </c>
      <c r="GY30" s="11">
        <v>595108</v>
      </c>
      <c r="GZ30" s="11">
        <v>2976651.95</v>
      </c>
      <c r="HA30" s="33">
        <f t="shared" si="39"/>
        <v>-92722.049999999814</v>
      </c>
      <c r="HB30" s="640">
        <f t="shared" si="40"/>
        <v>132287.40555555557</v>
      </c>
      <c r="HC30" s="9"/>
      <c r="HD30" s="8">
        <v>1</v>
      </c>
      <c r="HE30" s="9">
        <v>1</v>
      </c>
      <c r="HF30" s="64"/>
      <c r="HG30" s="36">
        <f t="shared" si="41"/>
        <v>1.8221142886749611E-7</v>
      </c>
      <c r="HH30" s="90"/>
      <c r="HI30" s="9">
        <v>0</v>
      </c>
      <c r="HJ30" s="20">
        <f t="shared" si="67"/>
        <v>0</v>
      </c>
      <c r="HK30" s="19">
        <f t="shared" si="42"/>
        <v>3.7037037037037035E-2</v>
      </c>
      <c r="HL30" s="46">
        <f t="shared" si="43"/>
        <v>70976.666666666672</v>
      </c>
      <c r="HM30" s="20">
        <f t="shared" si="44"/>
        <v>0</v>
      </c>
      <c r="HN30" s="45"/>
      <c r="HO30" s="45"/>
      <c r="HP30" s="35">
        <v>1015690.2065916295</v>
      </c>
      <c r="HQ30" s="35">
        <v>540000</v>
      </c>
      <c r="HR30" s="19">
        <f t="shared" si="45"/>
        <v>90976.666666666672</v>
      </c>
      <c r="HS30" s="35">
        <v>0</v>
      </c>
      <c r="HT30" s="19">
        <f t="shared" si="46"/>
        <v>90976.666666666672</v>
      </c>
      <c r="HU30" s="47">
        <f t="shared" si="47"/>
        <v>0.39970846321114534</v>
      </c>
      <c r="HV30" s="35">
        <v>358416.12820000004</v>
      </c>
      <c r="HW30" s="35"/>
      <c r="HX30" s="9">
        <v>0</v>
      </c>
      <c r="HY30" s="37">
        <f t="shared" si="48"/>
        <v>6503820.1565916296</v>
      </c>
      <c r="HZ30" s="233">
        <v>965006</v>
      </c>
      <c r="IA30" s="233">
        <f t="shared" si="49"/>
        <v>482504</v>
      </c>
      <c r="IB30" s="114">
        <v>41090</v>
      </c>
      <c r="IC30" s="233">
        <v>96501</v>
      </c>
      <c r="ID30" s="233"/>
      <c r="IE30" s="114"/>
      <c r="IF30" s="114">
        <v>41401</v>
      </c>
      <c r="IG30" s="233">
        <v>48250</v>
      </c>
      <c r="IH30" s="114">
        <v>41262</v>
      </c>
      <c r="II30" s="233">
        <v>96501</v>
      </c>
      <c r="IJ30" s="114">
        <v>41485</v>
      </c>
      <c r="IK30" s="233">
        <v>96501</v>
      </c>
      <c r="IL30" s="115">
        <v>41570</v>
      </c>
      <c r="IM30" s="322">
        <v>144751</v>
      </c>
      <c r="IN30" s="314"/>
      <c r="IO30" s="314"/>
      <c r="IP30" s="123"/>
      <c r="IQ30" s="233"/>
      <c r="IR30" s="123"/>
      <c r="IS30" s="233"/>
      <c r="IT30" s="115"/>
      <c r="IU30" s="115"/>
      <c r="IV30" s="115"/>
      <c r="IW30" s="115"/>
      <c r="IX30" s="268"/>
      <c r="IY30" s="268"/>
      <c r="IZ30" s="238"/>
      <c r="JA30" s="290"/>
      <c r="JB30" s="238"/>
      <c r="JC30" s="290"/>
      <c r="JD30" s="233">
        <v>96501</v>
      </c>
      <c r="JE30" s="123"/>
      <c r="JF30" s="115"/>
      <c r="JG30" s="123"/>
      <c r="JH30" s="123"/>
      <c r="JI30" s="115"/>
    </row>
    <row r="31" spans="1:269" ht="15" customHeight="1">
      <c r="A31" s="21" t="s">
        <v>340</v>
      </c>
      <c r="B31" s="5" t="s">
        <v>48</v>
      </c>
      <c r="C31" s="5" t="s">
        <v>111</v>
      </c>
      <c r="D31" s="5">
        <v>2013</v>
      </c>
      <c r="E31" s="5" t="s">
        <v>49</v>
      </c>
      <c r="F31" s="5" t="s">
        <v>318</v>
      </c>
      <c r="G31" s="5" t="s">
        <v>176</v>
      </c>
      <c r="H31" s="5" t="s">
        <v>169</v>
      </c>
      <c r="I31" s="50"/>
      <c r="J31" s="50"/>
      <c r="K31" s="256"/>
      <c r="L31" s="161" t="s">
        <v>61</v>
      </c>
      <c r="M31" s="104"/>
      <c r="N31" s="105"/>
      <c r="O31" s="62"/>
      <c r="P31" s="62"/>
      <c r="Q31" s="62"/>
      <c r="R31" s="62"/>
      <c r="S31" s="62"/>
      <c r="T31" s="62"/>
      <c r="U31" s="62"/>
      <c r="V31" s="62"/>
      <c r="W31" s="62"/>
      <c r="X31" s="61"/>
      <c r="Y31" s="61"/>
      <c r="Z31" s="61"/>
      <c r="AA31" s="6"/>
      <c r="AB31" s="199"/>
      <c r="AC31" s="5" t="s">
        <v>16</v>
      </c>
      <c r="AD31" s="318">
        <f t="shared" si="0"/>
        <v>83</v>
      </c>
      <c r="AE31" s="6"/>
      <c r="AF31" s="5">
        <v>83</v>
      </c>
      <c r="AG31" s="50"/>
      <c r="AH31" s="50"/>
      <c r="AI31" s="464"/>
      <c r="AJ31" s="7">
        <v>7367.96</v>
      </c>
      <c r="AK31" s="54"/>
      <c r="AL31" s="79">
        <v>7367.66</v>
      </c>
      <c r="AM31" s="7">
        <f t="shared" si="1"/>
        <v>88.766987951807224</v>
      </c>
      <c r="AN31" s="75">
        <v>0</v>
      </c>
      <c r="AO31" s="75">
        <f>10/AF31</f>
        <v>0.12048192771084337</v>
      </c>
      <c r="AP31" s="75">
        <f>42/AF31</f>
        <v>0.50602409638554213</v>
      </c>
      <c r="AQ31" s="75">
        <f>28/AF31</f>
        <v>0.33734939759036142</v>
      </c>
      <c r="AR31" s="75">
        <f>3/AF31</f>
        <v>3.614457831325301E-2</v>
      </c>
      <c r="AS31" s="7"/>
      <c r="AT31" s="73"/>
      <c r="AU31" s="75" t="e">
        <f t="shared" si="64"/>
        <v>#DIV/0!</v>
      </c>
      <c r="AV31" s="54">
        <v>3.5</v>
      </c>
      <c r="AW31" s="53" t="s">
        <v>561</v>
      </c>
      <c r="AX31" s="5" t="s">
        <v>118</v>
      </c>
      <c r="AY31" s="785"/>
      <c r="AZ31" s="50"/>
      <c r="BA31" s="184">
        <v>41170</v>
      </c>
      <c r="BB31" s="184">
        <v>41348</v>
      </c>
      <c r="BC31" s="108" t="s">
        <v>11</v>
      </c>
      <c r="BD31" s="108" t="s">
        <v>242</v>
      </c>
      <c r="BE31" s="734">
        <v>415000</v>
      </c>
      <c r="BF31" s="204">
        <v>41463</v>
      </c>
      <c r="BG31" s="96"/>
      <c r="BH31" s="96">
        <v>41747</v>
      </c>
      <c r="BI31" s="204">
        <v>42160</v>
      </c>
      <c r="BJ31" s="96"/>
      <c r="BK31" s="159">
        <v>42163</v>
      </c>
      <c r="BL31" s="202">
        <v>42171</v>
      </c>
      <c r="BM31" s="160">
        <v>42263</v>
      </c>
      <c r="BN31" s="160">
        <v>42192</v>
      </c>
      <c r="BO31" s="298">
        <v>42255</v>
      </c>
      <c r="BP31" s="297">
        <f t="shared" si="3"/>
        <v>42986</v>
      </c>
      <c r="BQ31" s="297">
        <f t="shared" si="4"/>
        <v>43351</v>
      </c>
      <c r="BR31" s="297"/>
      <c r="BS31" s="297" t="str">
        <f t="shared" si="66"/>
        <v>oui</v>
      </c>
      <c r="BT31" s="686">
        <f t="shared" si="5"/>
        <v>9</v>
      </c>
      <c r="BU31" s="686">
        <f t="shared" si="6"/>
        <v>342957.37513997324</v>
      </c>
      <c r="BV31" s="686">
        <f t="shared" si="7"/>
        <v>0</v>
      </c>
      <c r="BW31" s="160" t="s">
        <v>126</v>
      </c>
      <c r="BX31" s="159" t="s">
        <v>361</v>
      </c>
      <c r="BY31" s="97" t="s">
        <v>165</v>
      </c>
      <c r="BZ31" s="98" t="s">
        <v>165</v>
      </c>
      <c r="CA31" s="101">
        <v>42398</v>
      </c>
      <c r="CB31" s="98" t="s">
        <v>165</v>
      </c>
      <c r="CC31" s="155"/>
      <c r="CD31" s="306">
        <v>42360</v>
      </c>
      <c r="CE31" s="251"/>
      <c r="CF31" s="156">
        <v>18979814</v>
      </c>
      <c r="CG31" s="588">
        <f t="shared" si="54"/>
        <v>42908</v>
      </c>
      <c r="CH31" s="408">
        <f t="shared" si="56"/>
        <v>43091</v>
      </c>
      <c r="CI31" s="344">
        <v>42360</v>
      </c>
      <c r="CJ31" s="408"/>
      <c r="CK31" s="604"/>
      <c r="CL31" s="123"/>
      <c r="CM31" s="115"/>
      <c r="CN31" s="115"/>
      <c r="CO31" s="529" t="str">
        <f t="shared" si="8"/>
        <v>0</v>
      </c>
      <c r="CP31" s="123"/>
      <c r="CQ31" s="123"/>
      <c r="CR31" s="529" t="str">
        <f t="shared" si="9"/>
        <v>0</v>
      </c>
      <c r="CS31" s="126"/>
      <c r="CT31" s="123"/>
      <c r="CU31" s="529" t="str">
        <f t="shared" si="10"/>
        <v>0</v>
      </c>
      <c r="CV31" s="126"/>
      <c r="CW31" s="123"/>
      <c r="CX31" s="529" t="str">
        <f t="shared" si="11"/>
        <v>0</v>
      </c>
      <c r="CY31" s="126"/>
      <c r="CZ31" s="575"/>
      <c r="DA31" s="529" t="str">
        <f t="shared" si="12"/>
        <v>0</v>
      </c>
      <c r="DB31" s="459"/>
      <c r="DC31" s="233"/>
      <c r="DD31" s="123"/>
      <c r="DE31" s="233"/>
      <c r="DF31" s="529" t="str">
        <f t="shared" si="13"/>
        <v>0</v>
      </c>
      <c r="DG31" s="123"/>
      <c r="DH31" s="351">
        <v>42139</v>
      </c>
      <c r="DI31" s="347">
        <v>2015</v>
      </c>
      <c r="DJ31" s="448">
        <f t="shared" si="14"/>
        <v>22.533333333333335</v>
      </c>
      <c r="DK31" s="529" t="str">
        <f t="shared" si="15"/>
        <v>0</v>
      </c>
      <c r="DL31" s="246">
        <v>24</v>
      </c>
      <c r="DM31" s="117">
        <f t="shared" si="16"/>
        <v>30</v>
      </c>
      <c r="DN31" s="123"/>
      <c r="DO31" s="233"/>
      <c r="DP31" s="529" t="str">
        <f t="shared" si="17"/>
        <v>0</v>
      </c>
      <c r="DQ31" s="577"/>
      <c r="DR31" s="573"/>
      <c r="DS31" s="532" t="str">
        <f t="shared" si="18"/>
        <v>0</v>
      </c>
      <c r="DT31" s="126"/>
      <c r="DU31" s="316"/>
      <c r="DV31" s="529" t="str">
        <f t="shared" si="19"/>
        <v>0</v>
      </c>
      <c r="DW31" s="233"/>
      <c r="DX31" s="123"/>
      <c r="DY31" s="529" t="str">
        <f t="shared" si="20"/>
        <v>0</v>
      </c>
      <c r="DZ31" s="115"/>
      <c r="EA31" s="115"/>
      <c r="EB31" s="529" t="str">
        <f t="shared" si="21"/>
        <v>0</v>
      </c>
      <c r="EC31" s="115"/>
      <c r="ED31" s="115"/>
      <c r="EE31" s="529" t="str">
        <f t="shared" si="22"/>
        <v>0</v>
      </c>
      <c r="EF31" s="115"/>
      <c r="EG31" s="115"/>
      <c r="EH31" s="529" t="str">
        <f t="shared" si="23"/>
        <v>0</v>
      </c>
      <c r="EI31" s="115"/>
      <c r="EJ31" s="115"/>
      <c r="EK31" s="115"/>
      <c r="EL31" s="461">
        <f t="shared" si="24"/>
        <v>42870</v>
      </c>
      <c r="EM31" s="353">
        <v>43059</v>
      </c>
      <c r="EN31" s="729">
        <f t="shared" si="25"/>
        <v>6.3</v>
      </c>
      <c r="EO31" s="637">
        <f t="shared" si="69"/>
        <v>43091</v>
      </c>
      <c r="EP31" s="316">
        <v>43075</v>
      </c>
      <c r="EQ31" s="116">
        <v>42712</v>
      </c>
      <c r="ER31" s="185">
        <v>43066</v>
      </c>
      <c r="ES31" s="764"/>
      <c r="ET31" s="461">
        <f t="shared" si="26"/>
        <v>42901</v>
      </c>
      <c r="EU31" s="610">
        <v>43068</v>
      </c>
      <c r="EV31" s="347">
        <v>2017</v>
      </c>
      <c r="EW31" s="725">
        <f t="shared" si="27"/>
        <v>5.5666666666666664</v>
      </c>
      <c r="EX31" s="716">
        <f>457276.500186631/12</f>
        <v>38106.375015552585</v>
      </c>
      <c r="EY31" s="315">
        <f t="shared" si="28"/>
        <v>212125.48758657606</v>
      </c>
      <c r="EZ31" s="316">
        <v>42978</v>
      </c>
      <c r="FA31" s="558">
        <v>0</v>
      </c>
      <c r="FB31" s="115">
        <v>0</v>
      </c>
      <c r="FC31" s="233"/>
      <c r="FD31" s="233"/>
      <c r="FE31" s="233"/>
      <c r="FF31" s="788"/>
      <c r="FG31" s="559"/>
      <c r="FH31" s="571"/>
      <c r="FI31" s="559"/>
      <c r="FJ31" s="559"/>
      <c r="FK31" s="122"/>
      <c r="FL31" s="122" t="s">
        <v>667</v>
      </c>
      <c r="FM31" s="122"/>
      <c r="FN31" s="122"/>
      <c r="FO31" s="122"/>
      <c r="FP31" s="50"/>
      <c r="FQ31" s="279">
        <f t="shared" si="70"/>
        <v>43424</v>
      </c>
      <c r="FR31" s="693">
        <v>137952</v>
      </c>
      <c r="FS31" s="122"/>
      <c r="FT31" s="122"/>
      <c r="FU31" s="122"/>
      <c r="FV31" s="122"/>
      <c r="FW31" s="122"/>
      <c r="FX31" s="50"/>
      <c r="FY31" s="50"/>
      <c r="FZ31" s="50"/>
      <c r="GA31" s="184"/>
      <c r="GB31" s="666">
        <v>43160</v>
      </c>
      <c r="GC31" s="50"/>
      <c r="GD31" s="50"/>
      <c r="GE31" s="50"/>
      <c r="GF31" s="109" t="s">
        <v>118</v>
      </c>
      <c r="GG31" s="615">
        <v>14323815</v>
      </c>
      <c r="GH31" s="8">
        <f t="shared" si="68"/>
        <v>14323814</v>
      </c>
      <c r="GI31" s="9">
        <f t="shared" si="71"/>
        <v>14364754</v>
      </c>
      <c r="GJ31" s="10">
        <f t="shared" si="31"/>
        <v>40940</v>
      </c>
      <c r="GK31" s="46">
        <f t="shared" si="32"/>
        <v>1949.6243193502678</v>
      </c>
      <c r="GL31" s="46">
        <f t="shared" si="33"/>
        <v>173069.32530120481</v>
      </c>
      <c r="GM31" s="8">
        <v>13043765</v>
      </c>
      <c r="GN31" s="9">
        <v>12989943</v>
      </c>
      <c r="GO31" s="10">
        <f t="shared" si="34"/>
        <v>-53822</v>
      </c>
      <c r="GP31" s="128">
        <f t="shared" si="35"/>
        <v>0.92975823792461976</v>
      </c>
      <c r="GQ31" s="129"/>
      <c r="GR31" s="8">
        <v>4234760</v>
      </c>
      <c r="GS31" s="9">
        <v>4422509</v>
      </c>
      <c r="GT31" s="64"/>
      <c r="GU31" s="19">
        <f t="shared" si="36"/>
        <v>53283.240963855424</v>
      </c>
      <c r="GV31" s="33">
        <f t="shared" si="37"/>
        <v>187749</v>
      </c>
      <c r="GW31" s="8">
        <v>8429054</v>
      </c>
      <c r="GX31" s="9">
        <f t="shared" si="38"/>
        <v>8282245</v>
      </c>
      <c r="GY31" s="11">
        <v>1278025</v>
      </c>
      <c r="GZ31" s="11">
        <v>7004220</v>
      </c>
      <c r="HA31" s="33">
        <f t="shared" si="39"/>
        <v>-146809</v>
      </c>
      <c r="HB31" s="640">
        <f t="shared" si="40"/>
        <v>99786.084337349399</v>
      </c>
      <c r="HC31" s="9"/>
      <c r="HD31" s="8">
        <v>1660000</v>
      </c>
      <c r="HE31" s="9">
        <v>1245000</v>
      </c>
      <c r="HF31" s="64">
        <v>415000</v>
      </c>
      <c r="HG31" s="36">
        <f t="shared" si="41"/>
        <v>8.6670471349526768E-2</v>
      </c>
      <c r="HH31" s="90"/>
      <c r="HI31" s="9">
        <v>415000</v>
      </c>
      <c r="HJ31" s="20">
        <f t="shared" si="67"/>
        <v>-415000</v>
      </c>
      <c r="HK31" s="19">
        <f t="shared" si="42"/>
        <v>15000</v>
      </c>
      <c r="HL31" s="46">
        <f t="shared" si="43"/>
        <v>68283.240963855424</v>
      </c>
      <c r="HM31" s="20">
        <f t="shared" si="44"/>
        <v>-5000</v>
      </c>
      <c r="HN31" s="45"/>
      <c r="HO31" s="45"/>
      <c r="HP31" s="35">
        <v>2467086.73961312</v>
      </c>
      <c r="HQ31" s="35">
        <v>1660000</v>
      </c>
      <c r="HR31" s="19">
        <f t="shared" si="45"/>
        <v>88283.240963855424</v>
      </c>
      <c r="HS31" s="35">
        <v>0</v>
      </c>
      <c r="HT31" s="19">
        <f t="shared" si="46"/>
        <v>88283.240963855424</v>
      </c>
      <c r="HU31" s="47">
        <f t="shared" si="47"/>
        <v>0.45620980509805781</v>
      </c>
      <c r="HV31" s="35">
        <v>770132.02990000008</v>
      </c>
      <c r="HW31" s="35"/>
      <c r="HX31" s="9">
        <v>0</v>
      </c>
      <c r="HY31" s="37">
        <f t="shared" si="48"/>
        <v>16831840.73961312</v>
      </c>
      <c r="HZ31" s="233">
        <v>965006</v>
      </c>
      <c r="IA31" s="233">
        <f t="shared" si="49"/>
        <v>0</v>
      </c>
      <c r="IB31" s="114"/>
      <c r="IC31" s="233"/>
      <c r="ID31" s="233"/>
      <c r="IE31" s="114"/>
      <c r="IF31" s="114"/>
      <c r="IG31" s="233"/>
      <c r="IH31" s="114"/>
      <c r="II31" s="233"/>
      <c r="IJ31" s="114"/>
      <c r="IK31" s="233"/>
      <c r="IL31" s="115"/>
      <c r="IM31" s="322"/>
      <c r="IN31" s="314"/>
      <c r="IO31" s="314"/>
      <c r="IP31" s="123"/>
      <c r="IQ31" s="233"/>
      <c r="IR31" s="123"/>
      <c r="IS31" s="233"/>
      <c r="IT31" s="115"/>
      <c r="IU31" s="115"/>
      <c r="IV31" s="115"/>
      <c r="IW31" s="115"/>
      <c r="IX31" s="268"/>
      <c r="IY31" s="268"/>
      <c r="IZ31" s="268"/>
      <c r="JA31" s="268"/>
      <c r="JB31" s="268"/>
      <c r="JC31" s="268"/>
      <c r="JD31" s="233"/>
      <c r="JE31" s="123"/>
      <c r="JF31" s="115"/>
      <c r="JG31" s="123"/>
      <c r="JH31" s="123"/>
      <c r="JI31" s="115"/>
    </row>
    <row r="32" spans="1:269" ht="15" customHeight="1">
      <c r="A32" s="21" t="s">
        <v>45</v>
      </c>
      <c r="B32" s="5" t="s">
        <v>46</v>
      </c>
      <c r="C32" s="5" t="s">
        <v>110</v>
      </c>
      <c r="D32" s="5">
        <v>2013</v>
      </c>
      <c r="E32" s="5" t="s">
        <v>47</v>
      </c>
      <c r="F32" s="5" t="s">
        <v>378</v>
      </c>
      <c r="G32" s="5" t="s">
        <v>624</v>
      </c>
      <c r="H32" s="5" t="s">
        <v>169</v>
      </c>
      <c r="I32" s="50" t="e">
        <f>#REF!-#REF!</f>
        <v>#REF!</v>
      </c>
      <c r="J32" s="50"/>
      <c r="K32" s="256"/>
      <c r="L32" s="415" t="s">
        <v>60</v>
      </c>
      <c r="M32" s="415" t="s">
        <v>67</v>
      </c>
      <c r="N32" s="733">
        <v>41591</v>
      </c>
      <c r="O32" s="207">
        <v>1547</v>
      </c>
      <c r="P32" s="207">
        <f>Q32</f>
        <v>259906</v>
      </c>
      <c r="Q32" s="207">
        <v>259906</v>
      </c>
      <c r="R32" s="207">
        <f t="shared" ref="R32:R39" si="72">P32/AD32</f>
        <v>14439.222222222223</v>
      </c>
      <c r="S32" s="207">
        <f t="shared" ref="S32:S60" si="73">P32/O32</f>
        <v>168.00646412411118</v>
      </c>
      <c r="T32" s="207">
        <f t="shared" ref="T32:T60" si="74">Q32/O32</f>
        <v>168.00646412411118</v>
      </c>
      <c r="U32" s="207">
        <f t="shared" ref="U32:U60" si="75">Q32/AL32</f>
        <v>197.22270702594417</v>
      </c>
      <c r="V32" s="207">
        <f t="shared" ref="V32:V60" si="76">Q32/AD32</f>
        <v>14439.222222222223</v>
      </c>
      <c r="W32" s="207">
        <f t="shared" ref="W32:W60" si="77">O32/AD32</f>
        <v>85.944444444444443</v>
      </c>
      <c r="X32" s="208">
        <v>836</v>
      </c>
      <c r="Y32" s="209">
        <f t="shared" ref="Y32:Y77" si="78">AL32/O32</f>
        <v>0.85186166774402061</v>
      </c>
      <c r="Z32" s="208" t="s">
        <v>191</v>
      </c>
      <c r="AA32" s="210">
        <v>383</v>
      </c>
      <c r="AB32" s="211">
        <v>0</v>
      </c>
      <c r="AC32" s="5" t="s">
        <v>16</v>
      </c>
      <c r="AD32" s="318">
        <f t="shared" si="0"/>
        <v>18</v>
      </c>
      <c r="AE32" s="6"/>
      <c r="AF32" s="5">
        <v>18</v>
      </c>
      <c r="AG32" s="50"/>
      <c r="AH32" s="50"/>
      <c r="AI32" s="268"/>
      <c r="AJ32" s="7">
        <v>1340.98</v>
      </c>
      <c r="AK32" s="54"/>
      <c r="AL32" s="79">
        <v>1317.83</v>
      </c>
      <c r="AM32" s="7">
        <f t="shared" si="1"/>
        <v>73.212777777777774</v>
      </c>
      <c r="AN32" s="233"/>
      <c r="AO32" s="75">
        <f>12/AD32</f>
        <v>0.66666666666666663</v>
      </c>
      <c r="AP32" s="75">
        <f>6/AD32</f>
        <v>0.33333333333333331</v>
      </c>
      <c r="AQ32" s="233"/>
      <c r="AR32" s="233"/>
      <c r="AS32" s="7"/>
      <c r="AT32" s="73">
        <v>0</v>
      </c>
      <c r="AU32" s="75">
        <f t="shared" si="64"/>
        <v>0</v>
      </c>
      <c r="AV32" s="54">
        <v>3.5</v>
      </c>
      <c r="AW32" s="53" t="s">
        <v>561</v>
      </c>
      <c r="AX32" s="5" t="s">
        <v>118</v>
      </c>
      <c r="AY32" s="785"/>
      <c r="AZ32" s="50"/>
      <c r="BA32" s="189">
        <v>41313</v>
      </c>
      <c r="BB32" s="184">
        <v>41348</v>
      </c>
      <c r="BC32" s="108" t="s">
        <v>11</v>
      </c>
      <c r="BD32" s="108" t="s">
        <v>143</v>
      </c>
      <c r="BE32" s="424"/>
      <c r="BF32" s="204">
        <v>41463</v>
      </c>
      <c r="BG32" s="96"/>
      <c r="BH32" s="96">
        <v>41514</v>
      </c>
      <c r="BI32" s="204">
        <v>41515</v>
      </c>
      <c r="BJ32" s="96"/>
      <c r="BK32" s="159">
        <v>41549</v>
      </c>
      <c r="BL32" s="202">
        <v>41576</v>
      </c>
      <c r="BM32" s="160">
        <f>DATE(YEAR(BL32),MONTH(BL32)+3,DAY(BL32))</f>
        <v>41668</v>
      </c>
      <c r="BN32" s="160"/>
      <c r="BO32" s="298">
        <v>41659</v>
      </c>
      <c r="BP32" s="297">
        <f t="shared" si="3"/>
        <v>42389</v>
      </c>
      <c r="BQ32" s="297">
        <f t="shared" si="4"/>
        <v>42755</v>
      </c>
      <c r="BR32" s="297"/>
      <c r="BS32" s="297" t="str">
        <f t="shared" si="66"/>
        <v>oui</v>
      </c>
      <c r="BT32" s="686" t="e">
        <f t="shared" si="5"/>
        <v>#NUM!</v>
      </c>
      <c r="BU32" s="686" t="e">
        <f t="shared" si="6"/>
        <v>#NUM!</v>
      </c>
      <c r="BV32" s="686" t="e">
        <f t="shared" si="7"/>
        <v>#NUM!</v>
      </c>
      <c r="BW32" s="160"/>
      <c r="BX32" s="425" t="s">
        <v>175</v>
      </c>
      <c r="BY32" s="97"/>
      <c r="BZ32" s="98"/>
      <c r="CA32" s="101"/>
      <c r="CB32" s="101"/>
      <c r="CC32" s="162" t="s">
        <v>142</v>
      </c>
      <c r="CD32" s="306">
        <v>41625</v>
      </c>
      <c r="CE32" s="251"/>
      <c r="CF32" s="156">
        <v>2595669.38</v>
      </c>
      <c r="CG32" s="588">
        <f t="shared" si="54"/>
        <v>42172</v>
      </c>
      <c r="CH32" s="408">
        <f t="shared" si="56"/>
        <v>42355</v>
      </c>
      <c r="CI32" s="344">
        <v>42153</v>
      </c>
      <c r="CJ32" s="251">
        <v>42475</v>
      </c>
      <c r="CK32" s="603">
        <f t="shared" ref="CK32:CK39" si="79">(EU32-CJ32)/30</f>
        <v>19.8</v>
      </c>
      <c r="CL32" s="123">
        <v>41184</v>
      </c>
      <c r="CM32" s="123">
        <f>CL32</f>
        <v>41184</v>
      </c>
      <c r="CN32" s="123">
        <v>41185</v>
      </c>
      <c r="CO32" s="529">
        <f t="shared" si="8"/>
        <v>1</v>
      </c>
      <c r="CP32" s="123">
        <f>CN32+21+21</f>
        <v>41227</v>
      </c>
      <c r="CQ32" s="123">
        <v>41311</v>
      </c>
      <c r="CR32" s="529">
        <f t="shared" si="9"/>
        <v>84</v>
      </c>
      <c r="CS32" s="123">
        <v>41373</v>
      </c>
      <c r="CT32" s="123">
        <v>41375</v>
      </c>
      <c r="CU32" s="529">
        <f t="shared" si="10"/>
        <v>2</v>
      </c>
      <c r="CV32" s="123">
        <f>CT32+30+30</f>
        <v>41435</v>
      </c>
      <c r="CW32" s="123">
        <v>41437</v>
      </c>
      <c r="CX32" s="529">
        <f t="shared" si="11"/>
        <v>2</v>
      </c>
      <c r="CY32" s="123">
        <f>CW32+37+37</f>
        <v>41511</v>
      </c>
      <c r="CZ32" s="638">
        <v>41529</v>
      </c>
      <c r="DA32" s="529">
        <f t="shared" si="12"/>
        <v>18</v>
      </c>
      <c r="DB32" s="459"/>
      <c r="DC32" s="123">
        <v>41684</v>
      </c>
      <c r="DD32" s="123">
        <f>CZ32+7+7+30</f>
        <v>41573</v>
      </c>
      <c r="DE32" s="123">
        <v>41743</v>
      </c>
      <c r="DF32" s="529">
        <f t="shared" si="13"/>
        <v>170</v>
      </c>
      <c r="DG32" s="123">
        <v>41743</v>
      </c>
      <c r="DH32" s="351">
        <v>41751</v>
      </c>
      <c r="DI32" s="345">
        <v>2014</v>
      </c>
      <c r="DJ32" s="447">
        <f t="shared" si="14"/>
        <v>9.6</v>
      </c>
      <c r="DK32" s="529">
        <f t="shared" si="15"/>
        <v>8</v>
      </c>
      <c r="DL32" s="117">
        <v>15</v>
      </c>
      <c r="DM32" s="117">
        <f t="shared" si="16"/>
        <v>42</v>
      </c>
      <c r="DN32" s="123">
        <v>41835</v>
      </c>
      <c r="DO32" s="233">
        <v>41835</v>
      </c>
      <c r="DP32" s="529">
        <f t="shared" si="17"/>
        <v>0</v>
      </c>
      <c r="DQ32" s="577">
        <f>DN32+45</f>
        <v>41880</v>
      </c>
      <c r="DR32" s="123">
        <v>42153</v>
      </c>
      <c r="DS32" s="532">
        <f t="shared" si="18"/>
        <v>273</v>
      </c>
      <c r="DT32" s="123">
        <f>DH32+300</f>
        <v>42051</v>
      </c>
      <c r="DU32" s="316">
        <v>42255</v>
      </c>
      <c r="DV32" s="529">
        <f t="shared" si="19"/>
        <v>204</v>
      </c>
      <c r="DW32" s="123">
        <f>DT32+30</f>
        <v>42081</v>
      </c>
      <c r="DX32" s="123">
        <v>42943</v>
      </c>
      <c r="DY32" s="529">
        <f t="shared" si="20"/>
        <v>862</v>
      </c>
      <c r="DZ32" s="123">
        <f>DW32</f>
        <v>42081</v>
      </c>
      <c r="EA32" s="123">
        <v>42943</v>
      </c>
      <c r="EB32" s="529">
        <f t="shared" si="21"/>
        <v>862</v>
      </c>
      <c r="EC32" s="123">
        <f>DZ32+60</f>
        <v>42141</v>
      </c>
      <c r="ED32" s="123">
        <v>42934</v>
      </c>
      <c r="EE32" s="529">
        <f t="shared" si="22"/>
        <v>793</v>
      </c>
      <c r="EF32" s="123">
        <f>EC32+90</f>
        <v>42231</v>
      </c>
      <c r="EG32" s="123">
        <v>42985</v>
      </c>
      <c r="EH32" s="529">
        <f t="shared" si="23"/>
        <v>754</v>
      </c>
      <c r="EI32" s="123">
        <v>43052</v>
      </c>
      <c r="EJ32" s="123">
        <v>43041</v>
      </c>
      <c r="EK32" s="123">
        <v>43031</v>
      </c>
      <c r="EL32" s="579">
        <f t="shared" si="24"/>
        <v>42207</v>
      </c>
      <c r="EM32" s="353">
        <v>43055</v>
      </c>
      <c r="EN32" s="729">
        <f t="shared" si="25"/>
        <v>28.266666666666666</v>
      </c>
      <c r="EO32" s="637">
        <f t="shared" si="69"/>
        <v>42884</v>
      </c>
      <c r="EP32" s="116">
        <v>43082</v>
      </c>
      <c r="EQ32" s="116">
        <v>42382</v>
      </c>
      <c r="ER32" s="116">
        <v>43059</v>
      </c>
      <c r="ES32" s="461"/>
      <c r="ET32" s="461">
        <f t="shared" si="26"/>
        <v>42238</v>
      </c>
      <c r="EU32" s="353">
        <v>43069</v>
      </c>
      <c r="EV32" s="347">
        <v>2017</v>
      </c>
      <c r="EW32" s="726">
        <f t="shared" si="27"/>
        <v>27.7</v>
      </c>
      <c r="EX32" s="716">
        <f>86289.3386701777/12</f>
        <v>7190.7782225148085</v>
      </c>
      <c r="EY32" s="315">
        <f t="shared" si="28"/>
        <v>199184.55676366019</v>
      </c>
      <c r="EZ32" s="316">
        <v>42999</v>
      </c>
      <c r="FA32" s="709">
        <v>366248</v>
      </c>
      <c r="FB32" s="710">
        <f>HX32</f>
        <v>0</v>
      </c>
      <c r="FC32" s="562"/>
      <c r="FD32" s="562"/>
      <c r="FE32" s="562">
        <v>110247.29</v>
      </c>
      <c r="FF32" s="787">
        <f t="shared" ref="FF32:FF42" si="80">FE32/GI32</f>
        <v>3.2927085246660541E-2</v>
      </c>
      <c r="FG32" s="740" t="s">
        <v>788</v>
      </c>
      <c r="FH32" s="741" t="s">
        <v>789</v>
      </c>
      <c r="FI32" s="559"/>
      <c r="FJ32" s="741" t="s">
        <v>790</v>
      </c>
      <c r="FK32" s="684" t="s">
        <v>527</v>
      </c>
      <c r="FL32" s="624">
        <v>43164</v>
      </c>
      <c r="FM32" s="187" t="s">
        <v>310</v>
      </c>
      <c r="FN32" s="187" t="s">
        <v>310</v>
      </c>
      <c r="FO32" s="200">
        <v>43152</v>
      </c>
      <c r="FP32" s="75" t="s">
        <v>835</v>
      </c>
      <c r="FQ32" s="279">
        <f t="shared" si="70"/>
        <v>43420</v>
      </c>
      <c r="FR32" s="694">
        <v>26813</v>
      </c>
      <c r="FS32" s="624">
        <v>43151</v>
      </c>
      <c r="FT32" s="624">
        <v>43157</v>
      </c>
      <c r="FU32" s="187"/>
      <c r="FV32" s="187"/>
      <c r="FW32" s="661">
        <v>43210</v>
      </c>
      <c r="FX32" s="75"/>
      <c r="FY32" s="75"/>
      <c r="FZ32" s="75"/>
      <c r="GA32" s="184"/>
      <c r="GB32" s="661">
        <v>43242</v>
      </c>
      <c r="GC32" s="75"/>
      <c r="GD32" s="75"/>
      <c r="GE32" s="75"/>
      <c r="GF32" s="109" t="s">
        <v>118</v>
      </c>
      <c r="GG32" s="615">
        <v>2715924</v>
      </c>
      <c r="GH32" s="8">
        <f t="shared" si="68"/>
        <v>2715924</v>
      </c>
      <c r="GI32" s="9">
        <f t="shared" si="71"/>
        <v>3348225</v>
      </c>
      <c r="GJ32" s="10">
        <f t="shared" si="31"/>
        <v>632301</v>
      </c>
      <c r="GK32" s="46">
        <f t="shared" si="32"/>
        <v>2496.8493191546481</v>
      </c>
      <c r="GL32" s="46">
        <f t="shared" si="33"/>
        <v>186012.5</v>
      </c>
      <c r="GM32" s="8">
        <v>2383274</v>
      </c>
      <c r="GN32" s="9">
        <v>2329832</v>
      </c>
      <c r="GO32" s="10">
        <f t="shared" si="34"/>
        <v>-53442</v>
      </c>
      <c r="GP32" s="128">
        <f t="shared" si="35"/>
        <v>0.89594655594191874</v>
      </c>
      <c r="GQ32" s="129"/>
      <c r="GR32" s="8">
        <v>717900</v>
      </c>
      <c r="GS32" s="9">
        <v>736924</v>
      </c>
      <c r="GT32" s="64"/>
      <c r="GU32" s="19">
        <f t="shared" si="36"/>
        <v>40940.222222222219</v>
      </c>
      <c r="GV32" s="33">
        <f t="shared" si="37"/>
        <v>19024</v>
      </c>
      <c r="GW32" s="8">
        <v>1504024</v>
      </c>
      <c r="GX32" s="9">
        <f t="shared" si="38"/>
        <v>1490303</v>
      </c>
      <c r="GY32" s="11">
        <v>341701</v>
      </c>
      <c r="GZ32" s="11">
        <v>1148602</v>
      </c>
      <c r="HA32" s="33">
        <f t="shared" si="39"/>
        <v>-13721</v>
      </c>
      <c r="HB32" s="640">
        <f t="shared" si="40"/>
        <v>82794.611111111109</v>
      </c>
      <c r="HC32" s="9"/>
      <c r="HD32" s="8">
        <v>494000</v>
      </c>
      <c r="HE32" s="9">
        <v>432000</v>
      </c>
      <c r="HF32" s="64"/>
      <c r="HG32" s="36">
        <f t="shared" si="41"/>
        <v>0.12902358712452119</v>
      </c>
      <c r="HH32" s="90">
        <v>688998</v>
      </c>
      <c r="HI32" s="9">
        <v>0</v>
      </c>
      <c r="HJ32" s="20">
        <f t="shared" si="67"/>
        <v>-62000</v>
      </c>
      <c r="HK32" s="19">
        <f t="shared" si="42"/>
        <v>24000</v>
      </c>
      <c r="HL32" s="46">
        <f t="shared" si="43"/>
        <v>64940.222222222219</v>
      </c>
      <c r="HM32" s="20">
        <f t="shared" si="44"/>
        <v>-3444.4444444444443</v>
      </c>
      <c r="HN32" s="45"/>
      <c r="HO32" s="45"/>
      <c r="HP32" s="35">
        <v>0</v>
      </c>
      <c r="HQ32" s="35">
        <v>0</v>
      </c>
      <c r="HR32" s="19">
        <f t="shared" si="45"/>
        <v>64940.222222222219</v>
      </c>
      <c r="HS32" s="35">
        <v>0</v>
      </c>
      <c r="HT32" s="19">
        <f t="shared" si="46"/>
        <v>64940.222222222219</v>
      </c>
      <c r="HU32" s="47">
        <f t="shared" si="47"/>
        <v>0.34911751749061071</v>
      </c>
      <c r="HV32" s="35"/>
      <c r="HW32" s="35"/>
      <c r="HX32" s="9">
        <v>0</v>
      </c>
      <c r="HY32" s="37">
        <f t="shared" si="48"/>
        <v>3348225</v>
      </c>
      <c r="HZ32" s="233">
        <v>149910</v>
      </c>
      <c r="IA32" s="233">
        <f t="shared" si="49"/>
        <v>66209</v>
      </c>
      <c r="IB32" s="114">
        <v>41257</v>
      </c>
      <c r="IC32" s="233">
        <v>14755</v>
      </c>
      <c r="ID32" s="233"/>
      <c r="IE32" s="114"/>
      <c r="IF32" s="114">
        <v>41373</v>
      </c>
      <c r="IG32" s="233">
        <v>4453</v>
      </c>
      <c r="IH32" s="114">
        <v>41311</v>
      </c>
      <c r="II32" s="233">
        <v>14755</v>
      </c>
      <c r="IJ32" s="114">
        <v>41453</v>
      </c>
      <c r="IK32" s="233">
        <v>12951</v>
      </c>
      <c r="IL32" s="115">
        <v>41514</v>
      </c>
      <c r="IM32" s="322">
        <v>19295</v>
      </c>
      <c r="IN32" s="314"/>
      <c r="IO32" s="314"/>
      <c r="IP32" s="123"/>
      <c r="IQ32" s="233"/>
      <c r="IR32" s="123"/>
      <c r="IS32" s="233"/>
      <c r="IT32" s="115"/>
      <c r="IU32" s="115"/>
      <c r="IV32" s="115"/>
      <c r="IW32" s="115"/>
      <c r="IX32" s="268"/>
      <c r="IY32" s="268"/>
      <c r="IZ32" s="268"/>
      <c r="JA32" s="268"/>
      <c r="JB32" s="268"/>
      <c r="JC32" s="268"/>
      <c r="JD32" s="233">
        <v>14755</v>
      </c>
      <c r="JE32" s="123"/>
      <c r="JF32" s="115"/>
      <c r="JG32" s="123"/>
      <c r="JH32" s="123"/>
      <c r="JI32" s="115"/>
    </row>
    <row r="33" spans="1:269" ht="15" customHeight="1">
      <c r="A33" s="80" t="s">
        <v>428</v>
      </c>
      <c r="B33" s="5" t="s">
        <v>28</v>
      </c>
      <c r="C33" s="5" t="s">
        <v>110</v>
      </c>
      <c r="D33" s="5">
        <v>2013</v>
      </c>
      <c r="E33" s="5" t="s">
        <v>51</v>
      </c>
      <c r="F33" s="5" t="s">
        <v>55</v>
      </c>
      <c r="G33" s="5" t="s">
        <v>279</v>
      </c>
      <c r="H33" s="5" t="s">
        <v>169</v>
      </c>
      <c r="I33" s="50"/>
      <c r="J33" s="50"/>
      <c r="K33" s="256" t="s">
        <v>651</v>
      </c>
      <c r="L33" s="161" t="s">
        <v>62</v>
      </c>
      <c r="M33" s="104" t="s">
        <v>67</v>
      </c>
      <c r="N33" s="105">
        <v>41627</v>
      </c>
      <c r="O33" s="207">
        <v>11354</v>
      </c>
      <c r="P33" s="207">
        <v>444858</v>
      </c>
      <c r="Q33" s="207">
        <v>247250</v>
      </c>
      <c r="R33" s="207">
        <f t="shared" si="72"/>
        <v>13084.058823529413</v>
      </c>
      <c r="S33" s="207">
        <f t="shared" si="73"/>
        <v>39.180729258411134</v>
      </c>
      <c r="T33" s="207">
        <f t="shared" si="74"/>
        <v>21.776466443544127</v>
      </c>
      <c r="U33" s="207">
        <f t="shared" si="75"/>
        <v>93.413630644960193</v>
      </c>
      <c r="V33" s="207">
        <f t="shared" si="76"/>
        <v>7272.0588235294117</v>
      </c>
      <c r="W33" s="207">
        <f t="shared" si="77"/>
        <v>333.94117647058823</v>
      </c>
      <c r="X33" s="208"/>
      <c r="Y33" s="209">
        <f t="shared" si="78"/>
        <v>0.23311872467852737</v>
      </c>
      <c r="Z33" s="208" t="s">
        <v>194</v>
      </c>
      <c r="AA33" s="210">
        <v>300</v>
      </c>
      <c r="AB33" s="211"/>
      <c r="AC33" s="5" t="s">
        <v>16</v>
      </c>
      <c r="AD33" s="318">
        <f t="shared" si="0"/>
        <v>34</v>
      </c>
      <c r="AE33" s="6"/>
      <c r="AF33" s="5">
        <v>34</v>
      </c>
      <c r="AG33" s="50"/>
      <c r="AH33" s="50"/>
      <c r="AI33" s="268"/>
      <c r="AJ33" s="7">
        <v>2592.75</v>
      </c>
      <c r="AK33" s="54"/>
      <c r="AL33" s="79">
        <v>2646.83</v>
      </c>
      <c r="AM33" s="7">
        <f t="shared" si="1"/>
        <v>77.847941176470584</v>
      </c>
      <c r="AN33" s="56"/>
      <c r="AO33" s="56"/>
      <c r="AP33" s="56"/>
      <c r="AQ33" s="56"/>
      <c r="AR33" s="56"/>
      <c r="AS33" s="7">
        <v>1035</v>
      </c>
      <c r="AT33" s="73" t="s">
        <v>321</v>
      </c>
      <c r="AU33" s="75" t="e">
        <f t="shared" si="64"/>
        <v>#VALUE!</v>
      </c>
      <c r="AV33" s="56">
        <v>2</v>
      </c>
      <c r="AW33" s="50" t="s">
        <v>560</v>
      </c>
      <c r="AX33" s="5" t="s">
        <v>119</v>
      </c>
      <c r="AY33" s="785"/>
      <c r="AZ33" s="50"/>
      <c r="BA33" s="184">
        <v>41173</v>
      </c>
      <c r="BB33" s="184">
        <v>41348</v>
      </c>
      <c r="BC33" s="108" t="s">
        <v>12</v>
      </c>
      <c r="BD33" s="108" t="s">
        <v>148</v>
      </c>
      <c r="BE33" s="735"/>
      <c r="BF33" s="204">
        <v>41484</v>
      </c>
      <c r="BG33" s="96"/>
      <c r="BH33" s="96">
        <v>41498</v>
      </c>
      <c r="BI33" s="204">
        <v>41509</v>
      </c>
      <c r="BJ33" s="96"/>
      <c r="BK33" s="159">
        <v>41549</v>
      </c>
      <c r="BL33" s="202">
        <v>41576</v>
      </c>
      <c r="BM33" s="160">
        <f>DATE(YEAR(BL33),MONTH(BL33)+3,DAY(BL33))</f>
        <v>41668</v>
      </c>
      <c r="BN33" s="160"/>
      <c r="BO33" s="298">
        <v>41659</v>
      </c>
      <c r="BP33" s="297">
        <f t="shared" si="3"/>
        <v>42389</v>
      </c>
      <c r="BQ33" s="297">
        <f t="shared" si="4"/>
        <v>42755</v>
      </c>
      <c r="BR33" s="297"/>
      <c r="BS33" s="297" t="str">
        <f t="shared" si="66"/>
        <v>oui</v>
      </c>
      <c r="BT33" s="686" t="e">
        <f t="shared" si="5"/>
        <v>#NUM!</v>
      </c>
      <c r="BU33" s="686" t="e">
        <f t="shared" si="6"/>
        <v>#NUM!</v>
      </c>
      <c r="BV33" s="686" t="e">
        <f t="shared" si="7"/>
        <v>#NUM!</v>
      </c>
      <c r="BW33" s="160"/>
      <c r="BX33" s="425" t="s">
        <v>175</v>
      </c>
      <c r="BY33" s="97"/>
      <c r="BZ33" s="98"/>
      <c r="CA33" s="101"/>
      <c r="CB33" s="101"/>
      <c r="CC33" s="155" t="s">
        <v>147</v>
      </c>
      <c r="CD33" s="306">
        <v>41627</v>
      </c>
      <c r="CE33" s="251"/>
      <c r="CF33" s="156">
        <v>5177307.8499999996</v>
      </c>
      <c r="CG33" s="588">
        <f t="shared" si="54"/>
        <v>42174</v>
      </c>
      <c r="CH33" s="408">
        <f t="shared" si="56"/>
        <v>42357</v>
      </c>
      <c r="CI33" s="344">
        <v>41988</v>
      </c>
      <c r="CJ33" s="251">
        <v>42323</v>
      </c>
      <c r="CK33" s="603">
        <f t="shared" si="79"/>
        <v>25</v>
      </c>
      <c r="CL33" s="123"/>
      <c r="CM33" s="115"/>
      <c r="CN33" s="115"/>
      <c r="CO33" s="529" t="str">
        <f t="shared" si="8"/>
        <v>0</v>
      </c>
      <c r="CP33" s="123"/>
      <c r="CQ33" s="123"/>
      <c r="CR33" s="529" t="str">
        <f t="shared" si="9"/>
        <v>0</v>
      </c>
      <c r="CS33" s="126"/>
      <c r="CT33" s="123"/>
      <c r="CU33" s="529" t="str">
        <f t="shared" si="10"/>
        <v>0</v>
      </c>
      <c r="CV33" s="126"/>
      <c r="CW33" s="123"/>
      <c r="CX33" s="529" t="str">
        <f t="shared" si="11"/>
        <v>0</v>
      </c>
      <c r="CY33" s="126"/>
      <c r="CZ33" s="575"/>
      <c r="DA33" s="529" t="str">
        <f t="shared" si="12"/>
        <v>0</v>
      </c>
      <c r="DB33" s="459"/>
      <c r="DC33" s="233"/>
      <c r="DD33" s="123"/>
      <c r="DE33" s="233"/>
      <c r="DF33" s="529" t="str">
        <f t="shared" si="13"/>
        <v>0</v>
      </c>
      <c r="DG33" s="123"/>
      <c r="DH33" s="351">
        <v>41729</v>
      </c>
      <c r="DI33" s="345">
        <v>2014</v>
      </c>
      <c r="DJ33" s="447">
        <f t="shared" si="14"/>
        <v>8.1666666666666661</v>
      </c>
      <c r="DK33" s="529" t="str">
        <f t="shared" si="15"/>
        <v>0</v>
      </c>
      <c r="DL33" s="242">
        <v>18</v>
      </c>
      <c r="DM33" s="117">
        <f t="shared" si="16"/>
        <v>43</v>
      </c>
      <c r="DN33" s="123"/>
      <c r="DO33" s="233"/>
      <c r="DP33" s="529" t="str">
        <f t="shared" si="17"/>
        <v>0</v>
      </c>
      <c r="DQ33" s="577"/>
      <c r="DR33" s="573"/>
      <c r="DS33" s="532" t="str">
        <f t="shared" si="18"/>
        <v>0</v>
      </c>
      <c r="DT33" s="126"/>
      <c r="DU33" s="316"/>
      <c r="DV33" s="529" t="str">
        <f t="shared" si="19"/>
        <v>0</v>
      </c>
      <c r="DW33" s="233"/>
      <c r="DX33" s="123"/>
      <c r="DY33" s="529" t="str">
        <f t="shared" si="20"/>
        <v>0</v>
      </c>
      <c r="DZ33" s="115"/>
      <c r="EA33" s="115"/>
      <c r="EB33" s="529" t="str">
        <f t="shared" si="21"/>
        <v>0</v>
      </c>
      <c r="EC33" s="115"/>
      <c r="ED33" s="115"/>
      <c r="EE33" s="529" t="str">
        <f t="shared" si="22"/>
        <v>0</v>
      </c>
      <c r="EF33" s="115"/>
      <c r="EG33" s="115"/>
      <c r="EH33" s="529" t="str">
        <f t="shared" si="23"/>
        <v>0</v>
      </c>
      <c r="EI33" s="115"/>
      <c r="EJ33" s="115"/>
      <c r="EK33" s="115"/>
      <c r="EL33" s="579">
        <f t="shared" si="24"/>
        <v>42278</v>
      </c>
      <c r="EM33" s="353">
        <v>43068</v>
      </c>
      <c r="EN33" s="729">
        <f t="shared" si="25"/>
        <v>26.333333333333332</v>
      </c>
      <c r="EO33" s="637">
        <f t="shared" si="69"/>
        <v>42719</v>
      </c>
      <c r="EP33" s="116">
        <v>43131</v>
      </c>
      <c r="EQ33" s="116">
        <v>42342</v>
      </c>
      <c r="ER33" s="116">
        <v>43054</v>
      </c>
      <c r="ES33" s="461"/>
      <c r="ET33" s="461">
        <f t="shared" si="26"/>
        <v>42309</v>
      </c>
      <c r="EU33" s="610">
        <v>43073</v>
      </c>
      <c r="EV33" s="347">
        <v>2017</v>
      </c>
      <c r="EW33" s="725">
        <f t="shared" si="27"/>
        <v>25.466666666666665</v>
      </c>
      <c r="EX33" s="716">
        <f>170360/12</f>
        <v>14196.666666666666</v>
      </c>
      <c r="EY33" s="315">
        <f t="shared" si="28"/>
        <v>361541.77777777775</v>
      </c>
      <c r="EZ33" s="316">
        <v>42982</v>
      </c>
      <c r="FA33" s="797">
        <v>51376</v>
      </c>
      <c r="FB33" s="558">
        <v>0</v>
      </c>
      <c r="FC33" s="562">
        <f>30000*1.021</f>
        <v>30629.999999999996</v>
      </c>
      <c r="FD33" s="562"/>
      <c r="FE33" s="807">
        <f>124948*1.021</f>
        <v>127571.90799999998</v>
      </c>
      <c r="FF33" s="787">
        <f t="shared" si="80"/>
        <v>2.1677246353851463E-2</v>
      </c>
      <c r="FG33" s="669"/>
      <c r="FH33" s="670" t="s">
        <v>811</v>
      </c>
      <c r="FI33" s="559"/>
      <c r="FJ33" s="669"/>
      <c r="FK33" s="187" t="s">
        <v>527</v>
      </c>
      <c r="FL33" s="316">
        <v>43164</v>
      </c>
      <c r="FM33" s="120"/>
      <c r="FN33" s="120"/>
      <c r="FO33" s="120"/>
      <c r="FP33" s="324" t="s">
        <v>802</v>
      </c>
      <c r="FQ33" s="279">
        <f t="shared" si="70"/>
        <v>43433</v>
      </c>
      <c r="FR33" s="693">
        <v>56500</v>
      </c>
      <c r="FS33" s="316">
        <v>43153</v>
      </c>
      <c r="FT33" s="123">
        <v>43171</v>
      </c>
      <c r="FU33" s="122"/>
      <c r="FV33" s="122"/>
      <c r="FW33" s="317">
        <v>43213</v>
      </c>
      <c r="FX33" s="50"/>
      <c r="FY33" s="50"/>
      <c r="FZ33" s="50"/>
      <c r="GA33" s="50"/>
      <c r="GB33" s="317">
        <v>43242</v>
      </c>
      <c r="GC33" s="50"/>
      <c r="GD33" s="50"/>
      <c r="GE33" s="50"/>
      <c r="GF33" s="109" t="s">
        <v>118</v>
      </c>
      <c r="GG33" s="615">
        <v>5039187</v>
      </c>
      <c r="GH33" s="8">
        <f t="shared" si="68"/>
        <v>5045187</v>
      </c>
      <c r="GI33" s="9">
        <f t="shared" si="71"/>
        <v>5885060.5800000001</v>
      </c>
      <c r="GJ33" s="10">
        <f t="shared" si="31"/>
        <v>839873.58000000007</v>
      </c>
      <c r="GK33" s="46">
        <f t="shared" si="32"/>
        <v>2269.8141278565231</v>
      </c>
      <c r="GL33" s="46">
        <f t="shared" si="33"/>
        <v>173090.01705882352</v>
      </c>
      <c r="GM33" s="8">
        <v>4467345</v>
      </c>
      <c r="GN33" s="9">
        <v>4848194</v>
      </c>
      <c r="GO33" s="10">
        <f t="shared" si="34"/>
        <v>380849</v>
      </c>
      <c r="GP33" s="128">
        <f t="shared" si="35"/>
        <v>0.90406148374678663</v>
      </c>
      <c r="GQ33" s="129"/>
      <c r="GR33" s="8">
        <v>1408892</v>
      </c>
      <c r="GS33" s="9">
        <v>1600171.58</v>
      </c>
      <c r="GT33" s="64"/>
      <c r="GU33" s="19">
        <f t="shared" si="36"/>
        <v>47063.87</v>
      </c>
      <c r="GV33" s="33">
        <f t="shared" si="37"/>
        <v>191279.58000000007</v>
      </c>
      <c r="GW33" s="8">
        <v>2956295</v>
      </c>
      <c r="GX33" s="9">
        <f t="shared" si="38"/>
        <v>3023907</v>
      </c>
      <c r="GY33" s="11">
        <v>650910</v>
      </c>
      <c r="GZ33" s="11">
        <v>2372997</v>
      </c>
      <c r="HA33" s="33">
        <f t="shared" si="39"/>
        <v>67612</v>
      </c>
      <c r="HB33" s="640">
        <f t="shared" si="40"/>
        <v>88938.441176470587</v>
      </c>
      <c r="HC33" s="9"/>
      <c r="HD33" s="8">
        <v>680000</v>
      </c>
      <c r="HE33" s="9">
        <v>680000</v>
      </c>
      <c r="HF33" s="64"/>
      <c r="HG33" s="36">
        <f t="shared" si="41"/>
        <v>0.11554681396329823</v>
      </c>
      <c r="HH33" s="90">
        <v>580982</v>
      </c>
      <c r="HI33" s="9">
        <v>0</v>
      </c>
      <c r="HJ33" s="20">
        <f t="shared" si="67"/>
        <v>0</v>
      </c>
      <c r="HK33" s="19">
        <f t="shared" si="42"/>
        <v>20000</v>
      </c>
      <c r="HL33" s="46">
        <f t="shared" si="43"/>
        <v>67063.87</v>
      </c>
      <c r="HM33" s="20">
        <f t="shared" si="44"/>
        <v>0</v>
      </c>
      <c r="HN33" s="45"/>
      <c r="HO33" s="45"/>
      <c r="HP33" s="35">
        <v>1298644.9078014998</v>
      </c>
      <c r="HQ33" s="35">
        <v>680000</v>
      </c>
      <c r="HR33" s="19">
        <f t="shared" si="45"/>
        <v>87063.87</v>
      </c>
      <c r="HS33" s="35">
        <v>0</v>
      </c>
      <c r="HT33" s="19">
        <f t="shared" si="46"/>
        <v>87063.87</v>
      </c>
      <c r="HU33" s="47">
        <f t="shared" si="47"/>
        <v>0.42707533654989638</v>
      </c>
      <c r="HV33" s="35">
        <v>252442.25</v>
      </c>
      <c r="HW33" s="35"/>
      <c r="HX33" s="9">
        <v>0</v>
      </c>
      <c r="HY33" s="37">
        <f t="shared" si="48"/>
        <v>7183705.4878014997</v>
      </c>
      <c r="HZ33" s="233">
        <v>258409</v>
      </c>
      <c r="IA33" s="233">
        <f t="shared" si="49"/>
        <v>349737</v>
      </c>
      <c r="IB33" s="114">
        <v>40779</v>
      </c>
      <c r="IC33" s="233">
        <v>210013</v>
      </c>
      <c r="ID33" s="233"/>
      <c r="IE33" s="114"/>
      <c r="IF33" s="114"/>
      <c r="IG33" s="233"/>
      <c r="IH33" s="114">
        <v>41332</v>
      </c>
      <c r="II33" s="233">
        <v>39806</v>
      </c>
      <c r="IJ33" s="114">
        <v>41485</v>
      </c>
      <c r="IK33" s="233">
        <v>24327</v>
      </c>
      <c r="IL33" s="115">
        <v>41570</v>
      </c>
      <c r="IM33" s="322">
        <v>36491</v>
      </c>
      <c r="IN33" s="314"/>
      <c r="IO33" s="314"/>
      <c r="IP33" s="123" t="s">
        <v>126</v>
      </c>
      <c r="IQ33" s="233"/>
      <c r="IR33" s="123">
        <v>42719</v>
      </c>
      <c r="IS33" s="233">
        <v>39100</v>
      </c>
      <c r="IT33" s="115"/>
      <c r="IU33" s="115"/>
      <c r="IV33" s="115"/>
      <c r="IW33" s="115"/>
      <c r="IX33" s="268"/>
      <c r="IY33" s="268"/>
      <c r="IZ33" s="268"/>
      <c r="JA33" s="268"/>
      <c r="JB33" s="268"/>
      <c r="JC33" s="268"/>
      <c r="JD33" s="233">
        <v>39806</v>
      </c>
      <c r="JE33" s="123"/>
      <c r="JF33" s="115"/>
      <c r="JG33" s="123"/>
      <c r="JH33" s="123"/>
      <c r="JI33" s="115"/>
    </row>
    <row r="34" spans="1:269" ht="15" customHeight="1">
      <c r="A34" s="21" t="s">
        <v>38</v>
      </c>
      <c r="B34" s="5" t="s">
        <v>35</v>
      </c>
      <c r="C34" s="5" t="s">
        <v>110</v>
      </c>
      <c r="D34" s="5">
        <v>2013</v>
      </c>
      <c r="E34" s="5" t="s">
        <v>39</v>
      </c>
      <c r="F34" s="5" t="s">
        <v>55</v>
      </c>
      <c r="G34" s="5" t="s">
        <v>624</v>
      </c>
      <c r="H34" s="5" t="s">
        <v>169</v>
      </c>
      <c r="I34" s="50"/>
      <c r="J34" s="50"/>
      <c r="K34" s="256"/>
      <c r="L34" s="415" t="s">
        <v>63</v>
      </c>
      <c r="M34" s="415" t="s">
        <v>65</v>
      </c>
      <c r="N34" s="733">
        <v>41619</v>
      </c>
      <c r="O34" s="207">
        <v>5146</v>
      </c>
      <c r="P34" s="207">
        <f>Q34</f>
        <v>1069200</v>
      </c>
      <c r="Q34" s="207">
        <v>1069200</v>
      </c>
      <c r="R34" s="207">
        <f t="shared" si="72"/>
        <v>19800</v>
      </c>
      <c r="S34" s="207">
        <f t="shared" si="73"/>
        <v>207.77302759424796</v>
      </c>
      <c r="T34" s="207">
        <f t="shared" si="74"/>
        <v>207.77302759424796</v>
      </c>
      <c r="U34" s="207">
        <f t="shared" si="75"/>
        <v>226.47840067104713</v>
      </c>
      <c r="V34" s="207">
        <f t="shared" si="76"/>
        <v>19800</v>
      </c>
      <c r="W34" s="207">
        <f t="shared" si="77"/>
        <v>95.296296296296291</v>
      </c>
      <c r="X34" s="208">
        <v>2205.9499999999998</v>
      </c>
      <c r="Y34" s="209">
        <f t="shared" si="78"/>
        <v>0.91740769529731825</v>
      </c>
      <c r="Z34" s="208" t="s">
        <v>191</v>
      </c>
      <c r="AA34" s="210">
        <v>570</v>
      </c>
      <c r="AB34" s="211">
        <v>0.15</v>
      </c>
      <c r="AC34" s="5" t="s">
        <v>15</v>
      </c>
      <c r="AD34" s="318">
        <f t="shared" ref="AD34:AD65" si="81">SUM(AE34:AH34)</f>
        <v>54</v>
      </c>
      <c r="AE34" s="5">
        <v>54</v>
      </c>
      <c r="AF34" s="6"/>
      <c r="AG34" s="61"/>
      <c r="AH34" s="61"/>
      <c r="AI34" s="268"/>
      <c r="AJ34" s="7">
        <v>4668.4799999999996</v>
      </c>
      <c r="AK34" s="54"/>
      <c r="AL34" s="79">
        <v>4720.9799999999996</v>
      </c>
      <c r="AM34" s="7">
        <f t="shared" si="1"/>
        <v>87.425555555555547</v>
      </c>
      <c r="AN34" s="56"/>
      <c r="AO34" s="56"/>
      <c r="AP34" s="56"/>
      <c r="AQ34" s="56"/>
      <c r="AR34" s="56"/>
      <c r="AS34" s="7"/>
      <c r="AT34" s="73">
        <v>0</v>
      </c>
      <c r="AU34" s="75">
        <f t="shared" si="64"/>
        <v>0</v>
      </c>
      <c r="AV34" s="60" t="s">
        <v>192</v>
      </c>
      <c r="AW34" s="53" t="s">
        <v>561</v>
      </c>
      <c r="AX34" s="5" t="s">
        <v>118</v>
      </c>
      <c r="AY34" s="785"/>
      <c r="AZ34" s="50"/>
      <c r="BA34" s="184">
        <v>41233</v>
      </c>
      <c r="BB34" s="184">
        <v>41348</v>
      </c>
      <c r="BC34" s="108" t="s">
        <v>12</v>
      </c>
      <c r="BD34" s="108" t="s">
        <v>134</v>
      </c>
      <c r="BE34" s="424"/>
      <c r="BF34" s="204">
        <v>41466</v>
      </c>
      <c r="BG34" s="96"/>
      <c r="BH34" s="96">
        <v>41498</v>
      </c>
      <c r="BI34" s="204">
        <v>41508</v>
      </c>
      <c r="BJ34" s="96"/>
      <c r="BK34" s="159">
        <v>41550</v>
      </c>
      <c r="BL34" s="202">
        <v>41576</v>
      </c>
      <c r="BM34" s="160">
        <f>DATE(YEAR(BL34),MONTH(BL34)+3,DAY(BL34))</f>
        <v>41668</v>
      </c>
      <c r="BN34" s="160"/>
      <c r="BO34" s="298">
        <v>41659</v>
      </c>
      <c r="BP34" s="297">
        <f t="shared" si="3"/>
        <v>42389</v>
      </c>
      <c r="BQ34" s="297">
        <f t="shared" si="4"/>
        <v>42755</v>
      </c>
      <c r="BR34" s="297"/>
      <c r="BS34" s="297" t="str">
        <f t="shared" si="66"/>
        <v>oui</v>
      </c>
      <c r="BT34" s="686" t="e">
        <f t="shared" ref="BT34:BT65" si="82">DATEDIF(EU34,BQ34,"M")</f>
        <v>#NUM!</v>
      </c>
      <c r="BU34" s="686" t="e">
        <f t="shared" ref="BU34:BU65" si="83">BT34*EX34</f>
        <v>#NUM!</v>
      </c>
      <c r="BV34" s="686" t="e">
        <f t="shared" ref="BV34:BV65" si="84">IF((BU34-BR34&gt;0),0,(BU34-BR34))</f>
        <v>#NUM!</v>
      </c>
      <c r="BW34" s="160"/>
      <c r="BX34" s="425" t="s">
        <v>175</v>
      </c>
      <c r="BY34" s="97"/>
      <c r="BZ34" s="98"/>
      <c r="CA34" s="101"/>
      <c r="CB34" s="101"/>
      <c r="CC34" s="162" t="s">
        <v>136</v>
      </c>
      <c r="CD34" s="306">
        <v>41626</v>
      </c>
      <c r="CE34" s="251"/>
      <c r="CF34" s="156">
        <v>9174750.6199999992</v>
      </c>
      <c r="CG34" s="588">
        <f t="shared" si="54"/>
        <v>42173</v>
      </c>
      <c r="CH34" s="408">
        <f t="shared" si="56"/>
        <v>42356</v>
      </c>
      <c r="CI34" s="344">
        <v>42656</v>
      </c>
      <c r="CJ34" s="251">
        <v>42668</v>
      </c>
      <c r="CK34" s="603">
        <f t="shared" si="79"/>
        <v>13.766666666666667</v>
      </c>
      <c r="CL34" s="123"/>
      <c r="CM34" s="123"/>
      <c r="CN34" s="123"/>
      <c r="CO34" s="529" t="str">
        <f t="shared" ref="CO34:CO65" si="85">IF(AND(CM34&gt;0,CN34&gt;0),CN34-CM34,"0")</f>
        <v>0</v>
      </c>
      <c r="CP34" s="123"/>
      <c r="CQ34" s="123"/>
      <c r="CR34" s="529" t="str">
        <f t="shared" ref="CR34:CR65" si="86">IF(AND(CP34&gt;0,CQ34&gt;0),CQ34-CP34,"0")</f>
        <v>0</v>
      </c>
      <c r="CS34" s="123"/>
      <c r="CT34" s="123"/>
      <c r="CU34" s="529" t="str">
        <f t="shared" ref="CU34:CU65" si="87">IF(AND(CS34&gt;0,CT34&gt;0),CT34-CS34,"0")</f>
        <v>0</v>
      </c>
      <c r="CV34" s="123"/>
      <c r="CW34" s="123"/>
      <c r="CX34" s="529" t="str">
        <f t="shared" ref="CX34:CX65" si="88">IF(AND(CV34&gt;0,CW34&gt;0),CW34-CV34,"0")</f>
        <v>0</v>
      </c>
      <c r="CY34" s="126"/>
      <c r="CZ34" s="575"/>
      <c r="DA34" s="529" t="str">
        <f t="shared" ref="DA34:DA65" si="89">IF(AND(CY34&gt;0,CZ34&gt;0),CZ34-CY34,"0")</f>
        <v>0</v>
      </c>
      <c r="DB34" s="75"/>
      <c r="DC34" s="233"/>
      <c r="DD34" s="123"/>
      <c r="DE34" s="233"/>
      <c r="DF34" s="529" t="str">
        <f t="shared" ref="DF34:DF65" si="90">IF(AND(DD34&gt;0,DE34&gt;0),DE34-DD34,"0")</f>
        <v>0</v>
      </c>
      <c r="DG34" s="123"/>
      <c r="DH34" s="351">
        <v>41764</v>
      </c>
      <c r="DI34" s="347">
        <v>2014</v>
      </c>
      <c r="DJ34" s="448">
        <f t="shared" ref="DJ34:DJ65" si="91">(DATEDIF(BF34,DH34,"d"))/30</f>
        <v>9.9333333333333336</v>
      </c>
      <c r="DK34" s="529" t="str">
        <f t="shared" ref="DK34:DK65" si="92">IF(AND(DG34&gt;0,DH34&gt;0),DH34-DG34,"0")</f>
        <v>0</v>
      </c>
      <c r="DL34" s="242">
        <v>15</v>
      </c>
      <c r="DM34" s="117">
        <f t="shared" ref="DM34:DM65" si="93">DATEDIF(DH34,EM34,"M")</f>
        <v>43</v>
      </c>
      <c r="DN34" s="123"/>
      <c r="DO34" s="233"/>
      <c r="DP34" s="529" t="str">
        <f t="shared" ref="DP34:DP65" si="94">IF(AND(DN34&gt;0,DO34&gt;0),DO34-DN34,"0")</f>
        <v>0</v>
      </c>
      <c r="DQ34" s="577"/>
      <c r="DR34" s="573"/>
      <c r="DS34" s="532" t="str">
        <f t="shared" ref="DS34:DS65" si="95">IF(AND(DQ34&gt;0,DR34&gt;0),DR34-DQ34,"0")</f>
        <v>0</v>
      </c>
      <c r="DT34" s="126"/>
      <c r="DU34" s="316"/>
      <c r="DV34" s="529" t="str">
        <f t="shared" ref="DV34:DV65" si="96">IF(AND(DT34&gt;0,DU34&gt;0),DU34-DT34,"0")</f>
        <v>0</v>
      </c>
      <c r="DW34" s="123"/>
      <c r="DX34" s="123"/>
      <c r="DY34" s="529" t="str">
        <f t="shared" ref="DY34:DY65" si="97">IF(AND(DW34&gt;0,DX34&gt;0),DX34-DW34,"0")</f>
        <v>0</v>
      </c>
      <c r="DZ34" s="123"/>
      <c r="EA34" s="123"/>
      <c r="EB34" s="529" t="str">
        <f t="shared" ref="EB34:EB65" si="98">IF(AND(DZ34&gt;0,EA34&gt;0),EA34-DZ34,"0")</f>
        <v>0</v>
      </c>
      <c r="EC34" s="123"/>
      <c r="ED34" s="123"/>
      <c r="EE34" s="529" t="str">
        <f t="shared" ref="EE34:EE65" si="99">IF(AND(EC34&gt;0,ED34&gt;0),ED34-EC34,"0")</f>
        <v>0</v>
      </c>
      <c r="EF34" s="123"/>
      <c r="EG34" s="123"/>
      <c r="EH34" s="529" t="str">
        <f t="shared" ref="EH34:EH65" si="100">IF(AND(EF34&gt;0,EG34&gt;0),EG34-EF34,"0")</f>
        <v>0</v>
      </c>
      <c r="EI34" s="123"/>
      <c r="EJ34" s="123"/>
      <c r="EK34" s="123"/>
      <c r="EL34" s="579">
        <f t="shared" ref="EL34:EL65" si="101">DATE(YEAR(DH34),MONTH(DH34)+DL34,DAY(DH34))</f>
        <v>42221</v>
      </c>
      <c r="EM34" s="353">
        <v>43076</v>
      </c>
      <c r="EN34" s="729">
        <f t="shared" ref="EN34:EN65" si="102">(DATEDIF(EL34,EM34,"d"))/30</f>
        <v>28.5</v>
      </c>
      <c r="EO34" s="637">
        <f t="shared" si="69"/>
        <v>43386</v>
      </c>
      <c r="EP34" s="116">
        <v>43131</v>
      </c>
      <c r="EQ34" s="116">
        <v>42527</v>
      </c>
      <c r="ER34" s="116">
        <v>43066</v>
      </c>
      <c r="ES34" s="461"/>
      <c r="ET34" s="461">
        <f t="shared" ref="ET34:ET65" si="103">DATE(YEAR(EL34),MONTH(EL34)+1,DAY(EL34))</f>
        <v>42252</v>
      </c>
      <c r="EU34" s="353">
        <v>43081</v>
      </c>
      <c r="EV34" s="347">
        <v>2017</v>
      </c>
      <c r="EW34" s="726">
        <f t="shared" ref="EW34:EW52" si="104">(DATEDIF(ET34,EU34,"d"))/30</f>
        <v>27.633333333333333</v>
      </c>
      <c r="EX34" s="716">
        <f>366249.787559262/12</f>
        <v>30520.815629938501</v>
      </c>
      <c r="EY34" s="315">
        <f t="shared" ref="EY34:EY65" si="105">EX34*EW34</f>
        <v>843391.87190730055</v>
      </c>
      <c r="EZ34" s="316">
        <v>42970</v>
      </c>
      <c r="FA34" s="558">
        <v>0</v>
      </c>
      <c r="FB34" s="710">
        <v>222887</v>
      </c>
      <c r="FC34" s="562"/>
      <c r="FD34" s="562"/>
      <c r="FE34" s="562">
        <f>170334.64*1.021</f>
        <v>173911.66743999999</v>
      </c>
      <c r="FF34" s="787">
        <f t="shared" si="80"/>
        <v>1.6935094455389498E-2</v>
      </c>
      <c r="FG34" s="559"/>
      <c r="FH34" s="571" t="s">
        <v>754</v>
      </c>
      <c r="FI34" s="559"/>
      <c r="FJ34" s="559"/>
      <c r="FK34" s="187" t="s">
        <v>527</v>
      </c>
      <c r="FL34" s="123">
        <v>43166</v>
      </c>
      <c r="FM34" s="122"/>
      <c r="FN34" s="122"/>
      <c r="FO34" s="123">
        <v>43297</v>
      </c>
      <c r="FP34" s="115" t="s">
        <v>794</v>
      </c>
      <c r="FQ34" s="279">
        <f t="shared" si="70"/>
        <v>43441</v>
      </c>
      <c r="FR34" s="693">
        <v>280724</v>
      </c>
      <c r="FS34" s="316">
        <v>43152</v>
      </c>
      <c r="FT34" s="123">
        <v>43186</v>
      </c>
      <c r="FU34" s="122"/>
      <c r="FV34" s="122"/>
      <c r="FW34" s="123">
        <v>43217</v>
      </c>
      <c r="FX34" s="50"/>
      <c r="FY34" s="50"/>
      <c r="FZ34" s="50"/>
      <c r="GA34" s="184"/>
      <c r="GB34" s="629">
        <v>43287</v>
      </c>
      <c r="GC34" s="50"/>
      <c r="GD34" s="50"/>
      <c r="GE34" s="50"/>
      <c r="GF34" s="109" t="s">
        <v>118</v>
      </c>
      <c r="GG34" s="615">
        <v>9099071</v>
      </c>
      <c r="GH34" s="8">
        <f t="shared" si="68"/>
        <v>9321959.0199999996</v>
      </c>
      <c r="GI34" s="9">
        <f t="shared" si="71"/>
        <v>10269306.02</v>
      </c>
      <c r="GJ34" s="10">
        <f t="shared" si="31"/>
        <v>947347</v>
      </c>
      <c r="GK34" s="46">
        <f t="shared" ref="GK34:GK60" si="106">GI34/AJ34</f>
        <v>2199.7108309342657</v>
      </c>
      <c r="GL34" s="46">
        <f t="shared" ref="GL34:GL60" si="107">GI34/AD34</f>
        <v>190172.33370370368</v>
      </c>
      <c r="GM34" s="742">
        <v>8367242</v>
      </c>
      <c r="GN34" s="9">
        <v>8644229</v>
      </c>
      <c r="GO34" s="10">
        <f t="shared" ref="GO34:GO65" si="108">GN34-GM34</f>
        <v>276987</v>
      </c>
      <c r="GP34" s="128">
        <f t="shared" si="35"/>
        <v>0.91643334450101444</v>
      </c>
      <c r="GQ34" s="129"/>
      <c r="GR34" s="8">
        <v>3120981</v>
      </c>
      <c r="GS34" s="9">
        <v>3287400</v>
      </c>
      <c r="GT34" s="64"/>
      <c r="GU34" s="19">
        <f t="shared" ref="GU34:GU60" si="109">GS34/AD34</f>
        <v>60877.777777777781</v>
      </c>
      <c r="GV34" s="33">
        <f t="shared" si="37"/>
        <v>166419</v>
      </c>
      <c r="GW34" s="8">
        <v>5978090</v>
      </c>
      <c r="GX34" s="9">
        <f t="shared" si="38"/>
        <v>5918673</v>
      </c>
      <c r="GY34" s="11">
        <v>1256197</v>
      </c>
      <c r="GZ34" s="11">
        <v>4662476</v>
      </c>
      <c r="HA34" s="33">
        <f t="shared" si="39"/>
        <v>-59417</v>
      </c>
      <c r="HB34" s="640">
        <f t="shared" ref="HB34:HB60" si="110">GX34/AD34</f>
        <v>109605.05555555556</v>
      </c>
      <c r="HC34" s="9"/>
      <c r="HD34" s="8">
        <v>1</v>
      </c>
      <c r="HE34" s="9">
        <v>1</v>
      </c>
      <c r="HF34" s="64"/>
      <c r="HG34" s="36">
        <f t="shared" ref="HG34:HG65" si="111">HE34/GI34</f>
        <v>9.737756359119582E-8</v>
      </c>
      <c r="HH34" s="90">
        <v>822995</v>
      </c>
      <c r="HI34" s="9">
        <v>17350</v>
      </c>
      <c r="HJ34" s="20">
        <f t="shared" si="67"/>
        <v>0</v>
      </c>
      <c r="HK34" s="19">
        <f t="shared" ref="HK34:HK65" si="112">HE34/AD34</f>
        <v>1.8518518518518517E-2</v>
      </c>
      <c r="HL34" s="46">
        <f t="shared" ref="HL34:HL65" si="113">(GS34+HE34)/AD34</f>
        <v>60877.796296296299</v>
      </c>
      <c r="HM34" s="20">
        <f t="shared" si="44"/>
        <v>0</v>
      </c>
      <c r="HN34" s="45"/>
      <c r="HO34" s="45"/>
      <c r="HP34" s="35"/>
      <c r="HQ34" s="35"/>
      <c r="HR34" s="19">
        <f t="shared" si="45"/>
        <v>60877.796296296299</v>
      </c>
      <c r="HS34" s="35">
        <v>0</v>
      </c>
      <c r="HT34" s="19">
        <f t="shared" si="46"/>
        <v>60877.796296296299</v>
      </c>
      <c r="HU34" s="47">
        <f t="shared" si="47"/>
        <v>0.32011909992726073</v>
      </c>
      <c r="HV34" s="35"/>
      <c r="HW34" s="35"/>
      <c r="HX34" s="9">
        <f>65929+156958.02</f>
        <v>222887.02</v>
      </c>
      <c r="HY34" s="37">
        <f t="shared" ref="HY34:HY52" si="114">GI34+HP34</f>
        <v>10269306.02</v>
      </c>
      <c r="HZ34" s="233">
        <v>455729</v>
      </c>
      <c r="IA34" s="233">
        <f t="shared" si="49"/>
        <v>225585</v>
      </c>
      <c r="IB34" s="114">
        <v>41207</v>
      </c>
      <c r="IC34" s="233">
        <v>42868</v>
      </c>
      <c r="ID34" s="233"/>
      <c r="IE34" s="114"/>
      <c r="IF34" s="114"/>
      <c r="IG34" s="233"/>
      <c r="IH34" s="114">
        <v>41332</v>
      </c>
      <c r="II34" s="233">
        <v>44712</v>
      </c>
      <c r="IJ34" s="114">
        <v>41396</v>
      </c>
      <c r="IK34" s="233">
        <v>65685</v>
      </c>
      <c r="IL34" s="115">
        <v>41547</v>
      </c>
      <c r="IM34" s="322">
        <v>65685</v>
      </c>
      <c r="IN34" s="314"/>
      <c r="IO34" s="314"/>
      <c r="IP34" s="123"/>
      <c r="IQ34" s="233"/>
      <c r="IR34" s="123"/>
      <c r="IS34" s="233"/>
      <c r="IT34" s="115"/>
      <c r="IU34" s="115"/>
      <c r="IV34" s="115"/>
      <c r="IW34" s="115"/>
      <c r="IX34" s="238">
        <v>42822</v>
      </c>
      <c r="IY34" s="233">
        <v>6635</v>
      </c>
      <c r="IZ34" s="268"/>
      <c r="JA34" s="268"/>
      <c r="JB34" s="268"/>
      <c r="JC34" s="268"/>
      <c r="JD34" s="233">
        <v>44712</v>
      </c>
      <c r="JE34" s="123"/>
      <c r="JF34" s="115"/>
      <c r="JG34" s="123"/>
      <c r="JH34" s="123"/>
      <c r="JI34" s="115"/>
    </row>
    <row r="35" spans="1:269" ht="15" customHeight="1">
      <c r="A35" s="702" t="s">
        <v>266</v>
      </c>
      <c r="B35" s="16" t="s">
        <v>35</v>
      </c>
      <c r="C35" s="16" t="s">
        <v>110</v>
      </c>
      <c r="D35" s="16">
        <v>2014</v>
      </c>
      <c r="E35" s="16" t="s">
        <v>196</v>
      </c>
      <c r="F35" s="16" t="s">
        <v>383</v>
      </c>
      <c r="G35" s="16"/>
      <c r="H35" s="16" t="s">
        <v>248</v>
      </c>
      <c r="I35" s="51"/>
      <c r="J35" s="51"/>
      <c r="K35" s="206"/>
      <c r="L35" s="161"/>
      <c r="M35" s="104"/>
      <c r="N35" s="105"/>
      <c r="O35" s="212">
        <f>1032+357+882+400</f>
        <v>2671</v>
      </c>
      <c r="P35" s="212">
        <f>Q35</f>
        <v>637295</v>
      </c>
      <c r="Q35" s="212">
        <v>637295</v>
      </c>
      <c r="R35" s="207">
        <f t="shared" si="72"/>
        <v>13559.468085106382</v>
      </c>
      <c r="S35" s="212">
        <f t="shared" si="73"/>
        <v>238.5979034069637</v>
      </c>
      <c r="T35" s="213">
        <f t="shared" si="74"/>
        <v>238.5979034069637</v>
      </c>
      <c r="U35" s="213">
        <f t="shared" si="75"/>
        <v>166.56952430737061</v>
      </c>
      <c r="V35" s="213">
        <f t="shared" si="76"/>
        <v>13559.468085106382</v>
      </c>
      <c r="W35" s="207">
        <f t="shared" si="77"/>
        <v>56.829787234042556</v>
      </c>
      <c r="X35" s="214"/>
      <c r="Y35" s="215">
        <f t="shared" si="78"/>
        <v>1.4324223137401721</v>
      </c>
      <c r="Z35" s="214" t="s">
        <v>185</v>
      </c>
      <c r="AA35" s="416">
        <v>512</v>
      </c>
      <c r="AB35" s="417"/>
      <c r="AC35" s="16" t="s">
        <v>16</v>
      </c>
      <c r="AD35" s="318">
        <f t="shared" si="81"/>
        <v>47</v>
      </c>
      <c r="AE35" s="49"/>
      <c r="AF35" s="16">
        <v>47</v>
      </c>
      <c r="AG35" s="51"/>
      <c r="AH35" s="51"/>
      <c r="AI35" s="268">
        <v>3307.5</v>
      </c>
      <c r="AJ35" s="420">
        <v>4397.1499999999996</v>
      </c>
      <c r="AK35" s="55">
        <v>3826</v>
      </c>
      <c r="AL35" s="421">
        <v>3826</v>
      </c>
      <c r="AM35" s="7">
        <f t="shared" si="1"/>
        <v>81.40425531914893</v>
      </c>
      <c r="AN35" s="57"/>
      <c r="AO35" s="57"/>
      <c r="AP35" s="57"/>
      <c r="AQ35" s="57"/>
      <c r="AR35" s="57"/>
      <c r="AS35" s="420"/>
      <c r="AT35" s="74">
        <v>0</v>
      </c>
      <c r="AU35" s="76">
        <f t="shared" si="64"/>
        <v>0</v>
      </c>
      <c r="AV35" s="55">
        <v>4.5</v>
      </c>
      <c r="AW35" s="53" t="s">
        <v>561</v>
      </c>
      <c r="AX35" s="16" t="s">
        <v>118</v>
      </c>
      <c r="AY35" s="806">
        <v>7250000</v>
      </c>
      <c r="AZ35" s="51"/>
      <c r="BA35" s="241">
        <v>41591</v>
      </c>
      <c r="BB35" s="241">
        <v>41771</v>
      </c>
      <c r="BC35" s="108" t="s">
        <v>12</v>
      </c>
      <c r="BD35" s="108" t="s">
        <v>235</v>
      </c>
      <c r="BE35" s="31" t="s">
        <v>165</v>
      </c>
      <c r="BF35" s="204">
        <v>41800</v>
      </c>
      <c r="BG35" s="96"/>
      <c r="BH35" s="96">
        <v>41935</v>
      </c>
      <c r="BI35" s="204">
        <v>41957</v>
      </c>
      <c r="BJ35" s="96"/>
      <c r="BK35" s="159">
        <v>41989</v>
      </c>
      <c r="BL35" s="202">
        <v>41990</v>
      </c>
      <c r="BM35" s="160">
        <v>42080</v>
      </c>
      <c r="BN35" s="160" t="s">
        <v>126</v>
      </c>
      <c r="BO35" s="298">
        <v>42080</v>
      </c>
      <c r="BP35" s="297">
        <f t="shared" si="3"/>
        <v>42811</v>
      </c>
      <c r="BQ35" s="297">
        <f t="shared" si="4"/>
        <v>43176</v>
      </c>
      <c r="BR35" s="297"/>
      <c r="BS35" s="297" t="str">
        <f t="shared" si="66"/>
        <v>non</v>
      </c>
      <c r="BT35" s="686">
        <f t="shared" si="82"/>
        <v>16</v>
      </c>
      <c r="BU35" s="686">
        <f t="shared" si="83"/>
        <v>327147.92451910797</v>
      </c>
      <c r="BV35" s="686">
        <f t="shared" si="84"/>
        <v>0</v>
      </c>
      <c r="BW35" s="164" t="s">
        <v>258</v>
      </c>
      <c r="BX35" s="32" t="s">
        <v>308</v>
      </c>
      <c r="BY35" s="188" t="s">
        <v>328</v>
      </c>
      <c r="BZ35" s="98"/>
      <c r="CA35" s="98">
        <v>42276</v>
      </c>
      <c r="CB35" s="98"/>
      <c r="CC35" s="155" t="s">
        <v>142</v>
      </c>
      <c r="CD35" s="306">
        <v>41992</v>
      </c>
      <c r="CE35" s="251"/>
      <c r="CF35" s="587">
        <v>7100881.4887365336</v>
      </c>
      <c r="CG35" s="588">
        <f t="shared" si="54"/>
        <v>42540</v>
      </c>
      <c r="CH35" s="408">
        <f t="shared" si="56"/>
        <v>42723</v>
      </c>
      <c r="CI35" s="306">
        <v>42143</v>
      </c>
      <c r="CJ35" s="251">
        <v>42662</v>
      </c>
      <c r="CK35" s="603">
        <f t="shared" si="79"/>
        <v>0.66666666666666663</v>
      </c>
      <c r="CL35" s="123"/>
      <c r="CM35" s="123"/>
      <c r="CN35" s="123"/>
      <c r="CO35" s="529" t="str">
        <f t="shared" si="85"/>
        <v>0</v>
      </c>
      <c r="CP35" s="123"/>
      <c r="CQ35" s="123"/>
      <c r="CR35" s="529" t="str">
        <f t="shared" si="86"/>
        <v>0</v>
      </c>
      <c r="CS35" s="123"/>
      <c r="CT35" s="123"/>
      <c r="CU35" s="529" t="str">
        <f t="shared" si="87"/>
        <v>0</v>
      </c>
      <c r="CV35" s="123"/>
      <c r="CW35" s="123"/>
      <c r="CX35" s="529" t="str">
        <f t="shared" si="88"/>
        <v>0</v>
      </c>
      <c r="CY35" s="126"/>
      <c r="CZ35" s="575"/>
      <c r="DA35" s="529" t="str">
        <f t="shared" si="89"/>
        <v>0</v>
      </c>
      <c r="DB35" s="459"/>
      <c r="DC35" s="233"/>
      <c r="DD35" s="123"/>
      <c r="DE35" s="233"/>
      <c r="DF35" s="529" t="str">
        <f t="shared" si="90"/>
        <v>0</v>
      </c>
      <c r="DG35" s="123"/>
      <c r="DH35" s="351">
        <v>42037</v>
      </c>
      <c r="DI35" s="347">
        <v>2015</v>
      </c>
      <c r="DJ35" s="448">
        <f t="shared" si="91"/>
        <v>7.9</v>
      </c>
      <c r="DK35" s="529" t="str">
        <f t="shared" si="92"/>
        <v>0</v>
      </c>
      <c r="DL35" s="242">
        <v>18</v>
      </c>
      <c r="DM35" s="117">
        <f t="shared" si="93"/>
        <v>20</v>
      </c>
      <c r="DN35" s="123"/>
      <c r="DO35" s="233"/>
      <c r="DP35" s="529" t="str">
        <f t="shared" si="94"/>
        <v>0</v>
      </c>
      <c r="DQ35" s="577"/>
      <c r="DR35" s="573"/>
      <c r="DS35" s="532" t="str">
        <f t="shared" si="95"/>
        <v>0</v>
      </c>
      <c r="DT35" s="126"/>
      <c r="DU35" s="316"/>
      <c r="DV35" s="529" t="str">
        <f t="shared" si="96"/>
        <v>0</v>
      </c>
      <c r="DW35" s="123"/>
      <c r="DX35" s="123"/>
      <c r="DY35" s="529" t="str">
        <f t="shared" si="97"/>
        <v>0</v>
      </c>
      <c r="DZ35" s="123"/>
      <c r="EA35" s="123"/>
      <c r="EB35" s="529" t="str">
        <f t="shared" si="98"/>
        <v>0</v>
      </c>
      <c r="EC35" s="123"/>
      <c r="ED35" s="123"/>
      <c r="EE35" s="529" t="str">
        <f t="shared" si="99"/>
        <v>0</v>
      </c>
      <c r="EF35" s="123"/>
      <c r="EG35" s="123"/>
      <c r="EH35" s="529" t="str">
        <f t="shared" si="100"/>
        <v>0</v>
      </c>
      <c r="EI35" s="123"/>
      <c r="EJ35" s="123"/>
      <c r="EK35" s="123"/>
      <c r="EL35" s="579">
        <f t="shared" si="101"/>
        <v>42584</v>
      </c>
      <c r="EM35" s="351">
        <v>42674</v>
      </c>
      <c r="EN35" s="729">
        <f t="shared" si="102"/>
        <v>3</v>
      </c>
      <c r="EO35" s="762">
        <f t="shared" si="69"/>
        <v>42874</v>
      </c>
      <c r="EP35" s="116">
        <v>42657</v>
      </c>
      <c r="EQ35" s="116">
        <v>42591</v>
      </c>
      <c r="ER35" s="116"/>
      <c r="ES35" s="461"/>
      <c r="ET35" s="461">
        <f t="shared" si="103"/>
        <v>42615</v>
      </c>
      <c r="EU35" s="610">
        <v>42682</v>
      </c>
      <c r="EV35" s="347">
        <v>2016</v>
      </c>
      <c r="EW35" s="725">
        <f t="shared" si="104"/>
        <v>2.2333333333333334</v>
      </c>
      <c r="EX35" s="716">
        <f>245360.943389331/12</f>
        <v>20446.745282444248</v>
      </c>
      <c r="EY35" s="315">
        <f t="shared" si="105"/>
        <v>45664.39779745882</v>
      </c>
      <c r="EZ35" s="316" t="s">
        <v>126</v>
      </c>
      <c r="FA35" s="558"/>
      <c r="FB35" s="710">
        <f>HX35</f>
        <v>0</v>
      </c>
      <c r="FC35" s="562"/>
      <c r="FD35" s="562"/>
      <c r="FE35" s="562">
        <v>0</v>
      </c>
      <c r="FF35" s="787">
        <f t="shared" si="80"/>
        <v>0</v>
      </c>
      <c r="FG35" s="559"/>
      <c r="FH35" s="571"/>
      <c r="FI35" s="559"/>
      <c r="FJ35" s="559"/>
      <c r="FK35" s="119"/>
      <c r="FL35" s="119"/>
      <c r="FM35" s="237"/>
      <c r="FN35" s="237" t="s">
        <v>543</v>
      </c>
      <c r="FO35" s="237" t="s">
        <v>126</v>
      </c>
      <c r="FP35" s="237"/>
      <c r="FQ35" s="123">
        <f t="shared" si="70"/>
        <v>43039</v>
      </c>
      <c r="FR35" s="692">
        <v>27200</v>
      </c>
      <c r="FS35" s="241">
        <v>42710</v>
      </c>
      <c r="FT35" s="241">
        <v>42779</v>
      </c>
      <c r="FU35" s="51"/>
      <c r="FV35" s="51"/>
      <c r="FW35" s="660"/>
      <c r="FX35" s="324" t="s">
        <v>165</v>
      </c>
      <c r="FY35" s="324" t="s">
        <v>126</v>
      </c>
      <c r="FZ35" s="324"/>
      <c r="GA35" s="325" t="s">
        <v>582</v>
      </c>
      <c r="GB35" s="235">
        <v>42808</v>
      </c>
      <c r="GC35" s="235" t="s">
        <v>126</v>
      </c>
      <c r="GD35" s="51"/>
      <c r="GE35" s="51"/>
      <c r="GF35" s="109"/>
      <c r="GG35" s="615"/>
      <c r="GH35" s="18">
        <f t="shared" si="68"/>
        <v>9070838.1099999994</v>
      </c>
      <c r="GI35" s="430">
        <f t="shared" si="71"/>
        <v>7893608.4299999997</v>
      </c>
      <c r="GJ35" s="42">
        <f t="shared" si="31"/>
        <v>-1177229.6799999997</v>
      </c>
      <c r="GK35" s="46">
        <f t="shared" si="106"/>
        <v>1795.1646930398099</v>
      </c>
      <c r="GL35" s="46">
        <f t="shared" si="107"/>
        <v>167949.1155319149</v>
      </c>
      <c r="GM35" s="18">
        <v>7995841</v>
      </c>
      <c r="GN35" s="431">
        <v>6785519</v>
      </c>
      <c r="GO35" s="42">
        <f t="shared" si="108"/>
        <v>-1210322</v>
      </c>
      <c r="GP35" s="128">
        <f t="shared" ref="GP35:GP60" si="115">GN35*1.021/GI35</f>
        <v>0.87767400174928611</v>
      </c>
      <c r="GQ35" s="129"/>
      <c r="GR35" s="18">
        <v>2612892.11</v>
      </c>
      <c r="GS35" s="431">
        <v>2234701</v>
      </c>
      <c r="GT35" s="69"/>
      <c r="GU35" s="19">
        <f t="shared" si="109"/>
        <v>47546.829787234041</v>
      </c>
      <c r="GV35" s="34">
        <f t="shared" si="37"/>
        <v>-378191.10999999987</v>
      </c>
      <c r="GW35" s="18">
        <v>5339946</v>
      </c>
      <c r="GX35" s="431">
        <f>GY35+GZ35</f>
        <v>4540907.43</v>
      </c>
      <c r="GY35" s="433">
        <v>1362272</v>
      </c>
      <c r="GZ35" s="433">
        <v>3178635.43</v>
      </c>
      <c r="HA35" s="34">
        <f t="shared" si="39"/>
        <v>-799038.5700000003</v>
      </c>
      <c r="HB35" s="640">
        <f t="shared" si="110"/>
        <v>96615.051702127646</v>
      </c>
      <c r="HC35" s="431">
        <v>0</v>
      </c>
      <c r="HD35" s="18">
        <v>1118000</v>
      </c>
      <c r="HE35" s="431">
        <f>HD35</f>
        <v>1118000</v>
      </c>
      <c r="HF35" s="69">
        <v>0</v>
      </c>
      <c r="HG35" s="36">
        <f t="shared" si="111"/>
        <v>0.1416335773321353</v>
      </c>
      <c r="HH35" s="642"/>
      <c r="HI35" s="431">
        <v>0</v>
      </c>
      <c r="HJ35" s="17">
        <f t="shared" si="67"/>
        <v>0</v>
      </c>
      <c r="HK35" s="43">
        <f t="shared" si="112"/>
        <v>23787.234042553191</v>
      </c>
      <c r="HL35" s="78">
        <f t="shared" si="113"/>
        <v>71334.063829787236</v>
      </c>
      <c r="HM35" s="17">
        <f t="shared" si="44"/>
        <v>0</v>
      </c>
      <c r="HN35" s="45">
        <v>5.07</v>
      </c>
      <c r="HO35" s="45">
        <v>4.96</v>
      </c>
      <c r="HP35" s="434">
        <v>0</v>
      </c>
      <c r="HQ35" s="434">
        <v>0</v>
      </c>
      <c r="HR35" s="43">
        <f t="shared" si="45"/>
        <v>71334.063829787236</v>
      </c>
      <c r="HS35" s="434">
        <v>0</v>
      </c>
      <c r="HT35" s="43">
        <f t="shared" si="46"/>
        <v>71334.063829787236</v>
      </c>
      <c r="HU35" s="47">
        <f t="shared" si="47"/>
        <v>0.42473616847497969</v>
      </c>
      <c r="HV35" s="434">
        <v>0</v>
      </c>
      <c r="HW35" s="434"/>
      <c r="HX35" s="437">
        <v>0</v>
      </c>
      <c r="HY35" s="37">
        <f t="shared" si="114"/>
        <v>7893608.4299999997</v>
      </c>
      <c r="HZ35" s="233"/>
      <c r="IA35" s="233">
        <f t="shared" si="49"/>
        <v>0</v>
      </c>
      <c r="IB35" s="114"/>
      <c r="IC35" s="233"/>
      <c r="ID35" s="233"/>
      <c r="IE35" s="114"/>
      <c r="IF35" s="114"/>
      <c r="IG35" s="233"/>
      <c r="IH35" s="114"/>
      <c r="II35" s="233"/>
      <c r="IJ35" s="114"/>
      <c r="IK35" s="233"/>
      <c r="IL35" s="115"/>
      <c r="IM35" s="322"/>
      <c r="IN35" s="314"/>
      <c r="IO35" s="314"/>
      <c r="IP35" s="123"/>
      <c r="IQ35" s="233"/>
      <c r="IR35" s="123"/>
      <c r="IS35" s="233"/>
      <c r="IT35" s="115"/>
      <c r="IU35" s="115"/>
      <c r="IV35" s="115"/>
      <c r="IW35" s="115"/>
      <c r="IX35" s="268"/>
      <c r="IY35" s="268"/>
      <c r="IZ35" s="268"/>
      <c r="JA35" s="268"/>
      <c r="JB35" s="268"/>
      <c r="JC35" s="268"/>
      <c r="JD35" s="233"/>
      <c r="JE35" s="123"/>
      <c r="JF35" s="115"/>
      <c r="JG35" s="123"/>
      <c r="JH35" s="123"/>
      <c r="JI35" s="115"/>
    </row>
    <row r="36" spans="1:269" ht="15" customHeight="1">
      <c r="A36" s="80" t="s">
        <v>275</v>
      </c>
      <c r="B36" s="5" t="s">
        <v>40</v>
      </c>
      <c r="C36" s="5" t="s">
        <v>112</v>
      </c>
      <c r="D36" s="16">
        <v>2014</v>
      </c>
      <c r="E36" s="5" t="s">
        <v>162</v>
      </c>
      <c r="F36" s="16" t="s">
        <v>55</v>
      </c>
      <c r="G36" s="5" t="s">
        <v>624</v>
      </c>
      <c r="H36" s="16" t="s">
        <v>169</v>
      </c>
      <c r="I36" s="51" t="s">
        <v>118</v>
      </c>
      <c r="J36" s="50"/>
      <c r="K36" s="256"/>
      <c r="L36" s="161" t="s">
        <v>61</v>
      </c>
      <c r="M36" s="104" t="s">
        <v>136</v>
      </c>
      <c r="N36" s="105"/>
      <c r="O36" s="213">
        <v>1500</v>
      </c>
      <c r="P36" s="213">
        <f>Q36</f>
        <v>128915</v>
      </c>
      <c r="Q36" s="213">
        <v>128915</v>
      </c>
      <c r="R36" s="207">
        <f t="shared" si="72"/>
        <v>8057.1875</v>
      </c>
      <c r="S36" s="213">
        <f t="shared" si="73"/>
        <v>85.943333333333328</v>
      </c>
      <c r="T36" s="213">
        <f t="shared" si="74"/>
        <v>85.943333333333328</v>
      </c>
      <c r="U36" s="213">
        <f t="shared" si="75"/>
        <v>91.134345662255399</v>
      </c>
      <c r="V36" s="213">
        <f t="shared" si="76"/>
        <v>8057.1875</v>
      </c>
      <c r="W36" s="207">
        <f t="shared" si="77"/>
        <v>93.75</v>
      </c>
      <c r="X36" s="217"/>
      <c r="Y36" s="218">
        <f t="shared" si="78"/>
        <v>0.94303999999999999</v>
      </c>
      <c r="Z36" s="217"/>
      <c r="AA36" s="416">
        <v>90</v>
      </c>
      <c r="AB36" s="417"/>
      <c r="AC36" s="5" t="s">
        <v>16</v>
      </c>
      <c r="AD36" s="318">
        <f t="shared" si="81"/>
        <v>16</v>
      </c>
      <c r="AE36" s="6"/>
      <c r="AF36" s="5">
        <v>16</v>
      </c>
      <c r="AG36" s="50"/>
      <c r="AH36" s="50"/>
      <c r="AI36" s="268"/>
      <c r="AJ36" s="420">
        <v>1374.99</v>
      </c>
      <c r="AK36" s="55"/>
      <c r="AL36" s="421">
        <v>1414.56</v>
      </c>
      <c r="AM36" s="7">
        <f t="shared" si="1"/>
        <v>88.41</v>
      </c>
      <c r="AN36" s="76">
        <f>2/AD36</f>
        <v>0.125</v>
      </c>
      <c r="AO36" s="76">
        <f>2/AD36</f>
        <v>0.125</v>
      </c>
      <c r="AP36" s="76">
        <f>6/AD36</f>
        <v>0.375</v>
      </c>
      <c r="AQ36" s="76">
        <f>5/AD36</f>
        <v>0.3125</v>
      </c>
      <c r="AR36" s="76">
        <f>1/AD36</f>
        <v>6.25E-2</v>
      </c>
      <c r="AS36" s="420"/>
      <c r="AT36" s="74">
        <v>0</v>
      </c>
      <c r="AU36" s="76">
        <f t="shared" si="64"/>
        <v>0</v>
      </c>
      <c r="AV36" s="55">
        <v>2.5</v>
      </c>
      <c r="AW36" s="53" t="s">
        <v>561</v>
      </c>
      <c r="AX36" s="16"/>
      <c r="AY36" s="806"/>
      <c r="AZ36" s="51"/>
      <c r="BA36" s="190">
        <v>41667</v>
      </c>
      <c r="BB36" s="190">
        <v>41781</v>
      </c>
      <c r="BC36" s="108" t="s">
        <v>245</v>
      </c>
      <c r="BD36" s="108" t="s">
        <v>372</v>
      </c>
      <c r="BE36" s="31"/>
      <c r="BF36" s="204">
        <v>41929</v>
      </c>
      <c r="BG36" s="96"/>
      <c r="BH36" s="96">
        <v>41955</v>
      </c>
      <c r="BI36" s="204">
        <v>41992</v>
      </c>
      <c r="BJ36" s="96"/>
      <c r="BK36" s="159">
        <v>42017</v>
      </c>
      <c r="BL36" s="428" t="s">
        <v>267</v>
      </c>
      <c r="BM36" s="164">
        <v>42116</v>
      </c>
      <c r="BN36" s="164">
        <v>42074</v>
      </c>
      <c r="BO36" s="297">
        <v>42118</v>
      </c>
      <c r="BP36" s="297">
        <f t="shared" si="3"/>
        <v>42849</v>
      </c>
      <c r="BQ36" s="297">
        <f t="shared" si="4"/>
        <v>43214</v>
      </c>
      <c r="BR36" s="297"/>
      <c r="BS36" s="297" t="str">
        <f t="shared" si="66"/>
        <v>oui</v>
      </c>
      <c r="BT36" s="686">
        <f t="shared" si="82"/>
        <v>8</v>
      </c>
      <c r="BU36" s="686">
        <f t="shared" si="83"/>
        <v>59281.617932302062</v>
      </c>
      <c r="BV36" s="686">
        <f t="shared" si="84"/>
        <v>0</v>
      </c>
      <c r="BW36" s="164" t="s">
        <v>260</v>
      </c>
      <c r="BX36" s="32" t="s">
        <v>278</v>
      </c>
      <c r="BY36" s="188" t="s">
        <v>328</v>
      </c>
      <c r="BZ36" s="98"/>
      <c r="CA36" s="98"/>
      <c r="CB36" s="98"/>
      <c r="CC36" s="155" t="s">
        <v>136</v>
      </c>
      <c r="CD36" s="306">
        <v>42478</v>
      </c>
      <c r="CE36" s="251" t="s">
        <v>417</v>
      </c>
      <c r="CF36" s="156">
        <v>2657721.79</v>
      </c>
      <c r="CG36" s="306">
        <v>42522</v>
      </c>
      <c r="CH36" s="306">
        <f t="shared" si="56"/>
        <v>43208</v>
      </c>
      <c r="CI36" s="344">
        <v>42573</v>
      </c>
      <c r="CJ36" s="257">
        <f>DATE(YEAR(CD36),MONTH(CD36)+22,DAY(CD36))</f>
        <v>43149</v>
      </c>
      <c r="CK36" s="603">
        <f t="shared" si="79"/>
        <v>-6.4</v>
      </c>
      <c r="CL36" s="123"/>
      <c r="CM36" s="123"/>
      <c r="CN36" s="123"/>
      <c r="CO36" s="529" t="str">
        <f t="shared" si="85"/>
        <v>0</v>
      </c>
      <c r="CP36" s="123"/>
      <c r="CQ36" s="123"/>
      <c r="CR36" s="529" t="str">
        <f t="shared" si="86"/>
        <v>0</v>
      </c>
      <c r="CS36" s="123"/>
      <c r="CT36" s="123"/>
      <c r="CU36" s="529" t="str">
        <f t="shared" si="87"/>
        <v>0</v>
      </c>
      <c r="CV36" s="123"/>
      <c r="CW36" s="123"/>
      <c r="CX36" s="529" t="str">
        <f t="shared" si="88"/>
        <v>0</v>
      </c>
      <c r="CY36" s="126"/>
      <c r="CZ36" s="575"/>
      <c r="DA36" s="529" t="str">
        <f t="shared" si="89"/>
        <v>0</v>
      </c>
      <c r="DB36" s="458"/>
      <c r="DC36" s="233"/>
      <c r="DD36" s="123"/>
      <c r="DE36" s="233"/>
      <c r="DF36" s="529" t="str">
        <f t="shared" si="90"/>
        <v>0</v>
      </c>
      <c r="DG36" s="123"/>
      <c r="DH36" s="351">
        <v>42488</v>
      </c>
      <c r="DI36" s="347">
        <v>2016</v>
      </c>
      <c r="DJ36" s="448">
        <f t="shared" si="91"/>
        <v>18.633333333333333</v>
      </c>
      <c r="DK36" s="529" t="str">
        <f t="shared" si="92"/>
        <v>0</v>
      </c>
      <c r="DL36" s="117">
        <v>13</v>
      </c>
      <c r="DM36" s="117">
        <f t="shared" si="93"/>
        <v>14</v>
      </c>
      <c r="DN36" s="123"/>
      <c r="DO36" s="233"/>
      <c r="DP36" s="529" t="str">
        <f t="shared" si="94"/>
        <v>0</v>
      </c>
      <c r="DQ36" s="123"/>
      <c r="DR36" s="573"/>
      <c r="DS36" s="532" t="str">
        <f t="shared" si="95"/>
        <v>0</v>
      </c>
      <c r="DT36" s="126"/>
      <c r="DU36" s="316"/>
      <c r="DV36" s="529" t="str">
        <f t="shared" si="96"/>
        <v>0</v>
      </c>
      <c r="DW36" s="123"/>
      <c r="DX36" s="123"/>
      <c r="DY36" s="529" t="str">
        <f t="shared" si="97"/>
        <v>0</v>
      </c>
      <c r="DZ36" s="123"/>
      <c r="EA36" s="123"/>
      <c r="EB36" s="529" t="str">
        <f t="shared" si="98"/>
        <v>0</v>
      </c>
      <c r="EC36" s="123"/>
      <c r="ED36" s="123"/>
      <c r="EE36" s="529" t="str">
        <f t="shared" si="99"/>
        <v>0</v>
      </c>
      <c r="EF36" s="123"/>
      <c r="EG36" s="123"/>
      <c r="EH36" s="529" t="str">
        <f t="shared" si="100"/>
        <v>0</v>
      </c>
      <c r="EI36" s="123"/>
      <c r="EJ36" s="123"/>
      <c r="EK36" s="123"/>
      <c r="EL36" s="579">
        <f t="shared" si="101"/>
        <v>42883</v>
      </c>
      <c r="EM36" s="351">
        <v>42921</v>
      </c>
      <c r="EN36" s="729">
        <f t="shared" si="102"/>
        <v>1.2666666666666666</v>
      </c>
      <c r="EO36" s="461">
        <f t="shared" si="69"/>
        <v>43303</v>
      </c>
      <c r="EP36" s="116">
        <v>42928</v>
      </c>
      <c r="EQ36" s="116">
        <v>42702</v>
      </c>
      <c r="ER36" s="116">
        <v>42942</v>
      </c>
      <c r="ES36" s="461"/>
      <c r="ET36" s="461">
        <f t="shared" si="103"/>
        <v>42914</v>
      </c>
      <c r="EU36" s="353">
        <v>42957</v>
      </c>
      <c r="EV36" s="347">
        <v>2017</v>
      </c>
      <c r="EW36" s="726">
        <f t="shared" si="104"/>
        <v>1.4333333333333333</v>
      </c>
      <c r="EX36" s="448">
        <f>88922.4268984531/12</f>
        <v>7410.2022415377578</v>
      </c>
      <c r="EY36" s="315">
        <f t="shared" si="105"/>
        <v>10621.289879537453</v>
      </c>
      <c r="EZ36" s="407">
        <v>42901</v>
      </c>
      <c r="FA36" s="558">
        <v>0</v>
      </c>
      <c r="FB36" s="558">
        <v>0</v>
      </c>
      <c r="FC36" s="562"/>
      <c r="FD36" s="562"/>
      <c r="FE36" s="786">
        <v>12993.96</v>
      </c>
      <c r="FF36" s="787">
        <f t="shared" si="80"/>
        <v>4.665640564888658E-3</v>
      </c>
      <c r="FG36" s="808"/>
      <c r="FH36" s="809" t="s">
        <v>758</v>
      </c>
      <c r="FI36" s="808"/>
      <c r="FJ36" s="808"/>
      <c r="FK36" s="237" t="s">
        <v>126</v>
      </c>
      <c r="FL36" s="237" t="s">
        <v>126</v>
      </c>
      <c r="FM36" s="200" t="s">
        <v>126</v>
      </c>
      <c r="FN36" s="123" t="s">
        <v>126</v>
      </c>
      <c r="FO36" s="316">
        <v>43146</v>
      </c>
      <c r="FP36" s="324" t="s">
        <v>793</v>
      </c>
      <c r="FQ36" s="279">
        <f t="shared" si="70"/>
        <v>43286</v>
      </c>
      <c r="FR36" s="692">
        <v>9694</v>
      </c>
      <c r="FS36" s="316">
        <v>43056</v>
      </c>
      <c r="FT36" s="316">
        <v>43059</v>
      </c>
      <c r="FU36" s="124"/>
      <c r="FV36" s="124"/>
      <c r="FW36" s="317">
        <v>43180</v>
      </c>
      <c r="FX36" s="51"/>
      <c r="FY36" s="51"/>
      <c r="FZ36" s="51"/>
      <c r="GA36" s="51"/>
      <c r="GB36" s="235" t="s">
        <v>126</v>
      </c>
      <c r="GC36" s="235" t="s">
        <v>126</v>
      </c>
      <c r="GD36" s="51"/>
      <c r="GE36" s="51"/>
      <c r="GF36" s="109"/>
      <c r="GG36" s="615">
        <v>2681224</v>
      </c>
      <c r="GH36" s="18">
        <f>GR36+GW36+HD36</f>
        <v>2681224</v>
      </c>
      <c r="GI36" s="431">
        <f t="shared" si="71"/>
        <v>2785032.37</v>
      </c>
      <c r="GJ36" s="42">
        <f t="shared" si="31"/>
        <v>103808.37000000011</v>
      </c>
      <c r="GK36" s="46">
        <f t="shared" si="106"/>
        <v>2025.4928181295866</v>
      </c>
      <c r="GL36" s="46">
        <f t="shared" si="107"/>
        <v>174064.52312500001</v>
      </c>
      <c r="GM36" s="18"/>
      <c r="GN36" s="431">
        <v>2460822</v>
      </c>
      <c r="GO36" s="42">
        <f t="shared" si="108"/>
        <v>2460822</v>
      </c>
      <c r="GP36" s="128">
        <f t="shared" si="115"/>
        <v>0.90214364797490654</v>
      </c>
      <c r="GQ36" s="129"/>
      <c r="GR36" s="18">
        <v>797080</v>
      </c>
      <c r="GS36" s="431">
        <v>863024</v>
      </c>
      <c r="GT36" s="69"/>
      <c r="GU36" s="19">
        <f t="shared" si="109"/>
        <v>53939</v>
      </c>
      <c r="GV36" s="34">
        <f t="shared" si="37"/>
        <v>65944</v>
      </c>
      <c r="GW36" s="18">
        <f>290632+1273512</f>
        <v>1564144</v>
      </c>
      <c r="GX36" s="431">
        <f>GY36+GZ36</f>
        <v>1596953.37</v>
      </c>
      <c r="GY36" s="433">
        <v>242605.3</v>
      </c>
      <c r="GZ36" s="433">
        <v>1354348.07</v>
      </c>
      <c r="HA36" s="34">
        <f t="shared" si="39"/>
        <v>32809.370000000112</v>
      </c>
      <c r="HB36" s="640">
        <f t="shared" si="110"/>
        <v>99809.585625000007</v>
      </c>
      <c r="HC36" s="431"/>
      <c r="HD36" s="18">
        <v>320000</v>
      </c>
      <c r="HE36" s="431">
        <f>144000*0+320000</f>
        <v>320000</v>
      </c>
      <c r="HF36" s="69">
        <v>0</v>
      </c>
      <c r="HG36" s="36">
        <f t="shared" si="111"/>
        <v>0.1148999212529799</v>
      </c>
      <c r="HH36" s="90"/>
      <c r="HI36" s="431">
        <v>5055</v>
      </c>
      <c r="HJ36" s="17">
        <f t="shared" si="67"/>
        <v>0</v>
      </c>
      <c r="HK36" s="43">
        <f t="shared" si="112"/>
        <v>20000</v>
      </c>
      <c r="HL36" s="78">
        <f t="shared" si="113"/>
        <v>73939</v>
      </c>
      <c r="HM36" s="20">
        <f t="shared" si="44"/>
        <v>0</v>
      </c>
      <c r="HN36" s="44">
        <v>5.07</v>
      </c>
      <c r="HO36" s="44">
        <v>5.07</v>
      </c>
      <c r="HP36" s="35">
        <v>0</v>
      </c>
      <c r="HQ36" s="35">
        <v>0</v>
      </c>
      <c r="HR36" s="19">
        <f t="shared" si="45"/>
        <v>73939</v>
      </c>
      <c r="HS36" s="35">
        <v>0</v>
      </c>
      <c r="HT36" s="19">
        <f t="shared" si="46"/>
        <v>73939</v>
      </c>
      <c r="HU36" s="47">
        <f t="shared" si="47"/>
        <v>0.42477926387620407</v>
      </c>
      <c r="HV36" s="35">
        <v>0</v>
      </c>
      <c r="HW36" s="35"/>
      <c r="HX36" s="9">
        <v>0</v>
      </c>
      <c r="HY36" s="37">
        <f t="shared" si="114"/>
        <v>2785032.37</v>
      </c>
      <c r="HZ36" s="276">
        <v>143972</v>
      </c>
      <c r="IA36" s="276">
        <f t="shared" si="49"/>
        <v>129574</v>
      </c>
      <c r="IB36" s="114">
        <v>41641</v>
      </c>
      <c r="IC36" s="233">
        <v>14192</v>
      </c>
      <c r="ID36" s="233"/>
      <c r="IE36" s="114"/>
      <c r="IF36" s="114">
        <v>41696</v>
      </c>
      <c r="IG36" s="233">
        <v>7096</v>
      </c>
      <c r="IH36" s="114"/>
      <c r="II36" s="233"/>
      <c r="IJ36" s="114">
        <v>41827</v>
      </c>
      <c r="IK36" s="233">
        <v>27458</v>
      </c>
      <c r="IL36" s="115">
        <v>41933</v>
      </c>
      <c r="IM36" s="322">
        <v>20852</v>
      </c>
      <c r="IN36" s="314"/>
      <c r="IO36" s="314"/>
      <c r="IP36" s="123">
        <v>42564</v>
      </c>
      <c r="IQ36" s="233"/>
      <c r="IR36" s="123">
        <v>42564</v>
      </c>
      <c r="IS36" s="233"/>
      <c r="IT36" s="123">
        <v>42564</v>
      </c>
      <c r="IU36" s="233">
        <v>30071</v>
      </c>
      <c r="IV36" s="123">
        <v>42660</v>
      </c>
      <c r="IW36" s="233">
        <v>8517</v>
      </c>
      <c r="IX36" s="123">
        <v>42822</v>
      </c>
      <c r="IY36" s="233">
        <v>6635</v>
      </c>
      <c r="IZ36" s="238">
        <v>42902</v>
      </c>
      <c r="JA36" s="233">
        <v>7555</v>
      </c>
      <c r="JB36" s="238">
        <v>42921</v>
      </c>
      <c r="JC36" s="233">
        <v>7198</v>
      </c>
      <c r="JD36" s="233"/>
      <c r="JE36" s="123"/>
      <c r="JF36" s="115"/>
      <c r="JG36" s="123"/>
      <c r="JH36" s="123"/>
      <c r="JI36" s="115"/>
    </row>
    <row r="37" spans="1:269" ht="36.75" customHeight="1">
      <c r="A37" s="82" t="s">
        <v>234</v>
      </c>
      <c r="B37" s="5" t="s">
        <v>35</v>
      </c>
      <c r="C37" s="5" t="s">
        <v>110</v>
      </c>
      <c r="D37" s="5">
        <v>2014</v>
      </c>
      <c r="E37" s="5" t="s">
        <v>330</v>
      </c>
      <c r="F37" s="5" t="s">
        <v>55</v>
      </c>
      <c r="G37" s="5" t="s">
        <v>624</v>
      </c>
      <c r="H37" s="5" t="s">
        <v>169</v>
      </c>
      <c r="I37" s="50"/>
      <c r="J37" s="50"/>
      <c r="K37" s="256"/>
      <c r="L37" s="161"/>
      <c r="M37" s="104"/>
      <c r="N37" s="105"/>
      <c r="O37" s="213">
        <v>3512</v>
      </c>
      <c r="P37" s="213">
        <f>Q37</f>
        <v>977347</v>
      </c>
      <c r="Q37" s="213">
        <v>977347</v>
      </c>
      <c r="R37" s="207">
        <f t="shared" si="72"/>
        <v>19546.939999999999</v>
      </c>
      <c r="S37" s="213">
        <f t="shared" si="73"/>
        <v>278.28787015945329</v>
      </c>
      <c r="T37" s="213">
        <f t="shared" si="74"/>
        <v>278.28787015945329</v>
      </c>
      <c r="U37" s="213">
        <f t="shared" si="75"/>
        <v>217.55371245915362</v>
      </c>
      <c r="V37" s="213">
        <f t="shared" si="76"/>
        <v>19546.939999999999</v>
      </c>
      <c r="W37" s="207">
        <f t="shared" si="77"/>
        <v>70.239999999999995</v>
      </c>
      <c r="X37" s="217"/>
      <c r="Y37" s="218">
        <f t="shared" si="78"/>
        <v>1.2791685649202733</v>
      </c>
      <c r="Z37" s="217" t="s">
        <v>191</v>
      </c>
      <c r="AA37" s="210"/>
      <c r="AB37" s="211"/>
      <c r="AC37" s="5" t="s">
        <v>16</v>
      </c>
      <c r="AD37" s="318">
        <f t="shared" si="81"/>
        <v>50</v>
      </c>
      <c r="AE37" s="6"/>
      <c r="AF37" s="5">
        <v>50</v>
      </c>
      <c r="AG37" s="50"/>
      <c r="AH37" s="50"/>
      <c r="AI37" s="268">
        <v>3918.4</v>
      </c>
      <c r="AJ37" s="7">
        <v>4457.88</v>
      </c>
      <c r="AK37" s="54">
        <v>4492.4399999999996</v>
      </c>
      <c r="AL37" s="79">
        <v>4492.4399999999996</v>
      </c>
      <c r="AM37" s="7">
        <f t="shared" si="1"/>
        <v>89.848799999999997</v>
      </c>
      <c r="AN37" s="56"/>
      <c r="AO37" s="56"/>
      <c r="AP37" s="56"/>
      <c r="AQ37" s="56"/>
      <c r="AR37" s="56"/>
      <c r="AS37" s="7"/>
      <c r="AT37" s="73">
        <v>0</v>
      </c>
      <c r="AU37" s="75">
        <f t="shared" si="64"/>
        <v>0</v>
      </c>
      <c r="AV37" s="54">
        <v>4</v>
      </c>
      <c r="AW37" s="53" t="s">
        <v>561</v>
      </c>
      <c r="AX37" s="5" t="s">
        <v>118</v>
      </c>
      <c r="AY37" s="785">
        <v>8177215</v>
      </c>
      <c r="AZ37" s="50"/>
      <c r="BA37" s="190">
        <v>41591</v>
      </c>
      <c r="BB37" s="50"/>
      <c r="BC37" s="108" t="s">
        <v>12</v>
      </c>
      <c r="BD37" s="108" t="s">
        <v>244</v>
      </c>
      <c r="BE37" s="409" t="s">
        <v>165</v>
      </c>
      <c r="BF37" s="204">
        <v>41848</v>
      </c>
      <c r="BG37" s="96"/>
      <c r="BH37" s="96">
        <v>41962</v>
      </c>
      <c r="BI37" s="204">
        <v>42195</v>
      </c>
      <c r="BJ37" s="96"/>
      <c r="BK37" s="159">
        <v>42228</v>
      </c>
      <c r="BL37" s="202">
        <v>42250</v>
      </c>
      <c r="BM37" s="160">
        <v>42328</v>
      </c>
      <c r="BN37" s="160">
        <v>42264</v>
      </c>
      <c r="BO37" s="298">
        <v>42325</v>
      </c>
      <c r="BP37" s="297">
        <f t="shared" si="3"/>
        <v>43056</v>
      </c>
      <c r="BQ37" s="297">
        <f t="shared" si="4"/>
        <v>43421</v>
      </c>
      <c r="BR37" s="297"/>
      <c r="BS37" s="297" t="str">
        <f t="shared" si="66"/>
        <v>oui</v>
      </c>
      <c r="BT37" s="686">
        <f t="shared" si="82"/>
        <v>7</v>
      </c>
      <c r="BU37" s="686">
        <f t="shared" si="83"/>
        <v>163112.89964363858</v>
      </c>
      <c r="BV37" s="686">
        <f t="shared" si="84"/>
        <v>0</v>
      </c>
      <c r="BW37" s="160" t="s">
        <v>126</v>
      </c>
      <c r="BX37" s="32" t="s">
        <v>360</v>
      </c>
      <c r="BY37" s="97"/>
      <c r="BZ37" s="98">
        <v>42401</v>
      </c>
      <c r="CA37" s="98">
        <v>42410</v>
      </c>
      <c r="CB37" s="98">
        <v>42360</v>
      </c>
      <c r="CC37" s="155" t="s">
        <v>69</v>
      </c>
      <c r="CD37" s="306">
        <v>42333</v>
      </c>
      <c r="CE37" s="408" t="s">
        <v>363</v>
      </c>
      <c r="CF37" s="587">
        <v>8009024.4900000002</v>
      </c>
      <c r="CG37" s="588">
        <f>DATE(YEAR(CD37),MONTH(CD37)+18,DAY(CD37))</f>
        <v>42880</v>
      </c>
      <c r="CH37" s="408">
        <f t="shared" si="56"/>
        <v>43064</v>
      </c>
      <c r="CI37" s="306">
        <v>42636</v>
      </c>
      <c r="CJ37" s="251">
        <v>43157</v>
      </c>
      <c r="CK37" s="603">
        <f t="shared" si="79"/>
        <v>1.6666666666666667</v>
      </c>
      <c r="CL37" s="123"/>
      <c r="CM37" s="123"/>
      <c r="CN37" s="123"/>
      <c r="CO37" s="556" t="str">
        <f t="shared" si="85"/>
        <v>0</v>
      </c>
      <c r="CP37" s="123">
        <v>41676</v>
      </c>
      <c r="CQ37" s="123">
        <v>40946</v>
      </c>
      <c r="CR37" s="556">
        <f t="shared" si="86"/>
        <v>-730</v>
      </c>
      <c r="CS37" s="123"/>
      <c r="CT37" s="123"/>
      <c r="CU37" s="556" t="str">
        <f t="shared" si="87"/>
        <v>0</v>
      </c>
      <c r="CV37" s="123"/>
      <c r="CW37" s="123"/>
      <c r="CX37" s="556" t="str">
        <f t="shared" si="88"/>
        <v>0</v>
      </c>
      <c r="CY37" s="123"/>
      <c r="CZ37" s="123"/>
      <c r="DA37" s="556" t="str">
        <f t="shared" si="89"/>
        <v>0</v>
      </c>
      <c r="DB37" s="75"/>
      <c r="DC37" s="123"/>
      <c r="DD37" s="123"/>
      <c r="DE37" s="123"/>
      <c r="DF37" s="556" t="str">
        <f t="shared" si="90"/>
        <v>0</v>
      </c>
      <c r="DG37" s="123">
        <v>42349</v>
      </c>
      <c r="DH37" s="351">
        <v>42348</v>
      </c>
      <c r="DI37" s="347">
        <v>2015</v>
      </c>
      <c r="DJ37" s="448">
        <f t="shared" si="91"/>
        <v>16.666666666666668</v>
      </c>
      <c r="DK37" s="529">
        <f t="shared" si="92"/>
        <v>-1</v>
      </c>
      <c r="DL37" s="245">
        <v>24</v>
      </c>
      <c r="DM37" s="117">
        <f t="shared" si="93"/>
        <v>27</v>
      </c>
      <c r="DN37" s="123"/>
      <c r="DO37" s="123"/>
      <c r="DP37" s="529" t="str">
        <f t="shared" si="94"/>
        <v>0</v>
      </c>
      <c r="DQ37" s="531"/>
      <c r="DR37" s="530">
        <v>42606</v>
      </c>
      <c r="DS37" s="532" t="str">
        <f t="shared" si="95"/>
        <v>0</v>
      </c>
      <c r="DT37" s="531"/>
      <c r="DU37" s="766"/>
      <c r="DV37" s="529" t="str">
        <f t="shared" si="96"/>
        <v>0</v>
      </c>
      <c r="DW37" s="123"/>
      <c r="DX37" s="123">
        <v>42929</v>
      </c>
      <c r="DY37" s="529" t="str">
        <f t="shared" si="97"/>
        <v>0</v>
      </c>
      <c r="DZ37" s="123"/>
      <c r="EA37" s="123">
        <v>43034</v>
      </c>
      <c r="EB37" s="529" t="str">
        <f t="shared" si="98"/>
        <v>0</v>
      </c>
      <c r="EC37" s="123"/>
      <c r="ED37" s="123"/>
      <c r="EE37" s="529" t="str">
        <f t="shared" si="99"/>
        <v>0</v>
      </c>
      <c r="EF37" s="123"/>
      <c r="EG37" s="123">
        <v>43052</v>
      </c>
      <c r="EH37" s="529" t="str">
        <f t="shared" si="100"/>
        <v>0</v>
      </c>
      <c r="EI37" s="123"/>
      <c r="EJ37" s="123"/>
      <c r="EK37" s="123"/>
      <c r="EL37" s="608">
        <f t="shared" si="101"/>
        <v>43079</v>
      </c>
      <c r="EM37" s="353">
        <v>43189</v>
      </c>
      <c r="EN37" s="729">
        <f t="shared" si="102"/>
        <v>3.6666666666666665</v>
      </c>
      <c r="EO37" s="762">
        <f t="shared" si="69"/>
        <v>43366</v>
      </c>
      <c r="EP37" s="635">
        <v>43189</v>
      </c>
      <c r="EQ37" s="316">
        <v>43017</v>
      </c>
      <c r="ER37" s="316">
        <v>43189</v>
      </c>
      <c r="ES37" s="608"/>
      <c r="ET37" s="461">
        <f t="shared" si="103"/>
        <v>43110</v>
      </c>
      <c r="EU37" s="444">
        <v>43207</v>
      </c>
      <c r="EV37" s="445">
        <v>2018</v>
      </c>
      <c r="EW37" s="727">
        <f t="shared" si="104"/>
        <v>3.2333333333333334</v>
      </c>
      <c r="EX37" s="716">
        <f>279622.113674809/12</f>
        <v>23301.842806234083</v>
      </c>
      <c r="EY37" s="315">
        <f t="shared" si="105"/>
        <v>75342.625073490199</v>
      </c>
      <c r="EZ37" s="765" t="s">
        <v>668</v>
      </c>
      <c r="FA37" s="562">
        <v>119075</v>
      </c>
      <c r="FB37" s="710">
        <v>119606</v>
      </c>
      <c r="FC37" s="562"/>
      <c r="FD37" s="562"/>
      <c r="FE37" s="562">
        <v>0</v>
      </c>
      <c r="FF37" s="787">
        <f t="shared" si="80"/>
        <v>0</v>
      </c>
      <c r="FG37" s="560" t="s">
        <v>717</v>
      </c>
      <c r="FH37" s="682"/>
      <c r="FI37" s="662" t="s">
        <v>858</v>
      </c>
      <c r="FJ37" s="561" t="s">
        <v>718</v>
      </c>
      <c r="FK37" s="122"/>
      <c r="FL37" s="122"/>
      <c r="FM37" s="122"/>
      <c r="FN37" s="122"/>
      <c r="FO37" s="122"/>
      <c r="FP37" s="50"/>
      <c r="FQ37" s="279">
        <f t="shared" si="70"/>
        <v>43554</v>
      </c>
      <c r="FR37" s="697"/>
      <c r="FS37" s="50"/>
      <c r="FT37" s="50"/>
      <c r="FU37" s="50"/>
      <c r="FV37" s="50"/>
      <c r="FW37" s="50"/>
      <c r="FX37" s="50"/>
      <c r="FY37" s="50"/>
      <c r="FZ37" s="50"/>
      <c r="GA37" s="184"/>
      <c r="GB37" s="114">
        <v>43287</v>
      </c>
      <c r="GC37" s="50"/>
      <c r="GD37" s="50"/>
      <c r="GE37" s="50"/>
      <c r="GF37" s="109"/>
      <c r="GG37" s="113"/>
      <c r="GH37" s="8">
        <f>+GR37+GW37+HD37+HX37</f>
        <v>8981049.6050000004</v>
      </c>
      <c r="GI37" s="9">
        <f t="shared" ref="GI37:GI60" si="116">GS37+GX37+HE37+HX37+HF37+HI37</f>
        <v>8889855.6449999996</v>
      </c>
      <c r="GJ37" s="10">
        <f t="shared" si="31"/>
        <v>-91193.960000000894</v>
      </c>
      <c r="GK37" s="46">
        <f t="shared" si="106"/>
        <v>1994.1890865164605</v>
      </c>
      <c r="GL37" s="46">
        <f t="shared" si="107"/>
        <v>177797.11289999998</v>
      </c>
      <c r="GM37" s="8">
        <v>8046979</v>
      </c>
      <c r="GN37" s="9">
        <v>7435240.3190134894</v>
      </c>
      <c r="GO37" s="10">
        <f t="shared" si="108"/>
        <v>-611738.68098651059</v>
      </c>
      <c r="GP37" s="128">
        <f t="shared" si="115"/>
        <v>0.85393741685585856</v>
      </c>
      <c r="GQ37" s="129"/>
      <c r="GR37" s="8">
        <v>2663620</v>
      </c>
      <c r="GS37" s="9">
        <v>2572426.04</v>
      </c>
      <c r="GT37" s="64"/>
      <c r="GU37" s="19">
        <f t="shared" si="109"/>
        <v>51448.520799999998</v>
      </c>
      <c r="GV37" s="33">
        <f t="shared" si="37"/>
        <v>-91193.959999999963</v>
      </c>
      <c r="GW37" s="8">
        <f>GX37</f>
        <v>5272823.875</v>
      </c>
      <c r="GX37" s="9">
        <f>GY37+GZ37</f>
        <v>5272823.875</v>
      </c>
      <c r="GY37" s="11">
        <v>1076863.6000000001</v>
      </c>
      <c r="GZ37" s="11">
        <v>4195960.2750000004</v>
      </c>
      <c r="HA37" s="33">
        <f t="shared" si="39"/>
        <v>0</v>
      </c>
      <c r="HB37" s="640">
        <f t="shared" si="110"/>
        <v>105456.47749999999</v>
      </c>
      <c r="HC37" s="9"/>
      <c r="HD37" s="8">
        <v>925000</v>
      </c>
      <c r="HE37" s="9">
        <f>HD37</f>
        <v>925000</v>
      </c>
      <c r="HF37" s="64">
        <v>0</v>
      </c>
      <c r="HG37" s="36">
        <f t="shared" si="111"/>
        <v>0.10405118338679166</v>
      </c>
      <c r="HH37" s="302"/>
      <c r="HI37" s="9">
        <v>0</v>
      </c>
      <c r="HJ37" s="20">
        <f t="shared" si="67"/>
        <v>0</v>
      </c>
      <c r="HK37" s="43">
        <f t="shared" si="112"/>
        <v>18500</v>
      </c>
      <c r="HL37" s="78">
        <f t="shared" si="113"/>
        <v>69948.520799999998</v>
      </c>
      <c r="HM37" s="20">
        <f t="shared" si="44"/>
        <v>0</v>
      </c>
      <c r="HN37" s="44">
        <v>4.9400000000000004</v>
      </c>
      <c r="HO37" s="44">
        <v>4.93</v>
      </c>
      <c r="HP37" s="35"/>
      <c r="HQ37" s="35">
        <v>0</v>
      </c>
      <c r="HR37" s="19">
        <f t="shared" si="45"/>
        <v>69948.520799999998</v>
      </c>
      <c r="HS37" s="35"/>
      <c r="HT37" s="19">
        <f t="shared" si="46"/>
        <v>69948.520799999998</v>
      </c>
      <c r="HU37" s="47">
        <f t="shared" si="47"/>
        <v>0.39341764137273572</v>
      </c>
      <c r="HV37" s="35"/>
      <c r="HW37" s="35"/>
      <c r="HX37" s="9">
        <v>119605.73</v>
      </c>
      <c r="HY37" s="37">
        <f t="shared" si="114"/>
        <v>8889855.6449999996</v>
      </c>
      <c r="HZ37" s="276"/>
      <c r="IA37" s="276">
        <f t="shared" si="49"/>
        <v>0</v>
      </c>
      <c r="IB37" s="114"/>
      <c r="IC37" s="233"/>
      <c r="ID37" s="123"/>
      <c r="IE37" s="114"/>
      <c r="IF37" s="114"/>
      <c r="IG37" s="233"/>
      <c r="IH37" s="114"/>
      <c r="II37" s="233"/>
      <c r="IJ37" s="126"/>
      <c r="IK37" s="233"/>
      <c r="IL37" s="123"/>
      <c r="IM37" s="322"/>
      <c r="IN37" s="314"/>
      <c r="IO37" s="314"/>
      <c r="IP37" s="123"/>
      <c r="IQ37" s="233"/>
      <c r="IR37" s="123"/>
      <c r="IS37" s="233"/>
      <c r="IT37" s="115"/>
      <c r="IU37" s="115"/>
      <c r="IV37" s="299"/>
      <c r="IW37" s="299"/>
      <c r="IX37" s="268"/>
      <c r="IY37" s="268"/>
      <c r="IZ37" s="268"/>
      <c r="JA37" s="268"/>
      <c r="JB37" s="268"/>
      <c r="JC37" s="268"/>
      <c r="JD37" s="233"/>
      <c r="JE37" s="123"/>
      <c r="JF37" s="115"/>
      <c r="JG37" s="123"/>
      <c r="JH37" s="123"/>
      <c r="JI37" s="115"/>
    </row>
    <row r="38" spans="1:269" ht="22.5" customHeight="1">
      <c r="A38" s="80" t="s">
        <v>277</v>
      </c>
      <c r="B38" s="16" t="s">
        <v>40</v>
      </c>
      <c r="C38" s="16" t="s">
        <v>112</v>
      </c>
      <c r="D38" s="16">
        <v>2014</v>
      </c>
      <c r="E38" s="16" t="s">
        <v>161</v>
      </c>
      <c r="F38" s="16" t="s">
        <v>382</v>
      </c>
      <c r="G38" s="16" t="s">
        <v>178</v>
      </c>
      <c r="H38" s="5" t="s">
        <v>169</v>
      </c>
      <c r="I38" s="51" t="s">
        <v>118</v>
      </c>
      <c r="J38" s="51"/>
      <c r="K38" s="206"/>
      <c r="L38" s="161" t="s">
        <v>61</v>
      </c>
      <c r="M38" s="104" t="s">
        <v>136</v>
      </c>
      <c r="N38" s="105">
        <v>41407</v>
      </c>
      <c r="O38" s="212">
        <v>1492</v>
      </c>
      <c r="P38" s="212">
        <v>325000</v>
      </c>
      <c r="Q38" s="212">
        <v>85500</v>
      </c>
      <c r="R38" s="207">
        <f t="shared" si="72"/>
        <v>36111.111111111109</v>
      </c>
      <c r="S38" s="212">
        <f t="shared" si="73"/>
        <v>217.82841823056302</v>
      </c>
      <c r="T38" s="213">
        <f t="shared" si="74"/>
        <v>57.305630026809652</v>
      </c>
      <c r="U38" s="213">
        <f t="shared" si="75"/>
        <v>103.33949744370717</v>
      </c>
      <c r="V38" s="213">
        <f t="shared" si="76"/>
        <v>9500</v>
      </c>
      <c r="W38" s="207">
        <f t="shared" si="77"/>
        <v>165.77777777777777</v>
      </c>
      <c r="X38" s="214"/>
      <c r="Y38" s="215">
        <f t="shared" si="78"/>
        <v>0.55453753351206436</v>
      </c>
      <c r="Z38" s="214" t="s">
        <v>191</v>
      </c>
      <c r="AA38" s="416">
        <v>30</v>
      </c>
      <c r="AB38" s="417"/>
      <c r="AC38" s="16" t="s">
        <v>15</v>
      </c>
      <c r="AD38" s="318">
        <f t="shared" si="81"/>
        <v>9</v>
      </c>
      <c r="AE38" s="16">
        <v>9</v>
      </c>
      <c r="AF38" s="49"/>
      <c r="AG38" s="258"/>
      <c r="AH38" s="258"/>
      <c r="AI38" s="268"/>
      <c r="AJ38" s="420">
        <v>858.51</v>
      </c>
      <c r="AK38" s="55"/>
      <c r="AL38" s="421">
        <v>827.37</v>
      </c>
      <c r="AM38" s="7">
        <f t="shared" si="1"/>
        <v>91.93</v>
      </c>
      <c r="AN38" s="57">
        <v>0</v>
      </c>
      <c r="AO38" s="57">
        <v>0</v>
      </c>
      <c r="AP38" s="57">
        <v>0</v>
      </c>
      <c r="AQ38" s="76">
        <f>8/AD38</f>
        <v>0.88888888888888884</v>
      </c>
      <c r="AR38" s="76">
        <f>1/AD38</f>
        <v>0.1111111111111111</v>
      </c>
      <c r="AS38" s="420"/>
      <c r="AT38" s="74">
        <v>0</v>
      </c>
      <c r="AU38" s="76">
        <f t="shared" si="64"/>
        <v>0</v>
      </c>
      <c r="AV38" s="55">
        <v>2</v>
      </c>
      <c r="AW38" s="51" t="s">
        <v>560</v>
      </c>
      <c r="AX38" s="16" t="s">
        <v>119</v>
      </c>
      <c r="AY38" s="806"/>
      <c r="AZ38" s="51"/>
      <c r="BA38" s="190">
        <v>41591</v>
      </c>
      <c r="BB38" s="190">
        <v>41773</v>
      </c>
      <c r="BC38" s="110" t="s">
        <v>245</v>
      </c>
      <c r="BD38" s="108" t="s">
        <v>373</v>
      </c>
      <c r="BE38" s="424"/>
      <c r="BF38" s="204">
        <v>41800</v>
      </c>
      <c r="BG38" s="96"/>
      <c r="BH38" s="96">
        <v>41820</v>
      </c>
      <c r="BI38" s="204">
        <v>41963</v>
      </c>
      <c r="BJ38" s="96"/>
      <c r="BK38" s="159">
        <v>42054</v>
      </c>
      <c r="BL38" s="202">
        <v>42059</v>
      </c>
      <c r="BM38" s="160">
        <v>42147</v>
      </c>
      <c r="BN38" s="160">
        <v>42074</v>
      </c>
      <c r="BO38" s="298">
        <v>42146</v>
      </c>
      <c r="BP38" s="297">
        <f t="shared" si="3"/>
        <v>42877</v>
      </c>
      <c r="BQ38" s="297">
        <f t="shared" si="4"/>
        <v>43242</v>
      </c>
      <c r="BR38" s="297"/>
      <c r="BS38" s="297" t="str">
        <f t="shared" si="66"/>
        <v>oui</v>
      </c>
      <c r="BT38" s="686">
        <f t="shared" si="82"/>
        <v>0</v>
      </c>
      <c r="BU38" s="686">
        <f t="shared" si="83"/>
        <v>0</v>
      </c>
      <c r="BV38" s="686">
        <f t="shared" si="84"/>
        <v>0</v>
      </c>
      <c r="BW38" s="164" t="s">
        <v>126</v>
      </c>
      <c r="BX38" s="32" t="s">
        <v>278</v>
      </c>
      <c r="BY38" s="188" t="s">
        <v>328</v>
      </c>
      <c r="BZ38" s="98"/>
      <c r="CA38" s="98"/>
      <c r="CB38" s="98"/>
      <c r="CC38" s="155" t="s">
        <v>147</v>
      </c>
      <c r="CD38" s="306">
        <v>42478</v>
      </c>
      <c r="CE38" s="251">
        <v>42548</v>
      </c>
      <c r="CF38" s="156">
        <v>1734390.06</v>
      </c>
      <c r="CG38" s="306">
        <v>42522</v>
      </c>
      <c r="CH38" s="344">
        <f t="shared" si="56"/>
        <v>43208</v>
      </c>
      <c r="CI38" s="344">
        <v>42614</v>
      </c>
      <c r="CJ38" s="257">
        <v>43131</v>
      </c>
      <c r="CK38" s="603">
        <f t="shared" si="79"/>
        <v>2.8</v>
      </c>
      <c r="CL38" s="123">
        <v>41548</v>
      </c>
      <c r="CM38" s="123">
        <v>41549</v>
      </c>
      <c r="CN38" s="123">
        <v>41555</v>
      </c>
      <c r="CO38" s="556">
        <f t="shared" si="85"/>
        <v>6</v>
      </c>
      <c r="CP38" s="123">
        <v>41676</v>
      </c>
      <c r="CQ38" s="123">
        <v>41676</v>
      </c>
      <c r="CR38" s="556">
        <f t="shared" si="86"/>
        <v>0</v>
      </c>
      <c r="CS38" s="123">
        <v>41684</v>
      </c>
      <c r="CT38" s="123">
        <v>41688</v>
      </c>
      <c r="CU38" s="556">
        <f t="shared" si="87"/>
        <v>4</v>
      </c>
      <c r="CV38" s="123">
        <v>41773</v>
      </c>
      <c r="CW38" s="123">
        <v>41801</v>
      </c>
      <c r="CX38" s="556">
        <f t="shared" si="88"/>
        <v>28</v>
      </c>
      <c r="CY38" s="123">
        <v>41946</v>
      </c>
      <c r="CZ38" s="123">
        <v>41946</v>
      </c>
      <c r="DA38" s="556">
        <f t="shared" si="89"/>
        <v>0</v>
      </c>
      <c r="DB38" s="458"/>
      <c r="DC38" s="123">
        <v>42146</v>
      </c>
      <c r="DD38" s="123">
        <v>42158</v>
      </c>
      <c r="DE38" s="123">
        <v>42500</v>
      </c>
      <c r="DF38" s="556">
        <f t="shared" si="90"/>
        <v>342</v>
      </c>
      <c r="DG38" s="123">
        <v>42083</v>
      </c>
      <c r="DH38" s="351">
        <v>42500</v>
      </c>
      <c r="DI38" s="347">
        <v>2016</v>
      </c>
      <c r="DJ38" s="448">
        <f t="shared" si="91"/>
        <v>23.333333333333332</v>
      </c>
      <c r="DK38" s="529">
        <f t="shared" si="92"/>
        <v>417</v>
      </c>
      <c r="DL38" s="117">
        <v>13</v>
      </c>
      <c r="DM38" s="117">
        <f t="shared" si="93"/>
        <v>22</v>
      </c>
      <c r="DN38" s="123">
        <v>42552</v>
      </c>
      <c r="DO38" s="123">
        <v>42906</v>
      </c>
      <c r="DP38" s="529">
        <f t="shared" si="94"/>
        <v>354</v>
      </c>
      <c r="DQ38" s="531">
        <v>42615</v>
      </c>
      <c r="DR38" s="530">
        <v>42604</v>
      </c>
      <c r="DS38" s="532">
        <f t="shared" si="95"/>
        <v>-11</v>
      </c>
      <c r="DT38" s="531">
        <v>42705</v>
      </c>
      <c r="DU38" s="531">
        <v>42906</v>
      </c>
      <c r="DV38" s="529">
        <f t="shared" si="96"/>
        <v>201</v>
      </c>
      <c r="DW38" s="123">
        <v>42775</v>
      </c>
      <c r="DX38" s="123">
        <v>43035</v>
      </c>
      <c r="DY38" s="529">
        <f t="shared" si="97"/>
        <v>260</v>
      </c>
      <c r="DZ38" s="123">
        <v>42801</v>
      </c>
      <c r="EA38" s="123">
        <v>42979</v>
      </c>
      <c r="EB38" s="529">
        <f t="shared" si="98"/>
        <v>178</v>
      </c>
      <c r="EC38" s="123">
        <v>42818</v>
      </c>
      <c r="ED38" s="123">
        <v>43017</v>
      </c>
      <c r="EE38" s="529">
        <f t="shared" si="99"/>
        <v>199</v>
      </c>
      <c r="EF38" s="123">
        <v>42879</v>
      </c>
      <c r="EG38" s="123">
        <v>43149</v>
      </c>
      <c r="EH38" s="529">
        <f t="shared" si="100"/>
        <v>270</v>
      </c>
      <c r="EI38" s="123">
        <v>43059</v>
      </c>
      <c r="EJ38" s="123" t="s">
        <v>551</v>
      </c>
      <c r="EK38" s="123">
        <v>43069</v>
      </c>
      <c r="EL38" s="461">
        <f t="shared" si="101"/>
        <v>42896</v>
      </c>
      <c r="EM38" s="353">
        <v>43171</v>
      </c>
      <c r="EN38" s="729">
        <f t="shared" si="102"/>
        <v>9.1666666666666661</v>
      </c>
      <c r="EO38" s="461">
        <f t="shared" si="69"/>
        <v>43344</v>
      </c>
      <c r="EP38" s="635">
        <v>43206</v>
      </c>
      <c r="EQ38" s="116" t="s">
        <v>126</v>
      </c>
      <c r="ER38" s="116">
        <v>43205</v>
      </c>
      <c r="ES38" s="461"/>
      <c r="ET38" s="461">
        <f t="shared" si="103"/>
        <v>42926</v>
      </c>
      <c r="EU38" s="444">
        <v>43215</v>
      </c>
      <c r="EV38" s="347">
        <v>2018</v>
      </c>
      <c r="EW38" s="727">
        <f t="shared" si="104"/>
        <v>9.6333333333333329</v>
      </c>
      <c r="EX38" s="716">
        <f>64366.3774204337/12</f>
        <v>5363.8647850361422</v>
      </c>
      <c r="EY38" s="315">
        <f t="shared" si="105"/>
        <v>51671.897429181503</v>
      </c>
      <c r="EZ38" s="316">
        <v>43167</v>
      </c>
      <c r="FA38" s="562">
        <v>0</v>
      </c>
      <c r="FB38" s="710">
        <v>59150</v>
      </c>
      <c r="FC38" s="562">
        <f>3369*1.021</f>
        <v>3439.7489999999998</v>
      </c>
      <c r="FD38" s="787"/>
      <c r="FE38" s="562">
        <f>26909*1.021</f>
        <v>27474.088999999996</v>
      </c>
      <c r="FF38" s="787">
        <f t="shared" si="80"/>
        <v>1.4665972534353408E-2</v>
      </c>
      <c r="FG38" s="560" t="s">
        <v>719</v>
      </c>
      <c r="FH38" s="662" t="s">
        <v>859</v>
      </c>
      <c r="FI38" s="662" t="s">
        <v>872</v>
      </c>
      <c r="FJ38" s="561" t="s">
        <v>720</v>
      </c>
      <c r="FK38" s="124"/>
      <c r="FL38" s="124"/>
      <c r="FM38" s="124"/>
      <c r="FN38" s="316" t="s">
        <v>126</v>
      </c>
      <c r="FO38" s="124"/>
      <c r="FP38" s="51"/>
      <c r="FQ38" s="279">
        <f t="shared" si="70"/>
        <v>43536</v>
      </c>
      <c r="FR38" s="697"/>
      <c r="FS38" s="324" t="s">
        <v>126</v>
      </c>
      <c r="FT38" s="317">
        <v>43262</v>
      </c>
      <c r="FU38" s="51"/>
      <c r="FV38" s="51"/>
      <c r="FW38" s="51"/>
      <c r="FX38" s="51"/>
      <c r="FY38" s="51"/>
      <c r="FZ38" s="51"/>
      <c r="GA38" s="184"/>
      <c r="GB38" s="317">
        <v>43223</v>
      </c>
      <c r="GC38" s="51"/>
      <c r="GD38" s="51"/>
      <c r="GE38" s="51"/>
      <c r="GF38" s="109"/>
      <c r="GG38" s="113"/>
      <c r="GH38" s="18">
        <f>+GR38+GW38+HD38+HX38</f>
        <v>1603589</v>
      </c>
      <c r="GI38" s="431">
        <f t="shared" si="116"/>
        <v>1873322</v>
      </c>
      <c r="GJ38" s="42">
        <f t="shared" si="31"/>
        <v>269733</v>
      </c>
      <c r="GK38" s="46">
        <f t="shared" si="106"/>
        <v>2182.0619445318052</v>
      </c>
      <c r="GL38" s="46">
        <f t="shared" si="107"/>
        <v>208146.88888888888</v>
      </c>
      <c r="GM38" s="18">
        <v>1344547</v>
      </c>
      <c r="GN38" s="431">
        <v>1545657.7250008537</v>
      </c>
      <c r="GO38" s="42">
        <f t="shared" si="108"/>
        <v>201110.72500085365</v>
      </c>
      <c r="GP38" s="128">
        <f t="shared" si="115"/>
        <v>0.84241605939922304</v>
      </c>
      <c r="GQ38" s="129"/>
      <c r="GR38" s="18">
        <v>478312</v>
      </c>
      <c r="GS38" s="431">
        <v>614225</v>
      </c>
      <c r="GT38" s="790"/>
      <c r="GU38" s="19">
        <f t="shared" si="109"/>
        <v>68247.222222222219</v>
      </c>
      <c r="GV38" s="34">
        <f t="shared" si="37"/>
        <v>135913</v>
      </c>
      <c r="GW38" s="18">
        <v>980627</v>
      </c>
      <c r="GX38" s="431">
        <f>GY38+GZ38</f>
        <v>1199946</v>
      </c>
      <c r="GY38" s="433">
        <v>270994</v>
      </c>
      <c r="GZ38" s="433">
        <v>928952</v>
      </c>
      <c r="HA38" s="34">
        <f t="shared" si="39"/>
        <v>219319</v>
      </c>
      <c r="HB38" s="640">
        <f t="shared" si="110"/>
        <v>133327.33333333334</v>
      </c>
      <c r="HC38" s="431">
        <v>0</v>
      </c>
      <c r="HD38" s="18">
        <v>85500</v>
      </c>
      <c r="HE38" s="431">
        <v>1</v>
      </c>
      <c r="HF38" s="69">
        <v>0</v>
      </c>
      <c r="HG38" s="36">
        <f t="shared" si="111"/>
        <v>5.3381105864341529E-7</v>
      </c>
      <c r="HH38" s="302"/>
      <c r="HI38" s="431">
        <v>0</v>
      </c>
      <c r="HJ38" s="17">
        <f t="shared" si="67"/>
        <v>-85499</v>
      </c>
      <c r="HK38" s="43">
        <f t="shared" si="112"/>
        <v>0.1111111111111111</v>
      </c>
      <c r="HL38" s="78">
        <f t="shared" si="113"/>
        <v>68247.333333333328</v>
      </c>
      <c r="HM38" s="20">
        <f>HJ38/AD37</f>
        <v>-1709.98</v>
      </c>
      <c r="HN38" s="44">
        <v>5.7</v>
      </c>
      <c r="HO38" s="44">
        <v>5.59</v>
      </c>
      <c r="HP38" s="35">
        <v>0</v>
      </c>
      <c r="HQ38" s="35">
        <v>0</v>
      </c>
      <c r="HR38" s="19" t="e">
        <f>(GS38+HE38+HQ38)/#REF!</f>
        <v>#REF!</v>
      </c>
      <c r="HS38" s="35"/>
      <c r="HT38" s="19" t="e">
        <f>(GS38+HE38+HQ38+HS38)/#REF!</f>
        <v>#REF!</v>
      </c>
      <c r="HU38" s="47">
        <f t="shared" si="47"/>
        <v>0.3278806313063104</v>
      </c>
      <c r="HV38" s="35"/>
      <c r="HW38" s="35"/>
      <c r="HX38" s="9">
        <v>59150</v>
      </c>
      <c r="HY38" s="37">
        <f t="shared" si="114"/>
        <v>1873322</v>
      </c>
      <c r="HZ38" s="276">
        <v>91876</v>
      </c>
      <c r="IA38" s="276">
        <f>IC38+IG38+IK38+IM38+IU38+IW38+JC38+JG38</f>
        <v>86406</v>
      </c>
      <c r="IB38" s="114">
        <v>41324</v>
      </c>
      <c r="IC38" s="233">
        <v>7458</v>
      </c>
      <c r="ID38" s="123"/>
      <c r="IE38" s="114"/>
      <c r="IF38" s="114">
        <v>41681</v>
      </c>
      <c r="IG38" s="233">
        <v>5456</v>
      </c>
      <c r="IH38" s="114"/>
      <c r="II38" s="233"/>
      <c r="IJ38" s="114">
        <v>41773</v>
      </c>
      <c r="IK38" s="233">
        <v>17627</v>
      </c>
      <c r="IL38" s="123">
        <v>41946</v>
      </c>
      <c r="IM38" s="322">
        <v>13089</v>
      </c>
      <c r="IN38" s="314"/>
      <c r="IO38" s="314"/>
      <c r="IP38" s="123" t="s">
        <v>126</v>
      </c>
      <c r="IQ38" s="233"/>
      <c r="IR38" s="123" t="s">
        <v>126</v>
      </c>
      <c r="IS38" s="233"/>
      <c r="IT38" s="123">
        <v>42594</v>
      </c>
      <c r="IU38" s="233">
        <v>17699</v>
      </c>
      <c r="IV38" s="123">
        <v>42712</v>
      </c>
      <c r="IW38" s="233">
        <v>5451</v>
      </c>
      <c r="IX38" s="238">
        <v>42985</v>
      </c>
      <c r="IY38" s="290" t="s">
        <v>551</v>
      </c>
      <c r="IZ38" s="238">
        <v>42985</v>
      </c>
      <c r="JA38" s="290"/>
      <c r="JB38" s="238">
        <v>42985</v>
      </c>
      <c r="JC38" s="631">
        <v>15909</v>
      </c>
      <c r="JD38" s="238">
        <v>43167</v>
      </c>
      <c r="JE38" s="123"/>
      <c r="JF38" s="114">
        <v>43167</v>
      </c>
      <c r="JG38" s="631">
        <v>3717</v>
      </c>
      <c r="JH38" s="123"/>
      <c r="JI38" s="115"/>
    </row>
    <row r="39" spans="1:269" ht="15" customHeight="1">
      <c r="A39" s="80" t="s">
        <v>299</v>
      </c>
      <c r="B39" s="5" t="s">
        <v>40</v>
      </c>
      <c r="C39" s="5" t="s">
        <v>112</v>
      </c>
      <c r="D39" s="5">
        <v>2014</v>
      </c>
      <c r="E39" s="5" t="s">
        <v>158</v>
      </c>
      <c r="F39" s="5" t="s">
        <v>30</v>
      </c>
      <c r="G39" s="5" t="s">
        <v>471</v>
      </c>
      <c r="H39" s="16" t="s">
        <v>170</v>
      </c>
      <c r="I39" s="50"/>
      <c r="J39" s="50"/>
      <c r="K39" s="256" t="s">
        <v>380</v>
      </c>
      <c r="L39" s="161" t="s">
        <v>61</v>
      </c>
      <c r="M39" s="104" t="s">
        <v>136</v>
      </c>
      <c r="N39" s="105"/>
      <c r="O39" s="213">
        <v>2529</v>
      </c>
      <c r="P39" s="213">
        <f>Q39</f>
        <v>217810</v>
      </c>
      <c r="Q39" s="213">
        <v>217810</v>
      </c>
      <c r="R39" s="207">
        <f t="shared" si="72"/>
        <v>7260.333333333333</v>
      </c>
      <c r="S39" s="213">
        <f t="shared" si="73"/>
        <v>86.124950573349153</v>
      </c>
      <c r="T39" s="213">
        <f t="shared" si="74"/>
        <v>86.124950573349153</v>
      </c>
      <c r="U39" s="213">
        <f t="shared" si="75"/>
        <v>84.317900278724068</v>
      </c>
      <c r="V39" s="213">
        <f t="shared" si="76"/>
        <v>7260.333333333333</v>
      </c>
      <c r="W39" s="207">
        <f t="shared" si="77"/>
        <v>84.3</v>
      </c>
      <c r="X39" s="217">
        <f>523.3+554</f>
        <v>1077.3</v>
      </c>
      <c r="Y39" s="218">
        <f t="shared" si="78"/>
        <v>1.0214313958086199</v>
      </c>
      <c r="Z39" s="217"/>
      <c r="AA39" s="210">
        <v>110</v>
      </c>
      <c r="AB39" s="211"/>
      <c r="AC39" s="5" t="s">
        <v>16</v>
      </c>
      <c r="AD39" s="318">
        <f t="shared" si="81"/>
        <v>30</v>
      </c>
      <c r="AE39" s="6"/>
      <c r="AF39" s="5">
        <v>30</v>
      </c>
      <c r="AG39" s="50"/>
      <c r="AH39" s="50"/>
      <c r="AI39" s="268"/>
      <c r="AJ39" s="7">
        <v>2546.5500000000002</v>
      </c>
      <c r="AK39" s="54"/>
      <c r="AL39" s="79">
        <v>2583.1999999999998</v>
      </c>
      <c r="AM39" s="7">
        <f t="shared" si="1"/>
        <v>86.106666666666655</v>
      </c>
      <c r="AN39" s="75">
        <f>2/AD39</f>
        <v>6.6666666666666666E-2</v>
      </c>
      <c r="AO39" s="75">
        <f>12/AD39</f>
        <v>0.4</v>
      </c>
      <c r="AP39" s="75">
        <f>12/AD39</f>
        <v>0.4</v>
      </c>
      <c r="AQ39" s="75">
        <f>3/AD39</f>
        <v>0.1</v>
      </c>
      <c r="AR39" s="75">
        <f>1/AD39</f>
        <v>3.3333333333333333E-2</v>
      </c>
      <c r="AS39" s="7"/>
      <c r="AT39" s="73">
        <v>0</v>
      </c>
      <c r="AU39" s="75">
        <f t="shared" si="64"/>
        <v>0</v>
      </c>
      <c r="AV39" s="54">
        <v>4</v>
      </c>
      <c r="AW39" s="53" t="s">
        <v>561</v>
      </c>
      <c r="AX39" s="5"/>
      <c r="AY39" s="785"/>
      <c r="AZ39" s="50"/>
      <c r="BA39" s="184">
        <v>41667</v>
      </c>
      <c r="BB39" s="50"/>
      <c r="BC39" s="110" t="s">
        <v>11</v>
      </c>
      <c r="BD39" s="108" t="s">
        <v>237</v>
      </c>
      <c r="BE39" s="31"/>
      <c r="BF39" s="204">
        <v>41890</v>
      </c>
      <c r="BG39" s="96"/>
      <c r="BH39" s="96" t="s">
        <v>126</v>
      </c>
      <c r="BI39" s="204">
        <v>42256</v>
      </c>
      <c r="BJ39" s="96"/>
      <c r="BK39" s="159">
        <v>42233</v>
      </c>
      <c r="BL39" s="202">
        <v>42262</v>
      </c>
      <c r="BM39" s="160">
        <v>42353</v>
      </c>
      <c r="BN39" s="160">
        <v>42269</v>
      </c>
      <c r="BO39" s="298">
        <f t="shared" ref="BO39:BO49" si="117">BL39</f>
        <v>42262</v>
      </c>
      <c r="BP39" s="297">
        <f t="shared" si="3"/>
        <v>42993</v>
      </c>
      <c r="BQ39" s="297">
        <f t="shared" si="4"/>
        <v>43358</v>
      </c>
      <c r="BR39" s="297"/>
      <c r="BS39" s="297" t="str">
        <f t="shared" si="66"/>
        <v>oui</v>
      </c>
      <c r="BT39" s="686">
        <f t="shared" si="82"/>
        <v>0</v>
      </c>
      <c r="BU39" s="686">
        <f t="shared" si="83"/>
        <v>0</v>
      </c>
      <c r="BV39" s="686">
        <f t="shared" si="84"/>
        <v>0</v>
      </c>
      <c r="BW39" s="160" t="s">
        <v>126</v>
      </c>
      <c r="BX39" s="32" t="s">
        <v>393</v>
      </c>
      <c r="BY39" s="188" t="s">
        <v>392</v>
      </c>
      <c r="BZ39" s="98" t="s">
        <v>346</v>
      </c>
      <c r="CA39" s="98">
        <v>42410</v>
      </c>
      <c r="CB39" s="98"/>
      <c r="CC39" s="155" t="s">
        <v>65</v>
      </c>
      <c r="CD39" s="306">
        <v>42725</v>
      </c>
      <c r="CE39" s="251" t="s">
        <v>552</v>
      </c>
      <c r="CF39" s="156">
        <v>4558993.83</v>
      </c>
      <c r="CG39" s="306">
        <f>DATE(YEAR(CD39),MONTH(CD39)+6,DAY(CD39))</f>
        <v>42907</v>
      </c>
      <c r="CH39" s="408">
        <v>42908</v>
      </c>
      <c r="CI39" s="344">
        <v>42907</v>
      </c>
      <c r="CJ39" s="257">
        <f>DATE(YEAR(CD39),MONTH(CD39)+24,DAY(CD39))</f>
        <v>43455</v>
      </c>
      <c r="CK39" s="603">
        <f t="shared" si="79"/>
        <v>-4.0666666666666664</v>
      </c>
      <c r="CL39" s="123">
        <v>41543</v>
      </c>
      <c r="CM39" s="123">
        <v>41544</v>
      </c>
      <c r="CN39" s="123">
        <v>41554</v>
      </c>
      <c r="CO39" s="529">
        <f t="shared" si="85"/>
        <v>10</v>
      </c>
      <c r="CP39" s="123">
        <v>41676</v>
      </c>
      <c r="CQ39" s="123">
        <v>41625</v>
      </c>
      <c r="CR39" s="529">
        <f t="shared" si="86"/>
        <v>-51</v>
      </c>
      <c r="CS39" s="123">
        <v>41708</v>
      </c>
      <c r="CT39" s="123">
        <v>41708</v>
      </c>
      <c r="CU39" s="529">
        <f t="shared" si="87"/>
        <v>0</v>
      </c>
      <c r="CV39" s="123">
        <v>41835</v>
      </c>
      <c r="CW39" s="123">
        <v>41835</v>
      </c>
      <c r="CX39" s="529">
        <f t="shared" si="88"/>
        <v>0</v>
      </c>
      <c r="CY39" s="123">
        <v>41892</v>
      </c>
      <c r="CZ39" s="123">
        <v>41892</v>
      </c>
      <c r="DA39" s="529">
        <f t="shared" si="89"/>
        <v>0</v>
      </c>
      <c r="DB39" s="75"/>
      <c r="DC39" s="123">
        <v>42055</v>
      </c>
      <c r="DD39" s="123">
        <v>42368</v>
      </c>
      <c r="DE39" s="123">
        <v>42772</v>
      </c>
      <c r="DF39" s="529">
        <f t="shared" si="90"/>
        <v>404</v>
      </c>
      <c r="DG39" s="123">
        <v>42787</v>
      </c>
      <c r="DH39" s="351">
        <v>42772</v>
      </c>
      <c r="DI39" s="347">
        <v>2017</v>
      </c>
      <c r="DJ39" s="448">
        <f t="shared" si="91"/>
        <v>29.4</v>
      </c>
      <c r="DK39" s="529">
        <f t="shared" si="92"/>
        <v>-15</v>
      </c>
      <c r="DL39" s="242">
        <v>16</v>
      </c>
      <c r="DM39" s="117">
        <f t="shared" si="93"/>
        <v>17</v>
      </c>
      <c r="DN39" s="123">
        <v>42839</v>
      </c>
      <c r="DO39" s="123">
        <v>42839</v>
      </c>
      <c r="DP39" s="529">
        <f t="shared" si="94"/>
        <v>0</v>
      </c>
      <c r="DQ39" s="531">
        <v>42908</v>
      </c>
      <c r="DR39" s="530">
        <v>42907</v>
      </c>
      <c r="DS39" s="532">
        <f t="shared" si="95"/>
        <v>-1</v>
      </c>
      <c r="DT39" s="531">
        <v>43144</v>
      </c>
      <c r="DU39" s="531">
        <v>43088</v>
      </c>
      <c r="DV39" s="529">
        <f t="shared" si="96"/>
        <v>-56</v>
      </c>
      <c r="DW39" s="123">
        <v>43189</v>
      </c>
      <c r="DX39" s="123">
        <v>43189</v>
      </c>
      <c r="DY39" s="529">
        <f t="shared" si="97"/>
        <v>0</v>
      </c>
      <c r="DZ39" s="123">
        <v>43147</v>
      </c>
      <c r="EA39" s="123">
        <v>43209</v>
      </c>
      <c r="EB39" s="529">
        <f t="shared" si="98"/>
        <v>62</v>
      </c>
      <c r="EC39" s="539">
        <v>43168</v>
      </c>
      <c r="ED39" s="539">
        <f ca="1">IF(EC39&lt;TODAY(),TODAY(),EC39)</f>
        <v>43332</v>
      </c>
      <c r="EE39" s="535">
        <f t="shared" ca="1" si="99"/>
        <v>164</v>
      </c>
      <c r="EF39" s="539">
        <v>43238</v>
      </c>
      <c r="EG39" s="539">
        <f ca="1">IF(EF39&lt;TODAY(),TODAY(),EF39)</f>
        <v>43332</v>
      </c>
      <c r="EH39" s="535">
        <f t="shared" ca="1" si="100"/>
        <v>94</v>
      </c>
      <c r="EI39" s="539">
        <v>43224</v>
      </c>
      <c r="EJ39" s="539">
        <v>43224</v>
      </c>
      <c r="EK39" s="539">
        <v>43160</v>
      </c>
      <c r="EL39" s="758">
        <f t="shared" si="101"/>
        <v>43257</v>
      </c>
      <c r="EM39" s="759">
        <v>43305</v>
      </c>
      <c r="EN39" s="755">
        <f t="shared" si="102"/>
        <v>1.6</v>
      </c>
      <c r="EO39" s="467">
        <f t="shared" si="69"/>
        <v>43637</v>
      </c>
      <c r="EP39" s="186"/>
      <c r="EQ39" s="236">
        <v>42702</v>
      </c>
      <c r="ER39" s="186">
        <f>DATE(YEAR(EM39),MONTH(EM39),DAY(EM39)+15)</f>
        <v>43320</v>
      </c>
      <c r="ES39" s="467" t="s">
        <v>869</v>
      </c>
      <c r="ET39" s="758">
        <f t="shared" si="103"/>
        <v>43287</v>
      </c>
      <c r="EU39" s="759">
        <v>43333</v>
      </c>
      <c r="EV39" s="576"/>
      <c r="EW39" s="752">
        <f t="shared" si="104"/>
        <v>1.5333333333333334</v>
      </c>
      <c r="EX39" s="718">
        <f>154560.988069324/12</f>
        <v>12880.082339110333</v>
      </c>
      <c r="EY39" s="234">
        <f t="shared" si="105"/>
        <v>19749.459586635847</v>
      </c>
      <c r="EZ39" s="118">
        <v>43278</v>
      </c>
      <c r="FA39" s="562">
        <v>0</v>
      </c>
      <c r="FB39" s="562">
        <v>0</v>
      </c>
      <c r="FC39" s="562">
        <f>99194.95*1.021</f>
        <v>101278.04394999999</v>
      </c>
      <c r="FD39" s="562"/>
      <c r="FE39" s="562">
        <v>84397</v>
      </c>
      <c r="FF39" s="787">
        <f t="shared" si="80"/>
        <v>1.7698085099779645E-2</v>
      </c>
      <c r="FG39" s="560" t="s">
        <v>716</v>
      </c>
      <c r="FH39" s="682"/>
      <c r="FI39" s="662" t="s">
        <v>851</v>
      </c>
      <c r="FJ39" s="662" t="s">
        <v>805</v>
      </c>
      <c r="FK39" s="122"/>
      <c r="FL39" s="122"/>
      <c r="FM39" s="122"/>
      <c r="FN39" s="122"/>
      <c r="FO39" s="122"/>
      <c r="FP39" s="50"/>
      <c r="FQ39" s="279">
        <f t="shared" si="70"/>
        <v>43670</v>
      </c>
      <c r="FR39" s="279"/>
      <c r="FS39" s="50"/>
      <c r="FT39" s="50"/>
      <c r="FU39" s="50"/>
      <c r="FV39" s="50"/>
      <c r="FW39" s="50"/>
      <c r="FX39" s="50"/>
      <c r="FY39" s="50"/>
      <c r="FZ39" s="50"/>
      <c r="GA39" s="50"/>
      <c r="GB39" s="50"/>
      <c r="GC39" s="50"/>
      <c r="GD39" s="50"/>
      <c r="GE39" s="50"/>
      <c r="GF39" s="109"/>
      <c r="GG39" s="113"/>
      <c r="GH39" s="8">
        <f>+GR39+GW39+HD39+HX39</f>
        <v>4943575.0199999996</v>
      </c>
      <c r="GI39" s="9">
        <f t="shared" si="116"/>
        <v>4768708</v>
      </c>
      <c r="GJ39" s="10">
        <f t="shared" si="31"/>
        <v>-174867.01999999955</v>
      </c>
      <c r="GK39" s="46">
        <f t="shared" si="106"/>
        <v>1872.6151067130038</v>
      </c>
      <c r="GL39" s="46">
        <f t="shared" si="107"/>
        <v>158956.93333333332</v>
      </c>
      <c r="GM39" s="8">
        <v>4386257</v>
      </c>
      <c r="GN39" s="9">
        <v>3720168</v>
      </c>
      <c r="GO39" s="10">
        <f t="shared" si="108"/>
        <v>-666089</v>
      </c>
      <c r="GP39" s="128">
        <f t="shared" si="115"/>
        <v>0.7965032725845238</v>
      </c>
      <c r="GQ39" s="129"/>
      <c r="GR39" s="8">
        <v>1393063.02</v>
      </c>
      <c r="GS39" s="650">
        <v>1462622</v>
      </c>
      <c r="GT39" s="654"/>
      <c r="GU39" s="652">
        <f t="shared" si="109"/>
        <v>48754.066666666666</v>
      </c>
      <c r="GV39" s="33">
        <f t="shared" si="37"/>
        <v>69558.979999999981</v>
      </c>
      <c r="GW39" s="8">
        <v>2950512</v>
      </c>
      <c r="GX39" s="9">
        <f>+GY39+GZ39</f>
        <v>2706086</v>
      </c>
      <c r="GY39" s="11">
        <v>461009</v>
      </c>
      <c r="GZ39" s="11">
        <v>2245077</v>
      </c>
      <c r="HA39" s="33">
        <f t="shared" si="39"/>
        <v>-244426</v>
      </c>
      <c r="HB39" s="640">
        <f t="shared" si="110"/>
        <v>90202.866666666669</v>
      </c>
      <c r="HC39" s="9"/>
      <c r="HD39" s="8">
        <v>600000</v>
      </c>
      <c r="HE39" s="771">
        <v>600000</v>
      </c>
      <c r="HF39" s="68">
        <v>0</v>
      </c>
      <c r="HG39" s="36">
        <f t="shared" si="111"/>
        <v>0.12582024313503784</v>
      </c>
      <c r="HH39" s="302"/>
      <c r="HI39" s="9">
        <v>0</v>
      </c>
      <c r="HJ39" s="20">
        <f t="shared" si="67"/>
        <v>0</v>
      </c>
      <c r="HK39" s="43">
        <f t="shared" si="112"/>
        <v>20000</v>
      </c>
      <c r="HL39" s="78">
        <f t="shared" si="113"/>
        <v>68754.066666666666</v>
      </c>
      <c r="HM39" s="17">
        <f t="shared" ref="HM39:HM44" si="118">HJ39/AD39</f>
        <v>0</v>
      </c>
      <c r="HN39" s="45">
        <v>6.29</v>
      </c>
      <c r="HO39" s="45">
        <v>6.16</v>
      </c>
      <c r="HP39" s="434">
        <v>0</v>
      </c>
      <c r="HQ39" s="434">
        <v>0</v>
      </c>
      <c r="HR39" s="43">
        <f>(GS39+HE39+HQ39)/AD39</f>
        <v>68754.066666666666</v>
      </c>
      <c r="HS39" s="434">
        <v>0</v>
      </c>
      <c r="HT39" s="43">
        <f>(GS39+HE39+HQ39+HS39)/AD39</f>
        <v>68754.066666666666</v>
      </c>
      <c r="HU39" s="47">
        <f t="shared" si="47"/>
        <v>0.43253266922613004</v>
      </c>
      <c r="HV39" s="434">
        <v>0</v>
      </c>
      <c r="HW39" s="434"/>
      <c r="HX39" s="431">
        <f t="shared" ref="HX39:HX47" si="119">FB39</f>
        <v>0</v>
      </c>
      <c r="HY39" s="37">
        <f t="shared" si="114"/>
        <v>4768708</v>
      </c>
      <c r="HZ39" s="276">
        <v>231904</v>
      </c>
      <c r="IA39" s="276">
        <f t="shared" ref="IA39:IA49" si="120">IC39+IE39+IG39+II39+IK39+IM39+IO39+IQ39+IS39+IU39+IW39+IY39+JA39+JC39+JE39+JG39+JI39</f>
        <v>215671</v>
      </c>
      <c r="IB39" s="114">
        <v>41627</v>
      </c>
      <c r="IC39" s="233">
        <v>47620</v>
      </c>
      <c r="ID39" s="123"/>
      <c r="IE39" s="114"/>
      <c r="IF39" s="114">
        <v>38045</v>
      </c>
      <c r="IG39" s="233">
        <v>12520</v>
      </c>
      <c r="IH39" s="114"/>
      <c r="II39" s="233"/>
      <c r="IJ39" s="126">
        <v>41820</v>
      </c>
      <c r="IK39" s="233">
        <v>24983</v>
      </c>
      <c r="IL39" s="123">
        <v>41990</v>
      </c>
      <c r="IM39" s="322">
        <v>36513</v>
      </c>
      <c r="IN39" s="314"/>
      <c r="IO39" s="314"/>
      <c r="IP39" s="123">
        <v>42727</v>
      </c>
      <c r="IQ39" s="233"/>
      <c r="IR39" s="123">
        <v>42727</v>
      </c>
      <c r="IS39" s="233">
        <v>28342</v>
      </c>
      <c r="IT39" s="114">
        <v>42907</v>
      </c>
      <c r="IU39" s="233">
        <v>11537</v>
      </c>
      <c r="IV39" s="114">
        <v>42971</v>
      </c>
      <c r="IW39" s="233">
        <v>11375</v>
      </c>
      <c r="IX39" s="114">
        <v>43160</v>
      </c>
      <c r="IY39" s="115">
        <v>12633</v>
      </c>
      <c r="IZ39" s="114">
        <v>43209</v>
      </c>
      <c r="JA39" s="115">
        <v>11595</v>
      </c>
      <c r="JB39" s="114">
        <v>43216</v>
      </c>
      <c r="JC39" s="115">
        <v>11596</v>
      </c>
      <c r="JD39" s="114">
        <v>43290</v>
      </c>
      <c r="JE39" s="115">
        <v>6957</v>
      </c>
      <c r="JF39" s="115"/>
      <c r="JG39" s="123"/>
      <c r="JH39" s="123"/>
      <c r="JI39" s="115"/>
    </row>
    <row r="40" spans="1:269" ht="41.25" customHeight="1">
      <c r="A40" s="80" t="s">
        <v>27</v>
      </c>
      <c r="B40" s="5" t="s">
        <v>28</v>
      </c>
      <c r="C40" s="5" t="s">
        <v>110</v>
      </c>
      <c r="D40" s="5">
        <v>2014</v>
      </c>
      <c r="E40" s="5" t="s">
        <v>29</v>
      </c>
      <c r="F40" s="5" t="s">
        <v>30</v>
      </c>
      <c r="G40" s="5" t="s">
        <v>471</v>
      </c>
      <c r="H40" s="5" t="s">
        <v>170</v>
      </c>
      <c r="I40" s="50" t="s">
        <v>118</v>
      </c>
      <c r="J40" s="50"/>
      <c r="K40" s="256" t="s">
        <v>648</v>
      </c>
      <c r="L40" s="161" t="s">
        <v>64</v>
      </c>
      <c r="M40" s="104" t="s">
        <v>65</v>
      </c>
      <c r="N40" s="105"/>
      <c r="O40" s="213">
        <f>5311+1709</f>
        <v>7020</v>
      </c>
      <c r="P40" s="213">
        <v>577000</v>
      </c>
      <c r="Q40" s="213">
        <v>173455</v>
      </c>
      <c r="R40" s="207">
        <f>P40/21</f>
        <v>27476.190476190477</v>
      </c>
      <c r="S40" s="213">
        <f t="shared" si="73"/>
        <v>82.193732193732188</v>
      </c>
      <c r="T40" s="213">
        <f t="shared" si="74"/>
        <v>24.708689458689459</v>
      </c>
      <c r="U40" s="213">
        <f t="shared" si="75"/>
        <v>113.95918742773048</v>
      </c>
      <c r="V40" s="213">
        <f t="shared" si="76"/>
        <v>8259.7619047619046</v>
      </c>
      <c r="W40" s="207">
        <f t="shared" si="77"/>
        <v>334.28571428571428</v>
      </c>
      <c r="X40" s="217"/>
      <c r="Y40" s="218">
        <f t="shared" si="78"/>
        <v>0.21682051282051282</v>
      </c>
      <c r="Z40" s="217" t="s">
        <v>205</v>
      </c>
      <c r="AA40" s="210">
        <v>40</v>
      </c>
      <c r="AB40" s="211"/>
      <c r="AC40" s="5" t="s">
        <v>16</v>
      </c>
      <c r="AD40" s="318">
        <f t="shared" si="81"/>
        <v>21</v>
      </c>
      <c r="AE40" s="6"/>
      <c r="AF40" s="5">
        <f>21*1</f>
        <v>21</v>
      </c>
      <c r="AG40" s="50"/>
      <c r="AH40" s="50"/>
      <c r="AI40" s="268"/>
      <c r="AJ40" s="7">
        <v>1508.31</v>
      </c>
      <c r="AK40" s="54"/>
      <c r="AL40" s="79">
        <v>1522.08</v>
      </c>
      <c r="AM40" s="7">
        <f t="shared" si="1"/>
        <v>72.47999999999999</v>
      </c>
      <c r="AN40" s="56">
        <v>0</v>
      </c>
      <c r="AO40" s="56">
        <v>7</v>
      </c>
      <c r="AP40" s="56">
        <v>8</v>
      </c>
      <c r="AQ40" s="56">
        <v>5</v>
      </c>
      <c r="AR40" s="56">
        <v>1</v>
      </c>
      <c r="AS40" s="7"/>
      <c r="AT40" s="73"/>
      <c r="AU40" s="75">
        <f t="shared" si="64"/>
        <v>0</v>
      </c>
      <c r="AV40" s="54">
        <v>1</v>
      </c>
      <c r="AW40" s="51" t="s">
        <v>560</v>
      </c>
      <c r="AX40" s="5" t="s">
        <v>119</v>
      </c>
      <c r="AY40" s="785"/>
      <c r="AZ40" s="50"/>
      <c r="BA40" s="184">
        <v>41438</v>
      </c>
      <c r="BB40" s="184">
        <v>40963</v>
      </c>
      <c r="BC40" s="110"/>
      <c r="BD40" s="108"/>
      <c r="BE40" s="409" t="s">
        <v>165</v>
      </c>
      <c r="BF40" s="204">
        <v>41848</v>
      </c>
      <c r="BG40" s="96">
        <v>43010</v>
      </c>
      <c r="BH40" s="192" t="s">
        <v>381</v>
      </c>
      <c r="BI40" s="205" t="s">
        <v>394</v>
      </c>
      <c r="BJ40" s="96">
        <v>42510</v>
      </c>
      <c r="BK40" s="425">
        <v>42527</v>
      </c>
      <c r="BL40" s="428">
        <v>42594</v>
      </c>
      <c r="BM40" s="164">
        <v>42686</v>
      </c>
      <c r="BN40" s="164">
        <v>42611</v>
      </c>
      <c r="BO40" s="298">
        <f t="shared" si="117"/>
        <v>42594</v>
      </c>
      <c r="BP40" s="297">
        <f t="shared" si="3"/>
        <v>43324</v>
      </c>
      <c r="BQ40" s="297">
        <f t="shared" si="4"/>
        <v>43689</v>
      </c>
      <c r="BR40" s="297"/>
      <c r="BS40" s="297" t="str">
        <f t="shared" si="66"/>
        <v>oui</v>
      </c>
      <c r="BT40" s="686">
        <f t="shared" si="82"/>
        <v>6</v>
      </c>
      <c r="BU40" s="686">
        <f t="shared" si="83"/>
        <v>50249.949131693997</v>
      </c>
      <c r="BV40" s="686">
        <f t="shared" si="84"/>
        <v>0</v>
      </c>
      <c r="BW40" s="160">
        <v>42600</v>
      </c>
      <c r="BX40" s="32" t="s">
        <v>589</v>
      </c>
      <c r="BY40" s="358">
        <v>42747</v>
      </c>
      <c r="BZ40" s="98"/>
      <c r="CA40" s="380">
        <v>42915</v>
      </c>
      <c r="CB40" s="380">
        <v>42746</v>
      </c>
      <c r="CC40" s="155" t="s">
        <v>65</v>
      </c>
      <c r="CD40" s="776"/>
      <c r="CE40" s="251"/>
      <c r="CF40" s="156"/>
      <c r="CG40" s="162"/>
      <c r="CH40" s="251"/>
      <c r="CI40" s="251"/>
      <c r="CJ40" s="251" t="s">
        <v>165</v>
      </c>
      <c r="CK40" s="604"/>
      <c r="CL40" s="123">
        <v>40798</v>
      </c>
      <c r="CM40" s="123">
        <v>40799</v>
      </c>
      <c r="CN40" s="123">
        <v>40801</v>
      </c>
      <c r="CO40" s="556">
        <f t="shared" si="85"/>
        <v>2</v>
      </c>
      <c r="CP40" s="123">
        <v>41676</v>
      </c>
      <c r="CQ40" s="123">
        <v>41676</v>
      </c>
      <c r="CR40" s="556">
        <f t="shared" si="86"/>
        <v>0</v>
      </c>
      <c r="CS40" s="123">
        <v>40918</v>
      </c>
      <c r="CT40" s="123">
        <v>40952</v>
      </c>
      <c r="CU40" s="556">
        <f t="shared" si="87"/>
        <v>34</v>
      </c>
      <c r="CV40" s="123">
        <v>40998</v>
      </c>
      <c r="CW40" s="123">
        <v>41753</v>
      </c>
      <c r="CX40" s="556">
        <f t="shared" si="88"/>
        <v>755</v>
      </c>
      <c r="CY40" s="123">
        <v>42164</v>
      </c>
      <c r="CZ40" s="123">
        <v>41753</v>
      </c>
      <c r="DA40" s="556">
        <f t="shared" si="89"/>
        <v>-411</v>
      </c>
      <c r="DB40" s="75"/>
      <c r="DC40" s="123">
        <v>42244</v>
      </c>
      <c r="DD40" s="123">
        <v>42353</v>
      </c>
      <c r="DE40" s="123">
        <v>42928</v>
      </c>
      <c r="DF40" s="556">
        <f t="shared" si="90"/>
        <v>575</v>
      </c>
      <c r="DG40" s="123">
        <v>42943</v>
      </c>
      <c r="DH40" s="353">
        <v>42933</v>
      </c>
      <c r="DI40" s="347">
        <v>2017</v>
      </c>
      <c r="DJ40" s="448">
        <f t="shared" si="91"/>
        <v>36.166666666666664</v>
      </c>
      <c r="DK40" s="529">
        <f t="shared" si="92"/>
        <v>-10</v>
      </c>
      <c r="DL40" s="117">
        <v>15</v>
      </c>
      <c r="DM40" s="117">
        <f t="shared" si="93"/>
        <v>15</v>
      </c>
      <c r="DN40" s="123">
        <v>42965</v>
      </c>
      <c r="DO40" s="123">
        <v>43038</v>
      </c>
      <c r="DP40" s="529">
        <f t="shared" si="94"/>
        <v>73</v>
      </c>
      <c r="DQ40" s="795">
        <v>43266</v>
      </c>
      <c r="DR40" s="573">
        <v>43284</v>
      </c>
      <c r="DS40" s="532">
        <f t="shared" si="95"/>
        <v>18</v>
      </c>
      <c r="DT40" s="803">
        <v>43294</v>
      </c>
      <c r="DU40" s="803">
        <v>43300</v>
      </c>
      <c r="DV40" s="701">
        <f t="shared" si="96"/>
        <v>6</v>
      </c>
      <c r="DW40" s="539">
        <v>43336</v>
      </c>
      <c r="DX40" s="539">
        <f ca="1">IF(DW40&lt;TODAY(),TODAY(),DW40)</f>
        <v>43336</v>
      </c>
      <c r="DY40" s="535">
        <f t="shared" ca="1" si="97"/>
        <v>0</v>
      </c>
      <c r="DZ40" s="539">
        <v>43341</v>
      </c>
      <c r="EA40" s="539">
        <f ca="1">IF(DZ40&lt;TODAY(),TODAY(),DZ40)</f>
        <v>43341</v>
      </c>
      <c r="EB40" s="535">
        <f t="shared" ca="1" si="98"/>
        <v>0</v>
      </c>
      <c r="EC40" s="539">
        <v>43355</v>
      </c>
      <c r="ED40" s="539">
        <f ca="1">IF(EC40&lt;TODAY(),TODAY(),EC40)</f>
        <v>43355</v>
      </c>
      <c r="EE40" s="535">
        <f t="shared" ca="1" si="99"/>
        <v>0</v>
      </c>
      <c r="EF40" s="539">
        <v>43376</v>
      </c>
      <c r="EG40" s="539">
        <f ca="1">IF(EF40&lt;TODAY(),TODAY(),EF40)</f>
        <v>43376</v>
      </c>
      <c r="EH40" s="535">
        <f t="shared" ca="1" si="100"/>
        <v>0</v>
      </c>
      <c r="EI40" s="539">
        <v>43315</v>
      </c>
      <c r="EJ40" s="539">
        <v>43315</v>
      </c>
      <c r="EK40" s="539">
        <v>43315</v>
      </c>
      <c r="EL40" s="758">
        <f t="shared" si="101"/>
        <v>43390</v>
      </c>
      <c r="EM40" s="759">
        <f>DATE(YEAR(DH40),MONTH(DH40)+DL40,DAY(DH40))</f>
        <v>43390</v>
      </c>
      <c r="EN40" s="755">
        <f t="shared" si="102"/>
        <v>0</v>
      </c>
      <c r="EO40" s="467">
        <f t="shared" si="69"/>
        <v>731</v>
      </c>
      <c r="EP40" s="186"/>
      <c r="EQ40" s="125"/>
      <c r="ER40" s="186">
        <v>43486</v>
      </c>
      <c r="ES40" s="467"/>
      <c r="ET40" s="796">
        <f t="shared" si="103"/>
        <v>43421</v>
      </c>
      <c r="EU40" s="759">
        <v>43497</v>
      </c>
      <c r="EV40" s="414"/>
      <c r="EW40" s="752">
        <f t="shared" si="104"/>
        <v>2.5333333333333332</v>
      </c>
      <c r="EX40" s="718">
        <f>100499.898263388/12</f>
        <v>8374.9915219489994</v>
      </c>
      <c r="EY40" s="234">
        <f t="shared" si="105"/>
        <v>21216.645188937466</v>
      </c>
      <c r="EZ40" s="118"/>
      <c r="FA40" s="562">
        <v>368628</v>
      </c>
      <c r="FB40" s="562">
        <v>546217</v>
      </c>
      <c r="FC40" s="594" t="s">
        <v>867</v>
      </c>
      <c r="FD40" s="594"/>
      <c r="FE40" s="594">
        <v>0</v>
      </c>
      <c r="FF40" s="787">
        <f t="shared" si="80"/>
        <v>0</v>
      </c>
      <c r="FG40" s="560" t="s">
        <v>30</v>
      </c>
      <c r="FH40" s="749" t="s">
        <v>861</v>
      </c>
      <c r="FI40" s="749" t="s">
        <v>862</v>
      </c>
      <c r="FJ40" s="683" t="s">
        <v>787</v>
      </c>
      <c r="FK40" s="122"/>
      <c r="FL40" s="122"/>
      <c r="FM40" s="122"/>
      <c r="FN40" s="122"/>
      <c r="FO40" s="122"/>
      <c r="FP40" s="50"/>
      <c r="FQ40" s="279">
        <f t="shared" si="70"/>
        <v>43755</v>
      </c>
      <c r="FR40" s="279"/>
      <c r="FS40" s="50"/>
      <c r="FT40" s="50"/>
      <c r="FU40" s="50"/>
      <c r="FV40" s="50"/>
      <c r="FW40" s="50"/>
      <c r="FX40" s="50"/>
      <c r="FY40" s="50"/>
      <c r="FZ40" s="50"/>
      <c r="GA40" s="50"/>
      <c r="GB40" s="50"/>
      <c r="GC40" s="50"/>
      <c r="GD40" s="50"/>
      <c r="GE40" s="50"/>
      <c r="GF40" s="109"/>
      <c r="GG40" s="113"/>
      <c r="GH40" s="8">
        <f>+GR40+GW40+HD40+HX40</f>
        <v>3888379.59</v>
      </c>
      <c r="GI40" s="64">
        <f t="shared" si="116"/>
        <v>4150258.97</v>
      </c>
      <c r="GJ40" s="10">
        <f t="shared" si="31"/>
        <v>261879.38000000035</v>
      </c>
      <c r="GK40" s="46">
        <f t="shared" si="106"/>
        <v>2751.5954744051292</v>
      </c>
      <c r="GL40" s="46">
        <f t="shared" si="107"/>
        <v>197631.37952380953</v>
      </c>
      <c r="GM40" s="8">
        <v>2877228</v>
      </c>
      <c r="GN40" s="9">
        <v>2855004</v>
      </c>
      <c r="GO40" s="10">
        <f t="shared" si="108"/>
        <v>-22224</v>
      </c>
      <c r="GP40" s="128">
        <f t="shared" si="115"/>
        <v>0.70235595057336864</v>
      </c>
      <c r="GQ40" s="129"/>
      <c r="GR40" s="8">
        <v>840305.59</v>
      </c>
      <c r="GS40" s="650">
        <v>1263855</v>
      </c>
      <c r="GT40" s="654">
        <v>1268847</v>
      </c>
      <c r="GU40" s="652">
        <f t="shared" si="109"/>
        <v>60183.571428571428</v>
      </c>
      <c r="GV40" s="33">
        <f t="shared" si="37"/>
        <v>423549.41000000003</v>
      </c>
      <c r="GW40" s="8">
        <f>GY40+GZ40</f>
        <v>1784577</v>
      </c>
      <c r="GX40" s="9">
        <f>GZ40+GY40</f>
        <v>1784577</v>
      </c>
      <c r="GY40" s="11">
        <v>599672</v>
      </c>
      <c r="GZ40" s="11">
        <v>1184905</v>
      </c>
      <c r="HA40" s="33">
        <f t="shared" si="39"/>
        <v>0</v>
      </c>
      <c r="HB40" s="640">
        <f t="shared" si="110"/>
        <v>84979.857142857145</v>
      </c>
      <c r="HC40" s="9"/>
      <c r="HD40" s="8">
        <v>717280</v>
      </c>
      <c r="HE40" s="431">
        <v>442750</v>
      </c>
      <c r="HF40" s="69">
        <v>0</v>
      </c>
      <c r="HG40" s="36">
        <f t="shared" si="111"/>
        <v>0.10668008989328201</v>
      </c>
      <c r="HH40" s="302"/>
      <c r="HI40" s="9">
        <f>20396+92463.97</f>
        <v>112859.97</v>
      </c>
      <c r="HJ40" s="20">
        <f t="shared" si="67"/>
        <v>-274530</v>
      </c>
      <c r="HK40" s="43">
        <f t="shared" si="112"/>
        <v>21083.333333333332</v>
      </c>
      <c r="HL40" s="78">
        <f t="shared" si="113"/>
        <v>81266.904761904763</v>
      </c>
      <c r="HM40" s="20">
        <f t="shared" si="118"/>
        <v>-13072.857142857143</v>
      </c>
      <c r="HN40" s="44">
        <v>5.15</v>
      </c>
      <c r="HO40" s="44">
        <v>5</v>
      </c>
      <c r="HP40" s="35">
        <v>1512119.8533942373</v>
      </c>
      <c r="HQ40" s="35">
        <f>15000*AD40</f>
        <v>315000</v>
      </c>
      <c r="HR40" s="19"/>
      <c r="HS40" s="35">
        <v>292222.2</v>
      </c>
      <c r="HT40" s="19"/>
      <c r="HU40" s="47">
        <f t="shared" si="47"/>
        <v>0.42182476462530716</v>
      </c>
      <c r="HV40" s="35">
        <v>177098.21865</v>
      </c>
      <c r="HW40" s="35"/>
      <c r="HX40" s="9">
        <f t="shared" si="119"/>
        <v>546217</v>
      </c>
      <c r="HY40" s="37">
        <f t="shared" si="114"/>
        <v>5662378.8233942371</v>
      </c>
      <c r="HZ40" s="276">
        <v>193376</v>
      </c>
      <c r="IA40" s="276">
        <f t="shared" si="120"/>
        <v>149673</v>
      </c>
      <c r="IB40" s="114">
        <v>40814</v>
      </c>
      <c r="IC40" s="233">
        <v>24368</v>
      </c>
      <c r="ID40" s="123"/>
      <c r="IE40" s="114"/>
      <c r="IF40" s="114"/>
      <c r="IG40" s="233"/>
      <c r="IH40" s="114">
        <v>41676</v>
      </c>
      <c r="II40" s="233">
        <v>17298</v>
      </c>
      <c r="IJ40" s="126">
        <v>40998</v>
      </c>
      <c r="IK40" s="233">
        <v>11733</v>
      </c>
      <c r="IL40" s="123">
        <v>41992</v>
      </c>
      <c r="IM40" s="322">
        <v>26183</v>
      </c>
      <c r="IN40" s="314"/>
      <c r="IO40" s="314"/>
      <c r="IP40" s="237"/>
      <c r="IQ40" s="327"/>
      <c r="IR40" s="237">
        <v>42933</v>
      </c>
      <c r="IS40" s="327">
        <v>49639</v>
      </c>
      <c r="IT40" s="317">
        <v>43090</v>
      </c>
      <c r="IU40" s="324">
        <v>3735</v>
      </c>
      <c r="IV40" s="443"/>
      <c r="IW40" s="443"/>
      <c r="IX40" s="115"/>
      <c r="IY40" s="115"/>
      <c r="IZ40" s="115" t="s">
        <v>864</v>
      </c>
      <c r="JA40" s="115">
        <v>16717</v>
      </c>
      <c r="JB40" s="268"/>
      <c r="JC40" s="268"/>
      <c r="JD40" s="233">
        <v>17298</v>
      </c>
      <c r="JE40" s="123"/>
      <c r="JF40" s="115"/>
      <c r="JG40" s="123"/>
      <c r="JH40" s="123"/>
      <c r="JI40" s="115"/>
    </row>
    <row r="41" spans="1:269" ht="29.25" customHeight="1">
      <c r="A41" s="4" t="s">
        <v>262</v>
      </c>
      <c r="B41" s="5" t="s">
        <v>28</v>
      </c>
      <c r="C41" s="5" t="s">
        <v>110</v>
      </c>
      <c r="D41" s="5">
        <v>2015</v>
      </c>
      <c r="E41" s="5" t="s">
        <v>240</v>
      </c>
      <c r="F41" s="5" t="s">
        <v>318</v>
      </c>
      <c r="G41" s="5" t="s">
        <v>471</v>
      </c>
      <c r="H41" s="5" t="s">
        <v>170</v>
      </c>
      <c r="I41" s="52"/>
      <c r="J41" s="50"/>
      <c r="K41" s="256"/>
      <c r="L41" s="161" t="s">
        <v>61</v>
      </c>
      <c r="M41" s="104" t="s">
        <v>69</v>
      </c>
      <c r="N41" s="105"/>
      <c r="O41" s="207">
        <v>779</v>
      </c>
      <c r="P41" s="207">
        <v>195000</v>
      </c>
      <c r="Q41" s="207">
        <f>P41</f>
        <v>195000</v>
      </c>
      <c r="R41" s="207">
        <f t="shared" ref="R41:R47" si="121">P41/AD41</f>
        <v>9750</v>
      </c>
      <c r="S41" s="207">
        <f t="shared" si="73"/>
        <v>250.32092426187421</v>
      </c>
      <c r="T41" s="213">
        <f t="shared" si="74"/>
        <v>250.32092426187421</v>
      </c>
      <c r="U41" s="213">
        <f t="shared" si="75"/>
        <v>150.05655978022486</v>
      </c>
      <c r="V41" s="213">
        <f t="shared" si="76"/>
        <v>9750</v>
      </c>
      <c r="W41" s="207">
        <f t="shared" si="77"/>
        <v>38.950000000000003</v>
      </c>
      <c r="X41" s="208"/>
      <c r="Y41" s="209">
        <f t="shared" si="78"/>
        <v>1.6681771501925546</v>
      </c>
      <c r="Z41" s="208" t="s">
        <v>191</v>
      </c>
      <c r="AA41" s="210">
        <v>35</v>
      </c>
      <c r="AB41" s="211">
        <v>0</v>
      </c>
      <c r="AC41" s="16" t="s">
        <v>16</v>
      </c>
      <c r="AD41" s="318">
        <f t="shared" si="81"/>
        <v>20</v>
      </c>
      <c r="AE41" s="6"/>
      <c r="AF41" s="5">
        <v>20</v>
      </c>
      <c r="AG41" s="50"/>
      <c r="AH41" s="50"/>
      <c r="AI41" s="268"/>
      <c r="AJ41" s="7">
        <v>1304.1600000000001</v>
      </c>
      <c r="AK41" s="54"/>
      <c r="AL41" s="421">
        <v>1299.51</v>
      </c>
      <c r="AM41" s="7">
        <f t="shared" si="1"/>
        <v>64.975499999999997</v>
      </c>
      <c r="AN41" s="75">
        <v>0.2</v>
      </c>
      <c r="AO41" s="75">
        <v>0.4</v>
      </c>
      <c r="AP41" s="75">
        <v>0.2</v>
      </c>
      <c r="AQ41" s="75">
        <v>0.2</v>
      </c>
      <c r="AR41" s="75">
        <v>0</v>
      </c>
      <c r="AS41" s="7"/>
      <c r="AT41" s="73">
        <v>0</v>
      </c>
      <c r="AU41" s="75">
        <f t="shared" si="64"/>
        <v>0</v>
      </c>
      <c r="AV41" s="54">
        <v>4</v>
      </c>
      <c r="AW41" s="53" t="s">
        <v>561</v>
      </c>
      <c r="AX41" s="5" t="s">
        <v>119</v>
      </c>
      <c r="AY41" s="785"/>
      <c r="AZ41" s="50"/>
      <c r="BA41" s="184">
        <v>41921</v>
      </c>
      <c r="BB41" s="50"/>
      <c r="BC41" s="108" t="s">
        <v>11</v>
      </c>
      <c r="BD41" s="108" t="s">
        <v>332</v>
      </c>
      <c r="BE41" s="31"/>
      <c r="BF41" s="204">
        <v>42249</v>
      </c>
      <c r="BG41" s="96"/>
      <c r="BH41" s="96">
        <v>42579</v>
      </c>
      <c r="BI41" s="204">
        <v>42606</v>
      </c>
      <c r="BJ41" s="96">
        <v>42606</v>
      </c>
      <c r="BK41" s="159">
        <v>42606</v>
      </c>
      <c r="BL41" s="202">
        <v>42620</v>
      </c>
      <c r="BM41" s="160">
        <v>42711</v>
      </c>
      <c r="BN41" s="160">
        <v>42646</v>
      </c>
      <c r="BO41" s="298">
        <f t="shared" si="117"/>
        <v>42620</v>
      </c>
      <c r="BP41" s="297">
        <f t="shared" si="3"/>
        <v>43350</v>
      </c>
      <c r="BQ41" s="297">
        <f t="shared" si="4"/>
        <v>43715</v>
      </c>
      <c r="BR41" s="297"/>
      <c r="BS41" s="297" t="str">
        <f t="shared" si="66"/>
        <v>non</v>
      </c>
      <c r="BT41" s="686">
        <f t="shared" si="82"/>
        <v>12</v>
      </c>
      <c r="BU41" s="686">
        <f t="shared" si="83"/>
        <v>87228</v>
      </c>
      <c r="BV41" s="686">
        <f t="shared" si="84"/>
        <v>0</v>
      </c>
      <c r="BW41" s="425" t="s">
        <v>424</v>
      </c>
      <c r="BX41" s="32" t="s">
        <v>586</v>
      </c>
      <c r="BY41" s="399" t="s">
        <v>520</v>
      </c>
      <c r="BZ41" s="380">
        <v>42725</v>
      </c>
      <c r="CA41" s="380">
        <v>42915</v>
      </c>
      <c r="CB41" s="380">
        <v>42912</v>
      </c>
      <c r="CC41" s="155" t="s">
        <v>69</v>
      </c>
      <c r="CD41" s="306">
        <v>42719</v>
      </c>
      <c r="CE41" s="251" t="s">
        <v>553</v>
      </c>
      <c r="CF41" s="156">
        <v>2638167.36</v>
      </c>
      <c r="CG41" s="588">
        <f t="shared" ref="CG41:CG46" si="122">DATE(YEAR(CD41),MONTH(CD41)+18,DAY(CD41))</f>
        <v>43266</v>
      </c>
      <c r="CH41" s="408">
        <f t="shared" ref="CH41:CH46" si="123">DATE(YEAR(CD41),MONTH(CD41)+24,DAY(CD41))</f>
        <v>43449</v>
      </c>
      <c r="CI41" s="344">
        <v>42972</v>
      </c>
      <c r="CJ41" s="257">
        <v>43419</v>
      </c>
      <c r="CK41" s="603">
        <f t="shared" ref="CK41:CK46" si="124">(EU41-CJ41)/30</f>
        <v>-3</v>
      </c>
      <c r="CL41" s="123">
        <v>41828</v>
      </c>
      <c r="CM41" s="123">
        <v>41829</v>
      </c>
      <c r="CN41" s="123">
        <v>41862</v>
      </c>
      <c r="CO41" s="529">
        <f t="shared" si="85"/>
        <v>33</v>
      </c>
      <c r="CP41" s="123">
        <v>42048</v>
      </c>
      <c r="CQ41" s="123">
        <v>42040</v>
      </c>
      <c r="CR41" s="529">
        <f t="shared" si="86"/>
        <v>-8</v>
      </c>
      <c r="CS41" s="123">
        <v>42027</v>
      </c>
      <c r="CT41" s="123">
        <v>42027</v>
      </c>
      <c r="CU41" s="529">
        <f t="shared" si="87"/>
        <v>0</v>
      </c>
      <c r="CV41" s="123">
        <v>42121</v>
      </c>
      <c r="CW41" s="123">
        <v>42184</v>
      </c>
      <c r="CX41" s="529">
        <f t="shared" si="88"/>
        <v>63</v>
      </c>
      <c r="CY41" s="123">
        <v>42244</v>
      </c>
      <c r="CZ41" s="123">
        <v>42254</v>
      </c>
      <c r="DA41" s="529">
        <f t="shared" si="89"/>
        <v>10</v>
      </c>
      <c r="DB41" s="457"/>
      <c r="DC41" s="123">
        <v>42528</v>
      </c>
      <c r="DD41" s="123">
        <v>42810</v>
      </c>
      <c r="DE41" s="123">
        <v>42781</v>
      </c>
      <c r="DF41" s="529">
        <f t="shared" si="90"/>
        <v>-29</v>
      </c>
      <c r="DG41" s="123">
        <v>42796</v>
      </c>
      <c r="DH41" s="354">
        <v>42786</v>
      </c>
      <c r="DI41" s="347">
        <v>2017</v>
      </c>
      <c r="DJ41" s="448">
        <f t="shared" si="91"/>
        <v>17.899999999999999</v>
      </c>
      <c r="DK41" s="529">
        <f t="shared" si="92"/>
        <v>-10</v>
      </c>
      <c r="DL41" s="326">
        <v>14</v>
      </c>
      <c r="DM41" s="117">
        <f t="shared" si="93"/>
        <v>17</v>
      </c>
      <c r="DN41" s="123">
        <v>42860</v>
      </c>
      <c r="DO41" s="123">
        <v>42893</v>
      </c>
      <c r="DP41" s="529">
        <f t="shared" si="94"/>
        <v>33</v>
      </c>
      <c r="DQ41" s="123">
        <v>42899</v>
      </c>
      <c r="DR41" s="573">
        <v>42978</v>
      </c>
      <c r="DS41" s="532">
        <f t="shared" si="95"/>
        <v>79</v>
      </c>
      <c r="DT41" s="123">
        <v>42978</v>
      </c>
      <c r="DU41" s="123">
        <v>43054</v>
      </c>
      <c r="DV41" s="529">
        <f t="shared" si="96"/>
        <v>76</v>
      </c>
      <c r="DW41" s="123">
        <v>43054</v>
      </c>
      <c r="DX41" s="123">
        <v>43181</v>
      </c>
      <c r="DY41" s="529">
        <f t="shared" si="97"/>
        <v>127</v>
      </c>
      <c r="DZ41" s="539">
        <v>43047</v>
      </c>
      <c r="EA41" s="539">
        <f ca="1">IF(DZ41&lt;TODAY(),TODAY(),DZ41)</f>
        <v>43332</v>
      </c>
      <c r="EB41" s="535">
        <f t="shared" ca="1" si="98"/>
        <v>285</v>
      </c>
      <c r="EC41" s="539">
        <v>43167</v>
      </c>
      <c r="ED41" s="539">
        <f ca="1">IF(EC41&lt;TODAY(),TODAY(),EC41)</f>
        <v>43332</v>
      </c>
      <c r="EE41" s="535">
        <f t="shared" ca="1" si="99"/>
        <v>165</v>
      </c>
      <c r="EF41" s="539">
        <v>43200</v>
      </c>
      <c r="EG41" s="539">
        <f ca="1">IF(EF41&lt;TODAY(),TODAY(),EF41)</f>
        <v>43332</v>
      </c>
      <c r="EH41" s="535">
        <f t="shared" ca="1" si="100"/>
        <v>132</v>
      </c>
      <c r="EI41" s="541"/>
      <c r="EJ41" s="541"/>
      <c r="EK41" s="541"/>
      <c r="EL41" s="760">
        <f t="shared" si="101"/>
        <v>43210</v>
      </c>
      <c r="EM41" s="759">
        <v>43319</v>
      </c>
      <c r="EN41" s="755">
        <f t="shared" si="102"/>
        <v>3.6333333333333333</v>
      </c>
      <c r="EO41" s="467">
        <f t="shared" si="69"/>
        <v>43702</v>
      </c>
      <c r="EP41" s="244"/>
      <c r="EQ41" s="241">
        <v>42879</v>
      </c>
      <c r="ER41" s="186">
        <v>43320</v>
      </c>
      <c r="ES41" s="467">
        <v>43321</v>
      </c>
      <c r="ET41" s="796">
        <f t="shared" si="103"/>
        <v>43240</v>
      </c>
      <c r="EU41" s="759">
        <v>43329</v>
      </c>
      <c r="EV41" s="581"/>
      <c r="EW41" s="752">
        <f t="shared" si="104"/>
        <v>2.9666666666666668</v>
      </c>
      <c r="EX41" s="722">
        <v>7269</v>
      </c>
      <c r="EY41" s="767">
        <f t="shared" si="105"/>
        <v>21564.7</v>
      </c>
      <c r="EZ41" s="118">
        <v>43307</v>
      </c>
      <c r="FA41" s="562">
        <v>0</v>
      </c>
      <c r="FB41" s="562">
        <v>28139</v>
      </c>
      <c r="FC41" s="562">
        <v>11509.23</v>
      </c>
      <c r="FD41" s="562">
        <v>0</v>
      </c>
      <c r="FE41" s="562">
        <f>10675*1.021</f>
        <v>10899.174999999999</v>
      </c>
      <c r="FF41" s="787">
        <f t="shared" si="80"/>
        <v>3.8841934503264929E-3</v>
      </c>
      <c r="FG41" s="559" t="s">
        <v>721</v>
      </c>
      <c r="FH41" s="662" t="s">
        <v>856</v>
      </c>
      <c r="FI41" s="662" t="s">
        <v>726</v>
      </c>
      <c r="FJ41" s="662" t="s">
        <v>875</v>
      </c>
      <c r="FK41" s="122"/>
      <c r="FL41" s="122"/>
      <c r="FM41" s="122"/>
      <c r="FN41" s="122"/>
      <c r="FO41" s="122"/>
      <c r="FP41" s="50"/>
      <c r="FQ41" s="279">
        <f t="shared" si="70"/>
        <v>43684</v>
      </c>
      <c r="FR41" s="279"/>
      <c r="FS41" s="50"/>
      <c r="FT41" s="50"/>
      <c r="FU41" s="50"/>
      <c r="FV41" s="50"/>
      <c r="FW41" s="50"/>
      <c r="FX41" s="50"/>
      <c r="FY41" s="50"/>
      <c r="FZ41" s="50"/>
      <c r="GA41" s="114"/>
      <c r="GB41" s="50"/>
      <c r="GC41" s="50"/>
      <c r="GD41" s="50"/>
      <c r="GE41" s="50"/>
      <c r="GF41" s="109"/>
      <c r="GG41" s="113"/>
      <c r="GH41" s="8">
        <f>GR41+GW41+HD41</f>
        <v>2722212.2295052204</v>
      </c>
      <c r="GI41" s="64">
        <f t="shared" si="116"/>
        <v>2806033</v>
      </c>
      <c r="GJ41" s="10">
        <f t="shared" si="31"/>
        <v>83820.770494779572</v>
      </c>
      <c r="GK41" s="46">
        <f t="shared" si="106"/>
        <v>2151.6017973254816</v>
      </c>
      <c r="GL41" s="46">
        <f t="shared" si="107"/>
        <v>140301.65</v>
      </c>
      <c r="GM41" s="8">
        <v>2475597.5350000001</v>
      </c>
      <c r="GN41" s="9">
        <v>2036370.9416817785</v>
      </c>
      <c r="GO41" s="10">
        <f t="shared" si="108"/>
        <v>-439226.59331822162</v>
      </c>
      <c r="GP41" s="128">
        <f t="shared" si="115"/>
        <v>0.7409516322356493</v>
      </c>
      <c r="GQ41" s="130">
        <v>0.39772600000000002</v>
      </c>
      <c r="GR41" s="8">
        <v>819282.73457759398</v>
      </c>
      <c r="GS41" s="650">
        <v>803098</v>
      </c>
      <c r="GT41" s="654"/>
      <c r="GU41" s="652">
        <f t="shared" si="109"/>
        <v>40154.9</v>
      </c>
      <c r="GV41" s="33">
        <f t="shared" si="37"/>
        <v>-16184.734577593976</v>
      </c>
      <c r="GW41" s="8">
        <v>1502929.4949276266</v>
      </c>
      <c r="GX41" s="9">
        <f>GZ41+GY41</f>
        <v>1544668</v>
      </c>
      <c r="GY41" s="11">
        <v>339371</v>
      </c>
      <c r="GZ41" s="11">
        <v>1205297</v>
      </c>
      <c r="HA41" s="33">
        <f t="shared" si="39"/>
        <v>41738.505072373431</v>
      </c>
      <c r="HB41" s="640">
        <f t="shared" si="110"/>
        <v>77233.399999999994</v>
      </c>
      <c r="HC41" s="9"/>
      <c r="HD41" s="18">
        <v>400000</v>
      </c>
      <c r="HE41" s="9">
        <v>400000</v>
      </c>
      <c r="HF41" s="64"/>
      <c r="HG41" s="36">
        <f t="shared" si="111"/>
        <v>0.14254999852104377</v>
      </c>
      <c r="HH41" s="302"/>
      <c r="HI41" s="9">
        <f>18371+11757</f>
        <v>30128</v>
      </c>
      <c r="HJ41" s="20">
        <f t="shared" si="67"/>
        <v>0</v>
      </c>
      <c r="HK41" s="19">
        <f t="shared" si="112"/>
        <v>20000</v>
      </c>
      <c r="HL41" s="78">
        <f t="shared" si="113"/>
        <v>60154.9</v>
      </c>
      <c r="HM41" s="20">
        <f t="shared" si="118"/>
        <v>0</v>
      </c>
      <c r="HN41" s="45">
        <v>5.59</v>
      </c>
      <c r="HO41" s="45">
        <v>5.49</v>
      </c>
      <c r="HP41" s="35">
        <v>0</v>
      </c>
      <c r="HQ41" s="35">
        <v>0</v>
      </c>
      <c r="HR41" s="19">
        <f t="shared" ref="HR41:HR48" si="125">(GS41+HE41+HQ41)/AD41</f>
        <v>60154.9</v>
      </c>
      <c r="HS41" s="35">
        <v>0</v>
      </c>
      <c r="HT41" s="19">
        <f t="shared" ref="HT41:HT60" si="126">(GS41+HE41+HQ41+HS41)/AD41</f>
        <v>60154.9</v>
      </c>
      <c r="HU41" s="47">
        <f t="shared" si="47"/>
        <v>0.42875404530167677</v>
      </c>
      <c r="HV41" s="35">
        <v>0</v>
      </c>
      <c r="HW41" s="35"/>
      <c r="HX41" s="9">
        <f t="shared" si="119"/>
        <v>28139</v>
      </c>
      <c r="HY41" s="37">
        <f t="shared" si="114"/>
        <v>2806033</v>
      </c>
      <c r="HZ41" s="276">
        <v>131447</v>
      </c>
      <c r="IA41" s="276">
        <f t="shared" si="120"/>
        <v>105157</v>
      </c>
      <c r="IB41" s="114">
        <v>41936</v>
      </c>
      <c r="IC41" s="233">
        <v>13352</v>
      </c>
      <c r="ID41" s="233"/>
      <c r="IE41" s="114"/>
      <c r="IF41" s="114"/>
      <c r="IG41" s="233">
        <v>6171</v>
      </c>
      <c r="IH41" s="114">
        <v>42066</v>
      </c>
      <c r="II41" s="233">
        <v>12860</v>
      </c>
      <c r="IJ41" s="114">
        <v>42121</v>
      </c>
      <c r="IK41" s="233">
        <v>13828</v>
      </c>
      <c r="IL41" s="115"/>
      <c r="IM41" s="322">
        <v>19512</v>
      </c>
      <c r="IN41" s="314"/>
      <c r="IO41" s="314"/>
      <c r="IP41" s="123">
        <v>42717</v>
      </c>
      <c r="IQ41" s="233"/>
      <c r="IR41" s="123">
        <v>42717</v>
      </c>
      <c r="IS41" s="233">
        <v>19717</v>
      </c>
      <c r="IT41" s="114">
        <v>42964</v>
      </c>
      <c r="IU41" s="115">
        <v>6573</v>
      </c>
      <c r="IV41" s="115"/>
      <c r="IW41" s="115"/>
      <c r="IX41" s="114">
        <v>43083</v>
      </c>
      <c r="IY41" s="647">
        <v>13144</v>
      </c>
      <c r="IZ41" s="268"/>
      <c r="JA41" s="268"/>
      <c r="JB41" s="268"/>
      <c r="JC41" s="268"/>
      <c r="JD41" s="233">
        <v>12860</v>
      </c>
      <c r="JE41" s="123"/>
      <c r="JF41" s="115"/>
      <c r="JG41" s="123"/>
      <c r="JH41" s="123"/>
      <c r="JI41" s="115"/>
    </row>
    <row r="42" spans="1:269" s="29" customFormat="1" ht="49.5" customHeight="1">
      <c r="A42" s="4" t="s">
        <v>403</v>
      </c>
      <c r="B42" s="5" t="s">
        <v>48</v>
      </c>
      <c r="C42" s="5" t="s">
        <v>111</v>
      </c>
      <c r="D42" s="5">
        <v>2015</v>
      </c>
      <c r="E42" s="5" t="s">
        <v>252</v>
      </c>
      <c r="F42" s="5" t="s">
        <v>318</v>
      </c>
      <c r="G42" s="5" t="s">
        <v>178</v>
      </c>
      <c r="H42" s="681" t="s">
        <v>170</v>
      </c>
      <c r="I42" s="52"/>
      <c r="J42" s="50"/>
      <c r="K42" s="256" t="s">
        <v>379</v>
      </c>
      <c r="L42" s="161" t="s">
        <v>66</v>
      </c>
      <c r="M42" s="104" t="s">
        <v>142</v>
      </c>
      <c r="N42" s="105"/>
      <c r="O42" s="207">
        <v>1767</v>
      </c>
      <c r="P42" s="207">
        <v>210000</v>
      </c>
      <c r="Q42" s="207">
        <v>210000</v>
      </c>
      <c r="R42" s="207">
        <f t="shared" si="121"/>
        <v>11666.666666666666</v>
      </c>
      <c r="S42" s="207">
        <f t="shared" si="73"/>
        <v>118.84550084889644</v>
      </c>
      <c r="T42" s="213">
        <f t="shared" si="74"/>
        <v>118.84550084889644</v>
      </c>
      <c r="U42" s="213">
        <f t="shared" si="75"/>
        <v>122.68720021966851</v>
      </c>
      <c r="V42" s="213">
        <f t="shared" si="76"/>
        <v>11666.666666666666</v>
      </c>
      <c r="W42" s="207">
        <f t="shared" si="77"/>
        <v>98.166666666666671</v>
      </c>
      <c r="X42" s="208"/>
      <c r="Y42" s="209">
        <f t="shared" si="78"/>
        <v>0.96868704018109797</v>
      </c>
      <c r="Z42" s="208" t="s">
        <v>261</v>
      </c>
      <c r="AA42" s="210">
        <v>200</v>
      </c>
      <c r="AB42" s="211"/>
      <c r="AC42" s="16" t="s">
        <v>16</v>
      </c>
      <c r="AD42" s="318">
        <f t="shared" si="81"/>
        <v>18</v>
      </c>
      <c r="AE42" s="6"/>
      <c r="AF42" s="5">
        <v>18</v>
      </c>
      <c r="AG42" s="50"/>
      <c r="AH42" s="50"/>
      <c r="AI42" s="268"/>
      <c r="AJ42" s="7">
        <v>1709.55</v>
      </c>
      <c r="AK42" s="54"/>
      <c r="AL42" s="421">
        <v>1711.67</v>
      </c>
      <c r="AM42" s="7">
        <f t="shared" si="1"/>
        <v>95.092777777777783</v>
      </c>
      <c r="AN42" s="75">
        <v>0</v>
      </c>
      <c r="AO42" s="75">
        <v>0</v>
      </c>
      <c r="AP42" s="75">
        <f>10/AD42</f>
        <v>0.55555555555555558</v>
      </c>
      <c r="AQ42" s="75">
        <f>4/AD42</f>
        <v>0.22222222222222221</v>
      </c>
      <c r="AR42" s="75">
        <f>4/AD42</f>
        <v>0.22222222222222221</v>
      </c>
      <c r="AS42" s="7"/>
      <c r="AT42" s="73">
        <v>0</v>
      </c>
      <c r="AU42" s="75">
        <v>0</v>
      </c>
      <c r="AV42" s="54">
        <v>3</v>
      </c>
      <c r="AW42" s="53" t="s">
        <v>561</v>
      </c>
      <c r="AX42" s="5" t="s">
        <v>118</v>
      </c>
      <c r="AY42" s="785"/>
      <c r="AZ42" s="50"/>
      <c r="BA42" s="184">
        <v>41920</v>
      </c>
      <c r="BB42" s="50"/>
      <c r="BC42" s="108" t="s">
        <v>11</v>
      </c>
      <c r="BD42" s="108" t="s">
        <v>270</v>
      </c>
      <c r="BE42" s="31"/>
      <c r="BF42" s="204">
        <v>42320</v>
      </c>
      <c r="BG42" s="96"/>
      <c r="BH42" s="96">
        <v>42573</v>
      </c>
      <c r="BI42" s="204">
        <v>42607</v>
      </c>
      <c r="BJ42" s="96">
        <v>42607</v>
      </c>
      <c r="BK42" s="159">
        <v>42608</v>
      </c>
      <c r="BL42" s="202">
        <v>42620</v>
      </c>
      <c r="BM42" s="160">
        <v>42711</v>
      </c>
      <c r="BN42" s="160">
        <v>42648</v>
      </c>
      <c r="BO42" s="298">
        <f t="shared" si="117"/>
        <v>42620</v>
      </c>
      <c r="BP42" s="297">
        <f t="shared" si="3"/>
        <v>43350</v>
      </c>
      <c r="BQ42" s="297">
        <f t="shared" si="4"/>
        <v>43715</v>
      </c>
      <c r="BR42" s="297"/>
      <c r="BS42" s="297" t="str">
        <f t="shared" si="66"/>
        <v>non</v>
      </c>
      <c r="BT42" s="686">
        <f t="shared" si="82"/>
        <v>12</v>
      </c>
      <c r="BU42" s="686">
        <f t="shared" si="83"/>
        <v>0</v>
      </c>
      <c r="BV42" s="686">
        <f t="shared" si="84"/>
        <v>0</v>
      </c>
      <c r="BW42" s="159">
        <v>42627</v>
      </c>
      <c r="BX42" s="159">
        <v>42725</v>
      </c>
      <c r="BY42" s="289"/>
      <c r="BZ42" s="288"/>
      <c r="CA42" s="98">
        <v>42725</v>
      </c>
      <c r="CB42" s="288"/>
      <c r="CC42" s="155" t="s">
        <v>142</v>
      </c>
      <c r="CD42" s="306">
        <v>42719</v>
      </c>
      <c r="CE42" s="251" t="s">
        <v>552</v>
      </c>
      <c r="CF42" s="156">
        <f>3299575.14/1.021</f>
        <v>3231709.2458374146</v>
      </c>
      <c r="CG42" s="588">
        <f t="shared" si="122"/>
        <v>43266</v>
      </c>
      <c r="CH42" s="408">
        <f t="shared" si="123"/>
        <v>43449</v>
      </c>
      <c r="CI42" s="344">
        <v>42990</v>
      </c>
      <c r="CJ42" s="257">
        <v>43449</v>
      </c>
      <c r="CK42" s="603">
        <f t="shared" si="124"/>
        <v>-3.3333333333333335</v>
      </c>
      <c r="CL42" s="123">
        <v>41813</v>
      </c>
      <c r="CM42" s="123">
        <v>41814</v>
      </c>
      <c r="CN42" s="123">
        <v>41813</v>
      </c>
      <c r="CO42" s="529">
        <f t="shared" si="85"/>
        <v>-1</v>
      </c>
      <c r="CP42" s="123">
        <v>42027</v>
      </c>
      <c r="CQ42" s="123">
        <v>41996</v>
      </c>
      <c r="CR42" s="529">
        <f t="shared" si="86"/>
        <v>-31</v>
      </c>
      <c r="CS42" s="123">
        <v>42026</v>
      </c>
      <c r="CT42" s="123">
        <v>42038</v>
      </c>
      <c r="CU42" s="529">
        <f t="shared" si="87"/>
        <v>12</v>
      </c>
      <c r="CV42" s="123">
        <v>42078</v>
      </c>
      <c r="CW42" s="123">
        <v>42128</v>
      </c>
      <c r="CX42" s="529">
        <f t="shared" si="88"/>
        <v>50</v>
      </c>
      <c r="CY42" s="123">
        <v>42186</v>
      </c>
      <c r="CZ42" s="123">
        <v>42254</v>
      </c>
      <c r="DA42" s="529">
        <f t="shared" si="89"/>
        <v>68</v>
      </c>
      <c r="DB42" s="457"/>
      <c r="DC42" s="123">
        <v>42472</v>
      </c>
      <c r="DD42" s="123">
        <v>42695</v>
      </c>
      <c r="DE42" s="123">
        <v>42769</v>
      </c>
      <c r="DF42" s="529">
        <f t="shared" si="90"/>
        <v>74</v>
      </c>
      <c r="DG42" s="123">
        <v>42783</v>
      </c>
      <c r="DH42" s="354">
        <v>42772</v>
      </c>
      <c r="DI42" s="347">
        <v>2017</v>
      </c>
      <c r="DJ42" s="448">
        <f t="shared" si="91"/>
        <v>15.066666666666666</v>
      </c>
      <c r="DK42" s="529">
        <f t="shared" si="92"/>
        <v>-11</v>
      </c>
      <c r="DL42" s="326">
        <v>16</v>
      </c>
      <c r="DM42" s="117">
        <f t="shared" si="93"/>
        <v>18</v>
      </c>
      <c r="DN42" s="123">
        <v>42800</v>
      </c>
      <c r="DO42" s="123">
        <v>42867</v>
      </c>
      <c r="DP42" s="529">
        <f t="shared" si="94"/>
        <v>67</v>
      </c>
      <c r="DQ42" s="123">
        <v>42899</v>
      </c>
      <c r="DR42" s="573">
        <v>42923</v>
      </c>
      <c r="DS42" s="532">
        <f t="shared" si="95"/>
        <v>24</v>
      </c>
      <c r="DT42" s="123">
        <v>43068</v>
      </c>
      <c r="DU42" s="123">
        <v>43064</v>
      </c>
      <c r="DV42" s="529">
        <f t="shared" si="96"/>
        <v>-4</v>
      </c>
      <c r="DW42" s="539">
        <v>43082</v>
      </c>
      <c r="DX42" s="539">
        <f ca="1">IF(DW42&lt;TODAY(),TODAY(),DW42)</f>
        <v>43332</v>
      </c>
      <c r="DY42" s="535">
        <f t="shared" ca="1" si="97"/>
        <v>250</v>
      </c>
      <c r="DZ42" s="539">
        <v>43136</v>
      </c>
      <c r="EA42" s="539">
        <f ca="1">IF(DZ42&lt;TODAY(),TODAY(),DZ42)</f>
        <v>43332</v>
      </c>
      <c r="EB42" s="535">
        <f t="shared" ca="1" si="98"/>
        <v>196</v>
      </c>
      <c r="EC42" s="539">
        <v>43216</v>
      </c>
      <c r="ED42" s="539">
        <f ca="1">IF(EC42&lt;TODAY(),TODAY(),EC42)</f>
        <v>43332</v>
      </c>
      <c r="EE42" s="535">
        <f t="shared" ca="1" si="99"/>
        <v>116</v>
      </c>
      <c r="EF42" s="539">
        <v>43244</v>
      </c>
      <c r="EG42" s="539">
        <f ca="1">IF(EF42&lt;TODAY(),TODAY(),EF42)</f>
        <v>43332</v>
      </c>
      <c r="EH42" s="535">
        <f t="shared" ca="1" si="100"/>
        <v>88</v>
      </c>
      <c r="EI42" s="539"/>
      <c r="EJ42" s="539"/>
      <c r="EK42" s="539"/>
      <c r="EL42" s="760">
        <f t="shared" si="101"/>
        <v>43257</v>
      </c>
      <c r="EM42" s="759">
        <v>43328</v>
      </c>
      <c r="EN42" s="755">
        <f t="shared" si="102"/>
        <v>2.3666666666666667</v>
      </c>
      <c r="EO42" s="467">
        <f t="shared" si="69"/>
        <v>43720</v>
      </c>
      <c r="EP42" s="186"/>
      <c r="EQ42" s="241">
        <v>42879</v>
      </c>
      <c r="ER42" s="186">
        <v>43336</v>
      </c>
      <c r="ES42" s="467">
        <v>43340</v>
      </c>
      <c r="ET42" s="796">
        <f t="shared" si="103"/>
        <v>43287</v>
      </c>
      <c r="EU42" s="759">
        <v>43349</v>
      </c>
      <c r="EV42" s="576"/>
      <c r="EW42" s="752">
        <f t="shared" si="104"/>
        <v>2.0666666666666669</v>
      </c>
      <c r="EX42" s="722"/>
      <c r="EY42" s="234">
        <f t="shared" si="105"/>
        <v>0</v>
      </c>
      <c r="EZ42" s="118">
        <v>43328</v>
      </c>
      <c r="FA42" s="562">
        <v>0</v>
      </c>
      <c r="FB42" s="562">
        <v>0</v>
      </c>
      <c r="FC42" s="562">
        <f>174061.74*1.021</f>
        <v>177717.03653999997</v>
      </c>
      <c r="FD42" s="562">
        <v>70491</v>
      </c>
      <c r="FE42" s="562">
        <f>8252.34*1.021</f>
        <v>8425.6391399999993</v>
      </c>
      <c r="FF42" s="787">
        <f t="shared" si="80"/>
        <v>2.4681831068391752E-3</v>
      </c>
      <c r="FG42" s="559" t="s">
        <v>721</v>
      </c>
      <c r="FH42" s="662"/>
      <c r="FI42" s="662" t="s">
        <v>852</v>
      </c>
      <c r="FJ42" s="662" t="s">
        <v>727</v>
      </c>
      <c r="FK42" s="122"/>
      <c r="FL42" s="122"/>
      <c r="FM42" s="122"/>
      <c r="FN42" s="122"/>
      <c r="FO42" s="122"/>
      <c r="FP42" s="50"/>
      <c r="FQ42" s="279">
        <f t="shared" si="70"/>
        <v>43693</v>
      </c>
      <c r="FR42" s="279"/>
      <c r="FS42" s="50"/>
      <c r="FT42" s="50"/>
      <c r="FU42" s="50"/>
      <c r="FV42" s="50"/>
      <c r="FW42" s="50"/>
      <c r="FX42" s="50"/>
      <c r="FY42" s="50"/>
      <c r="FZ42" s="50"/>
      <c r="GA42" s="114"/>
      <c r="GB42" s="50"/>
      <c r="GC42" s="50"/>
      <c r="GD42" s="50"/>
      <c r="GE42" s="50"/>
      <c r="GF42" s="109"/>
      <c r="GG42" s="113"/>
      <c r="GH42" s="8">
        <f>GR42+GW42+HD42</f>
        <v>3425875.7637468651</v>
      </c>
      <c r="GI42" s="64">
        <f t="shared" si="116"/>
        <v>3413701</v>
      </c>
      <c r="GJ42" s="10">
        <f t="shared" si="31"/>
        <v>-12174.763746865094</v>
      </c>
      <c r="GK42" s="46">
        <f t="shared" si="106"/>
        <v>1996.8418589687344</v>
      </c>
      <c r="GL42" s="46">
        <f t="shared" si="107"/>
        <v>189650.05555555556</v>
      </c>
      <c r="GM42" s="8">
        <v>3100225</v>
      </c>
      <c r="GN42" s="9">
        <v>2697771.947337376</v>
      </c>
      <c r="GO42" s="10">
        <f t="shared" si="108"/>
        <v>-402453.05266262405</v>
      </c>
      <c r="GP42" s="128">
        <f t="shared" si="115"/>
        <v>0.80687358331367054</v>
      </c>
      <c r="GQ42" s="130">
        <v>0.39772600000000002</v>
      </c>
      <c r="GR42" s="8">
        <v>1068687.828</v>
      </c>
      <c r="GS42" s="650">
        <v>982780</v>
      </c>
      <c r="GT42" s="654"/>
      <c r="GU42" s="652">
        <f t="shared" si="109"/>
        <v>54598.888888888891</v>
      </c>
      <c r="GV42" s="33">
        <f t="shared" si="37"/>
        <v>-85907.82799999998</v>
      </c>
      <c r="GW42" s="8">
        <v>1997187.9357468651</v>
      </c>
      <c r="GX42" s="9">
        <f>SUBTOTAL(9,GY42:GZ42)</f>
        <v>2024741</v>
      </c>
      <c r="GY42" s="11">
        <v>334225</v>
      </c>
      <c r="GZ42" s="11">
        <v>1690516</v>
      </c>
      <c r="HA42" s="33">
        <f t="shared" si="39"/>
        <v>27553.064253134886</v>
      </c>
      <c r="HB42" s="640">
        <f t="shared" si="110"/>
        <v>112485.61111111111</v>
      </c>
      <c r="HC42" s="9"/>
      <c r="HD42" s="8">
        <v>360000</v>
      </c>
      <c r="HE42" s="9">
        <v>360000</v>
      </c>
      <c r="HF42" s="64"/>
      <c r="HG42" s="36">
        <f t="shared" si="111"/>
        <v>0.10545739067364131</v>
      </c>
      <c r="HH42" s="302"/>
      <c r="HI42" s="9">
        <f>12846+33334</f>
        <v>46180</v>
      </c>
      <c r="HJ42" s="20">
        <f t="shared" si="67"/>
        <v>0</v>
      </c>
      <c r="HK42" s="19">
        <f t="shared" si="112"/>
        <v>20000</v>
      </c>
      <c r="HL42" s="78">
        <f t="shared" si="113"/>
        <v>74598.888888888891</v>
      </c>
      <c r="HM42" s="20">
        <f t="shared" si="118"/>
        <v>0</v>
      </c>
      <c r="HN42" s="45">
        <v>5.0199999999999996</v>
      </c>
      <c r="HO42" s="45">
        <v>4.8499999999999996</v>
      </c>
      <c r="HP42" s="35">
        <v>0</v>
      </c>
      <c r="HQ42" s="35">
        <v>0</v>
      </c>
      <c r="HR42" s="19">
        <f t="shared" si="125"/>
        <v>74598.888888888891</v>
      </c>
      <c r="HS42" s="35">
        <v>0</v>
      </c>
      <c r="HT42" s="19">
        <f t="shared" si="126"/>
        <v>74598.888888888891</v>
      </c>
      <c r="HU42" s="47">
        <f t="shared" si="47"/>
        <v>0.39335020846875574</v>
      </c>
      <c r="HV42" s="35">
        <v>0</v>
      </c>
      <c r="HW42" s="35"/>
      <c r="HX42" s="9">
        <f t="shared" si="119"/>
        <v>0</v>
      </c>
      <c r="HY42" s="37">
        <f t="shared" si="114"/>
        <v>3413701</v>
      </c>
      <c r="HZ42" s="276">
        <v>167759</v>
      </c>
      <c r="IA42" s="276">
        <f t="shared" si="120"/>
        <v>134207</v>
      </c>
      <c r="IB42" s="114">
        <v>41941</v>
      </c>
      <c r="IC42" s="233">
        <v>19485</v>
      </c>
      <c r="ID42" s="233"/>
      <c r="IE42" s="114"/>
      <c r="IF42" s="114">
        <v>41992</v>
      </c>
      <c r="IG42" s="233"/>
      <c r="IH42" s="114">
        <v>41992</v>
      </c>
      <c r="II42" s="233">
        <v>29228</v>
      </c>
      <c r="IJ42" s="114">
        <v>42086</v>
      </c>
      <c r="IK42" s="233">
        <v>10005</v>
      </c>
      <c r="IL42" s="115">
        <v>42202</v>
      </c>
      <c r="IM42" s="322">
        <v>25161</v>
      </c>
      <c r="IN42" s="314"/>
      <c r="IO42" s="314"/>
      <c r="IP42" s="123">
        <v>42719</v>
      </c>
      <c r="IQ42" s="233"/>
      <c r="IR42" s="123">
        <v>42719</v>
      </c>
      <c r="IS42" s="233">
        <v>25164</v>
      </c>
      <c r="IT42" s="317">
        <v>42963</v>
      </c>
      <c r="IU42" s="324">
        <v>8388</v>
      </c>
      <c r="IV42" s="443"/>
      <c r="IW42" s="443"/>
      <c r="IX42" s="114">
        <v>43082</v>
      </c>
      <c r="IY42" s="115">
        <v>16776</v>
      </c>
      <c r="IZ42" s="268"/>
      <c r="JA42" s="268"/>
      <c r="JB42" s="268"/>
      <c r="JC42" s="268"/>
      <c r="JD42" s="233">
        <v>29228</v>
      </c>
      <c r="JE42" s="123"/>
      <c r="JF42" s="115"/>
      <c r="JG42" s="123"/>
      <c r="JH42" s="123"/>
      <c r="JI42" s="115"/>
    </row>
    <row r="43" spans="1:269" ht="25.5" customHeight="1">
      <c r="A43" s="4" t="s">
        <v>357</v>
      </c>
      <c r="B43" s="5" t="s">
        <v>160</v>
      </c>
      <c r="C43" s="5" t="s">
        <v>112</v>
      </c>
      <c r="D43" s="5">
        <v>2015</v>
      </c>
      <c r="E43" s="5" t="s">
        <v>249</v>
      </c>
      <c r="F43" s="5" t="s">
        <v>378</v>
      </c>
      <c r="G43" s="5"/>
      <c r="H43" s="5" t="s">
        <v>170</v>
      </c>
      <c r="I43" s="50"/>
      <c r="J43" s="50"/>
      <c r="K43" s="256" t="s">
        <v>563</v>
      </c>
      <c r="L43" s="161" t="s">
        <v>60</v>
      </c>
      <c r="M43" s="774"/>
      <c r="N43" s="105"/>
      <c r="O43" s="207">
        <v>13077</v>
      </c>
      <c r="P43" s="207">
        <v>590200</v>
      </c>
      <c r="Q43" s="207">
        <v>590200</v>
      </c>
      <c r="R43" s="207">
        <f t="shared" si="121"/>
        <v>12830.434782608696</v>
      </c>
      <c r="S43" s="207">
        <f t="shared" si="73"/>
        <v>45.132675690142996</v>
      </c>
      <c r="T43" s="213">
        <f t="shared" si="74"/>
        <v>45.132675690142996</v>
      </c>
      <c r="U43" s="213">
        <f t="shared" si="75"/>
        <v>146.36735179747637</v>
      </c>
      <c r="V43" s="213">
        <f t="shared" si="76"/>
        <v>12830.434782608696</v>
      </c>
      <c r="W43" s="207">
        <f t="shared" si="77"/>
        <v>284.28260869565219</v>
      </c>
      <c r="X43" s="208"/>
      <c r="Y43" s="209">
        <f t="shared" si="78"/>
        <v>0.308352068517244</v>
      </c>
      <c r="Z43" s="208"/>
      <c r="AA43" s="210"/>
      <c r="AB43" s="211"/>
      <c r="AC43" s="16" t="s">
        <v>15</v>
      </c>
      <c r="AD43" s="318">
        <f t="shared" si="81"/>
        <v>46</v>
      </c>
      <c r="AE43" s="5">
        <v>46</v>
      </c>
      <c r="AF43" s="6"/>
      <c r="AG43" s="61"/>
      <c r="AH43" s="61"/>
      <c r="AI43" s="268"/>
      <c r="AJ43" s="7">
        <v>4286.38</v>
      </c>
      <c r="AK43" s="54"/>
      <c r="AL43" s="421">
        <v>4032.32</v>
      </c>
      <c r="AM43" s="7"/>
      <c r="AN43" s="75"/>
      <c r="AO43" s="75"/>
      <c r="AP43" s="75">
        <f>36/AE43</f>
        <v>0.78260869565217395</v>
      </c>
      <c r="AQ43" s="75">
        <f>10/AD43</f>
        <v>0.21739130434782608</v>
      </c>
      <c r="AR43" s="75"/>
      <c r="AS43" s="7"/>
      <c r="AT43" s="73"/>
      <c r="AU43" s="75"/>
      <c r="AV43" s="56">
        <v>2</v>
      </c>
      <c r="AW43" s="53" t="s">
        <v>561</v>
      </c>
      <c r="AX43" s="5"/>
      <c r="AY43" s="785"/>
      <c r="AZ43" s="50"/>
      <c r="BA43" s="184">
        <v>41921</v>
      </c>
      <c r="BB43" s="50"/>
      <c r="BC43" s="108" t="s">
        <v>12</v>
      </c>
      <c r="BD43" s="108" t="s">
        <v>422</v>
      </c>
      <c r="BE43" s="31"/>
      <c r="BF43" s="204">
        <v>42304</v>
      </c>
      <c r="BG43" s="96">
        <v>42335</v>
      </c>
      <c r="BH43" s="96">
        <v>42600</v>
      </c>
      <c r="BI43" s="204">
        <v>42613</v>
      </c>
      <c r="BJ43" s="96">
        <v>42614</v>
      </c>
      <c r="BK43" s="159">
        <v>42614</v>
      </c>
      <c r="BL43" s="202">
        <v>42620</v>
      </c>
      <c r="BM43" s="160">
        <v>42711</v>
      </c>
      <c r="BN43" s="160">
        <v>42660</v>
      </c>
      <c r="BO43" s="298">
        <f t="shared" si="117"/>
        <v>42620</v>
      </c>
      <c r="BP43" s="297">
        <f t="shared" si="3"/>
        <v>43350</v>
      </c>
      <c r="BQ43" s="297">
        <f t="shared" si="4"/>
        <v>43715</v>
      </c>
      <c r="BR43" s="297"/>
      <c r="BS43" s="297" t="str">
        <f>IF(EU43&gt;BQ43,"oui","non")</f>
        <v>non</v>
      </c>
      <c r="BT43" s="686">
        <f t="shared" si="82"/>
        <v>10</v>
      </c>
      <c r="BU43" s="686">
        <f t="shared" si="83"/>
        <v>258519.72027750005</v>
      </c>
      <c r="BV43" s="686">
        <f t="shared" si="84"/>
        <v>0</v>
      </c>
      <c r="BW43" s="159">
        <v>42627</v>
      </c>
      <c r="BX43" s="32" t="s">
        <v>583</v>
      </c>
      <c r="BY43" s="358">
        <v>42747</v>
      </c>
      <c r="BZ43" s="380">
        <v>42753</v>
      </c>
      <c r="CA43" s="380">
        <v>42753</v>
      </c>
      <c r="CB43" s="380">
        <v>42912</v>
      </c>
      <c r="CC43" s="775"/>
      <c r="CD43" s="306">
        <v>42725</v>
      </c>
      <c r="CE43" s="251" t="s">
        <v>552</v>
      </c>
      <c r="CF43" s="156">
        <v>9447490.1300000008</v>
      </c>
      <c r="CG43" s="588">
        <f t="shared" si="122"/>
        <v>43272</v>
      </c>
      <c r="CH43" s="408">
        <f t="shared" si="123"/>
        <v>43455</v>
      </c>
      <c r="CI43" s="344">
        <v>43159</v>
      </c>
      <c r="CJ43" s="257">
        <v>43389</v>
      </c>
      <c r="CK43" s="603">
        <f t="shared" si="124"/>
        <v>0.46666666666666667</v>
      </c>
      <c r="CL43" s="123">
        <v>41130</v>
      </c>
      <c r="CM43" s="123">
        <v>41131</v>
      </c>
      <c r="CN43" s="123">
        <v>41899</v>
      </c>
      <c r="CO43" s="529">
        <f t="shared" si="85"/>
        <v>768</v>
      </c>
      <c r="CP43" s="123">
        <v>42041</v>
      </c>
      <c r="CQ43" s="123">
        <v>42040</v>
      </c>
      <c r="CR43" s="529">
        <f t="shared" si="86"/>
        <v>-1</v>
      </c>
      <c r="CS43" s="123">
        <v>42075</v>
      </c>
      <c r="CT43" s="123">
        <v>42101</v>
      </c>
      <c r="CU43" s="529">
        <f t="shared" si="87"/>
        <v>26</v>
      </c>
      <c r="CV43" s="123">
        <v>42201</v>
      </c>
      <c r="CW43" s="123">
        <v>42226</v>
      </c>
      <c r="CX43" s="529">
        <f t="shared" si="88"/>
        <v>25</v>
      </c>
      <c r="CY43" s="123">
        <v>42296</v>
      </c>
      <c r="CZ43" s="123">
        <v>42339</v>
      </c>
      <c r="DA43" s="529">
        <f t="shared" si="89"/>
        <v>43</v>
      </c>
      <c r="DB43" s="457"/>
      <c r="DC43" s="123">
        <v>42514</v>
      </c>
      <c r="DD43" s="123">
        <v>42762</v>
      </c>
      <c r="DE43" s="123">
        <v>42773</v>
      </c>
      <c r="DF43" s="529">
        <f t="shared" si="90"/>
        <v>11</v>
      </c>
      <c r="DG43" s="123">
        <v>42782</v>
      </c>
      <c r="DH43" s="354">
        <v>42782</v>
      </c>
      <c r="DI43" s="347">
        <v>2017</v>
      </c>
      <c r="DJ43" s="448">
        <f t="shared" si="91"/>
        <v>15.933333333333334</v>
      </c>
      <c r="DK43" s="529">
        <f t="shared" si="92"/>
        <v>0</v>
      </c>
      <c r="DL43" s="326">
        <v>18</v>
      </c>
      <c r="DM43" s="117">
        <f t="shared" si="93"/>
        <v>19</v>
      </c>
      <c r="DN43" s="123">
        <v>42909</v>
      </c>
      <c r="DO43" s="123">
        <v>42909</v>
      </c>
      <c r="DP43" s="529">
        <f t="shared" si="94"/>
        <v>0</v>
      </c>
      <c r="DQ43" s="316">
        <v>42942</v>
      </c>
      <c r="DR43" s="622">
        <v>43160</v>
      </c>
      <c r="DS43" s="623">
        <f t="shared" si="95"/>
        <v>218</v>
      </c>
      <c r="DT43" s="123">
        <v>43046</v>
      </c>
      <c r="DU43" s="123">
        <v>43259</v>
      </c>
      <c r="DV43" s="529">
        <f t="shared" si="96"/>
        <v>213</v>
      </c>
      <c r="DW43" s="316">
        <v>43133</v>
      </c>
      <c r="DX43" s="316">
        <v>43278</v>
      </c>
      <c r="DY43" s="701">
        <f t="shared" si="97"/>
        <v>145</v>
      </c>
      <c r="DZ43" s="539">
        <v>43182</v>
      </c>
      <c r="EA43" s="539">
        <f ca="1">IF(DZ43&lt;TODAY(),TODAY(),DZ43)</f>
        <v>43332</v>
      </c>
      <c r="EB43" s="535">
        <f t="shared" ca="1" si="98"/>
        <v>150</v>
      </c>
      <c r="EC43" s="539">
        <v>43214</v>
      </c>
      <c r="ED43" s="539">
        <f ca="1">IF(EC43&lt;TODAY(),TODAY(),EC43)</f>
        <v>43332</v>
      </c>
      <c r="EE43" s="535">
        <f t="shared" ca="1" si="99"/>
        <v>118</v>
      </c>
      <c r="EF43" s="539">
        <v>43346</v>
      </c>
      <c r="EG43" s="539">
        <f ca="1">IF(EF43&lt;TODAY(),TODAY(),EF43)</f>
        <v>43346</v>
      </c>
      <c r="EH43" s="535">
        <f t="shared" ca="1" si="100"/>
        <v>0</v>
      </c>
      <c r="EI43" s="541"/>
      <c r="EJ43" s="541"/>
      <c r="EK43" s="541"/>
      <c r="EL43" s="760">
        <f t="shared" si="101"/>
        <v>43328</v>
      </c>
      <c r="EM43" s="759">
        <v>43388</v>
      </c>
      <c r="EN43" s="755">
        <f t="shared" si="102"/>
        <v>2</v>
      </c>
      <c r="EO43" s="467">
        <v>43373</v>
      </c>
      <c r="EP43" s="186"/>
      <c r="EQ43" s="241">
        <v>42887</v>
      </c>
      <c r="ER43" s="186">
        <v>43389</v>
      </c>
      <c r="ES43" s="467"/>
      <c r="ET43" s="796">
        <f t="shared" si="103"/>
        <v>43359</v>
      </c>
      <c r="EU43" s="759">
        <v>43403</v>
      </c>
      <c r="EV43" s="414"/>
      <c r="EW43" s="752">
        <f t="shared" si="104"/>
        <v>1.4666666666666666</v>
      </c>
      <c r="EX43" s="723">
        <v>25851.972027750006</v>
      </c>
      <c r="EY43" s="777">
        <f t="shared" si="105"/>
        <v>37916.225640700002</v>
      </c>
      <c r="EZ43" s="118"/>
      <c r="FA43" s="562">
        <v>0</v>
      </c>
      <c r="FB43" s="562">
        <v>0</v>
      </c>
      <c r="FC43" s="562">
        <f>481600.82*1.021</f>
        <v>491714.43721999996</v>
      </c>
      <c r="FD43" s="562"/>
      <c r="FE43" s="562">
        <f>75606.36*1.021</f>
        <v>77194.093559999994</v>
      </c>
      <c r="FF43" s="787">
        <f>FE43/(GI43+GI44)</f>
        <v>7.760247745121426E-3</v>
      </c>
      <c r="FG43" s="559" t="s">
        <v>724</v>
      </c>
      <c r="FH43" s="662" t="s">
        <v>857</v>
      </c>
      <c r="FI43" s="662" t="s">
        <v>873</v>
      </c>
      <c r="FJ43" s="662" t="s">
        <v>806</v>
      </c>
      <c r="FK43" s="122"/>
      <c r="FL43" s="122"/>
      <c r="FM43" s="122"/>
      <c r="FN43" s="122"/>
      <c r="FO43" s="122"/>
      <c r="FP43" s="50"/>
      <c r="FQ43" s="279">
        <f t="shared" si="70"/>
        <v>43753</v>
      </c>
      <c r="FR43" s="279"/>
      <c r="FS43" s="50"/>
      <c r="FT43" s="50"/>
      <c r="FU43" s="50"/>
      <c r="FV43" s="50"/>
      <c r="FW43" s="50"/>
      <c r="FX43" s="50"/>
      <c r="FY43" s="50"/>
      <c r="FZ43" s="50"/>
      <c r="GA43" s="50"/>
      <c r="GB43" s="50"/>
      <c r="GC43" s="50"/>
      <c r="GD43" s="50"/>
      <c r="GE43" s="50"/>
      <c r="GF43" s="109"/>
      <c r="GG43" s="113"/>
      <c r="GH43" s="8">
        <f>GR43+GW43+HD43</f>
        <v>8830884.4772763215</v>
      </c>
      <c r="GI43" s="64">
        <f t="shared" si="116"/>
        <v>8447391</v>
      </c>
      <c r="GJ43" s="10"/>
      <c r="GK43" s="46">
        <f t="shared" si="106"/>
        <v>1970.7517765573748</v>
      </c>
      <c r="GL43" s="46">
        <f t="shared" si="107"/>
        <v>183638.9347826087</v>
      </c>
      <c r="GM43" s="8">
        <v>7838932.0183052132</v>
      </c>
      <c r="GN43" s="9"/>
      <c r="GO43" s="10">
        <f t="shared" si="108"/>
        <v>-7838932.0183052132</v>
      </c>
      <c r="GP43" s="128">
        <f t="shared" si="115"/>
        <v>0</v>
      </c>
      <c r="GQ43" s="130">
        <v>0.39750000000000002</v>
      </c>
      <c r="GR43" s="8">
        <v>2934715.4772763224</v>
      </c>
      <c r="GS43" s="650">
        <v>2642685</v>
      </c>
      <c r="GT43" s="654"/>
      <c r="GU43" s="652">
        <f t="shared" si="109"/>
        <v>57449.67391304348</v>
      </c>
      <c r="GV43" s="33"/>
      <c r="GW43" s="8">
        <v>5440169</v>
      </c>
      <c r="GX43" s="9">
        <f>GY43+GZ43</f>
        <v>5285874</v>
      </c>
      <c r="GY43" s="11">
        <v>1258166</v>
      </c>
      <c r="GZ43" s="11">
        <v>4027708</v>
      </c>
      <c r="HA43" s="33"/>
      <c r="HB43" s="640">
        <f t="shared" si="110"/>
        <v>114910.30434782608</v>
      </c>
      <c r="HC43" s="9"/>
      <c r="HD43" s="8">
        <v>456000</v>
      </c>
      <c r="HE43" s="9">
        <v>406000</v>
      </c>
      <c r="HF43" s="64"/>
      <c r="HG43" s="36">
        <f t="shared" si="111"/>
        <v>4.8062176830692457E-2</v>
      </c>
      <c r="HH43" s="302"/>
      <c r="HI43" s="9">
        <f>56916+55916</f>
        <v>112832</v>
      </c>
      <c r="HJ43" s="20">
        <f t="shared" si="67"/>
        <v>-50000</v>
      </c>
      <c r="HK43" s="19">
        <f t="shared" si="112"/>
        <v>8826.0869565217399</v>
      </c>
      <c r="HL43" s="78">
        <f t="shared" si="113"/>
        <v>66275.760869565216</v>
      </c>
      <c r="HM43" s="20">
        <f t="shared" si="118"/>
        <v>-1086.9565217391305</v>
      </c>
      <c r="HN43" s="45">
        <v>6.38</v>
      </c>
      <c r="HO43" s="45">
        <v>5.74</v>
      </c>
      <c r="HP43" s="35"/>
      <c r="HQ43" s="35"/>
      <c r="HR43" s="19">
        <f t="shared" si="125"/>
        <v>66275.760869565216</v>
      </c>
      <c r="HS43" s="35"/>
      <c r="HT43" s="19">
        <f t="shared" si="126"/>
        <v>66275.760869565216</v>
      </c>
      <c r="HU43" s="47">
        <f t="shared" si="47"/>
        <v>0.3609025555937922</v>
      </c>
      <c r="HV43" s="35"/>
      <c r="HW43" s="35"/>
      <c r="HX43" s="9">
        <f t="shared" si="119"/>
        <v>0</v>
      </c>
      <c r="HY43" s="37">
        <f t="shared" si="114"/>
        <v>8447391</v>
      </c>
      <c r="HZ43" s="276">
        <v>475807</v>
      </c>
      <c r="IA43" s="276">
        <f t="shared" si="120"/>
        <v>398488</v>
      </c>
      <c r="IB43" s="114">
        <v>41102</v>
      </c>
      <c r="IC43" s="233">
        <v>41000</v>
      </c>
      <c r="ID43" s="233"/>
      <c r="IE43" s="114"/>
      <c r="IF43" s="114"/>
      <c r="IG43" s="233"/>
      <c r="IH43" s="114"/>
      <c r="II43" s="233">
        <v>81523</v>
      </c>
      <c r="IJ43" s="114"/>
      <c r="IK43" s="233">
        <v>46614</v>
      </c>
      <c r="IL43" s="115">
        <v>42039</v>
      </c>
      <c r="IM43" s="322">
        <v>72488</v>
      </c>
      <c r="IN43" s="314"/>
      <c r="IO43" s="314"/>
      <c r="IP43" s="123">
        <v>42716</v>
      </c>
      <c r="IQ43" s="315">
        <v>18438</v>
      </c>
      <c r="IR43" s="123">
        <v>42794</v>
      </c>
      <c r="IS43" s="315">
        <v>47284</v>
      </c>
      <c r="IT43" s="629" t="s">
        <v>785</v>
      </c>
      <c r="IU43" s="115">
        <f>21278+2364</f>
        <v>23642</v>
      </c>
      <c r="IV43" s="114">
        <v>43290</v>
      </c>
      <c r="IW43" s="115">
        <v>67499</v>
      </c>
      <c r="IX43" s="115"/>
      <c r="IY43" s="115"/>
      <c r="IZ43" s="773">
        <v>0.75</v>
      </c>
      <c r="JA43" s="115"/>
      <c r="JB43" s="268"/>
      <c r="JC43" s="268"/>
      <c r="JD43" s="233">
        <v>81523</v>
      </c>
      <c r="JE43" s="123"/>
      <c r="JF43" s="115"/>
      <c r="JG43" s="123"/>
      <c r="JH43" s="123"/>
      <c r="JI43" s="115"/>
    </row>
    <row r="44" spans="1:269" ht="36.75" customHeight="1">
      <c r="A44" s="4" t="s">
        <v>607</v>
      </c>
      <c r="B44" s="5" t="s">
        <v>160</v>
      </c>
      <c r="C44" s="5" t="s">
        <v>112</v>
      </c>
      <c r="D44" s="5">
        <v>2015</v>
      </c>
      <c r="E44" s="5" t="s">
        <v>249</v>
      </c>
      <c r="F44" s="5" t="s">
        <v>378</v>
      </c>
      <c r="G44" s="5" t="s">
        <v>471</v>
      </c>
      <c r="H44" s="5" t="s">
        <v>170</v>
      </c>
      <c r="I44" s="50"/>
      <c r="J44" s="50"/>
      <c r="K44" s="256" t="s">
        <v>563</v>
      </c>
      <c r="L44" s="161" t="s">
        <v>60</v>
      </c>
      <c r="M44" s="104" t="s">
        <v>65</v>
      </c>
      <c r="N44" s="105"/>
      <c r="O44" s="207">
        <v>13077</v>
      </c>
      <c r="P44" s="207"/>
      <c r="Q44" s="207"/>
      <c r="R44" s="207">
        <f t="shared" si="121"/>
        <v>0</v>
      </c>
      <c r="S44" s="207">
        <f t="shared" si="73"/>
        <v>0</v>
      </c>
      <c r="T44" s="213">
        <f t="shared" si="74"/>
        <v>0</v>
      </c>
      <c r="U44" s="213">
        <f t="shared" si="75"/>
        <v>0</v>
      </c>
      <c r="V44" s="213">
        <f t="shared" si="76"/>
        <v>0</v>
      </c>
      <c r="W44" s="207">
        <f t="shared" si="77"/>
        <v>1089.75</v>
      </c>
      <c r="X44" s="208"/>
      <c r="Y44" s="209">
        <f t="shared" si="78"/>
        <v>5.1805459967882543E-2</v>
      </c>
      <c r="Z44" s="208"/>
      <c r="AA44" s="210"/>
      <c r="AB44" s="211"/>
      <c r="AC44" s="16" t="s">
        <v>16</v>
      </c>
      <c r="AD44" s="318">
        <f t="shared" si="81"/>
        <v>12</v>
      </c>
      <c r="AE44" s="6"/>
      <c r="AF44" s="5">
        <v>12</v>
      </c>
      <c r="AG44" s="50"/>
      <c r="AH44" s="50"/>
      <c r="AI44" s="268"/>
      <c r="AJ44" s="7">
        <v>1301.51</v>
      </c>
      <c r="AK44" s="54"/>
      <c r="AL44" s="421">
        <v>677.46</v>
      </c>
      <c r="AM44" s="7">
        <f t="shared" ref="AM44:AM54" si="127">AL44/AD44</f>
        <v>56.455000000000005</v>
      </c>
      <c r="AN44" s="75"/>
      <c r="AO44" s="75">
        <f>12/AD44</f>
        <v>1</v>
      </c>
      <c r="AP44" s="75"/>
      <c r="AQ44" s="75"/>
      <c r="AR44" s="75"/>
      <c r="AS44" s="7"/>
      <c r="AT44" s="73"/>
      <c r="AU44" s="75"/>
      <c r="AV44" s="54">
        <v>2</v>
      </c>
      <c r="AW44" s="53" t="s">
        <v>561</v>
      </c>
      <c r="AX44" s="5"/>
      <c r="AY44" s="785"/>
      <c r="AZ44" s="50"/>
      <c r="BA44" s="184">
        <v>41921</v>
      </c>
      <c r="BB44" s="50"/>
      <c r="BC44" s="110" t="s">
        <v>12</v>
      </c>
      <c r="BD44" s="108" t="s">
        <v>422</v>
      </c>
      <c r="BE44" s="31"/>
      <c r="BF44" s="204">
        <v>42306</v>
      </c>
      <c r="BG44" s="96">
        <v>42335</v>
      </c>
      <c r="BH44" s="96">
        <v>42600</v>
      </c>
      <c r="BI44" s="204">
        <v>42613</v>
      </c>
      <c r="BJ44" s="96">
        <v>42614</v>
      </c>
      <c r="BK44" s="159">
        <v>42614</v>
      </c>
      <c r="BL44" s="202">
        <v>42622</v>
      </c>
      <c r="BM44" s="160">
        <v>42713</v>
      </c>
      <c r="BN44" s="160">
        <v>42660</v>
      </c>
      <c r="BO44" s="298">
        <f t="shared" si="117"/>
        <v>42622</v>
      </c>
      <c r="BP44" s="297">
        <f t="shared" si="3"/>
        <v>43352</v>
      </c>
      <c r="BQ44" s="297">
        <f t="shared" si="4"/>
        <v>43717</v>
      </c>
      <c r="BR44" s="297"/>
      <c r="BS44" s="297" t="str">
        <f>IF(EU44&gt;BQ44,"oui","non")</f>
        <v>non</v>
      </c>
      <c r="BT44" s="686">
        <f t="shared" si="82"/>
        <v>10</v>
      </c>
      <c r="BU44" s="686">
        <f t="shared" si="83"/>
        <v>39730</v>
      </c>
      <c r="BV44" s="686">
        <f t="shared" si="84"/>
        <v>0</v>
      </c>
      <c r="BW44" s="159">
        <v>42627</v>
      </c>
      <c r="BX44" s="32" t="s">
        <v>585</v>
      </c>
      <c r="BY44" s="358">
        <v>42747</v>
      </c>
      <c r="BZ44" s="380">
        <v>42753</v>
      </c>
      <c r="CA44" s="380">
        <v>42753</v>
      </c>
      <c r="CB44" s="794">
        <v>42912</v>
      </c>
      <c r="CC44" s="155" t="s">
        <v>65</v>
      </c>
      <c r="CD44" s="306">
        <v>42725</v>
      </c>
      <c r="CE44" s="251" t="s">
        <v>552</v>
      </c>
      <c r="CF44" s="156">
        <v>9447490.1300000008</v>
      </c>
      <c r="CG44" s="588">
        <f t="shared" si="122"/>
        <v>43272</v>
      </c>
      <c r="CH44" s="408">
        <f t="shared" si="123"/>
        <v>43455</v>
      </c>
      <c r="CI44" s="344"/>
      <c r="CJ44" s="257">
        <v>43389</v>
      </c>
      <c r="CK44" s="603">
        <f t="shared" si="124"/>
        <v>0.46666666666666667</v>
      </c>
      <c r="CL44" s="123"/>
      <c r="CM44" s="123"/>
      <c r="CN44" s="123"/>
      <c r="CO44" s="529" t="str">
        <f t="shared" si="85"/>
        <v>0</v>
      </c>
      <c r="CP44" s="123"/>
      <c r="CQ44" s="123"/>
      <c r="CR44" s="529" t="str">
        <f t="shared" si="86"/>
        <v>0</v>
      </c>
      <c r="CS44" s="123"/>
      <c r="CT44" s="123"/>
      <c r="CU44" s="529" t="str">
        <f t="shared" si="87"/>
        <v>0</v>
      </c>
      <c r="CV44" s="126"/>
      <c r="CW44" s="123"/>
      <c r="CX44" s="529" t="str">
        <f t="shared" si="88"/>
        <v>0</v>
      </c>
      <c r="CY44" s="123"/>
      <c r="CZ44" s="123"/>
      <c r="DA44" s="529" t="str">
        <f t="shared" si="89"/>
        <v>0</v>
      </c>
      <c r="DB44" s="457"/>
      <c r="DC44" s="123"/>
      <c r="DD44" s="123"/>
      <c r="DE44" s="123"/>
      <c r="DF44" s="529" t="str">
        <f t="shared" si="90"/>
        <v>0</v>
      </c>
      <c r="DG44" s="123"/>
      <c r="DH44" s="354">
        <v>42782</v>
      </c>
      <c r="DI44" s="347">
        <v>2017</v>
      </c>
      <c r="DJ44" s="448">
        <f t="shared" si="91"/>
        <v>15.866666666666667</v>
      </c>
      <c r="DK44" s="529" t="str">
        <f t="shared" si="92"/>
        <v>0</v>
      </c>
      <c r="DL44" s="326">
        <v>18</v>
      </c>
      <c r="DM44" s="117">
        <f t="shared" si="93"/>
        <v>19</v>
      </c>
      <c r="DN44" s="123"/>
      <c r="DO44" s="123"/>
      <c r="DP44" s="529" t="str">
        <f t="shared" si="94"/>
        <v>0</v>
      </c>
      <c r="DQ44" s="316"/>
      <c r="DR44" s="622"/>
      <c r="DS44" s="623" t="str">
        <f t="shared" si="95"/>
        <v>0</v>
      </c>
      <c r="DT44" s="123"/>
      <c r="DU44" s="123"/>
      <c r="DV44" s="529" t="str">
        <f t="shared" si="96"/>
        <v>0</v>
      </c>
      <c r="DW44" s="316"/>
      <c r="DX44" s="316"/>
      <c r="DY44" s="701" t="str">
        <f t="shared" si="97"/>
        <v>0</v>
      </c>
      <c r="DZ44" s="539"/>
      <c r="EA44" s="539"/>
      <c r="EB44" s="535" t="str">
        <f t="shared" si="98"/>
        <v>0</v>
      </c>
      <c r="EC44" s="539"/>
      <c r="ED44" s="539"/>
      <c r="EE44" s="535" t="str">
        <f t="shared" si="99"/>
        <v>0</v>
      </c>
      <c r="EF44" s="539"/>
      <c r="EG44" s="539"/>
      <c r="EH44" s="535" t="str">
        <f t="shared" si="100"/>
        <v>0</v>
      </c>
      <c r="EI44" s="541"/>
      <c r="EJ44" s="541"/>
      <c r="EK44" s="541"/>
      <c r="EL44" s="760">
        <f t="shared" si="101"/>
        <v>43328</v>
      </c>
      <c r="EM44" s="759">
        <v>43388</v>
      </c>
      <c r="EN44" s="755">
        <f t="shared" si="102"/>
        <v>2</v>
      </c>
      <c r="EO44" s="467">
        <f t="shared" ref="EO44:EO70" si="128">DATE(YEAR(CI44)+2,MONTH(CI44),DAY(CI44))</f>
        <v>731</v>
      </c>
      <c r="EP44" s="186"/>
      <c r="EQ44" s="241">
        <v>42887</v>
      </c>
      <c r="ER44" s="186">
        <v>43389</v>
      </c>
      <c r="ES44" s="467"/>
      <c r="ET44" s="796">
        <f t="shared" si="103"/>
        <v>43359</v>
      </c>
      <c r="EU44" s="759">
        <v>43403</v>
      </c>
      <c r="EV44" s="414"/>
      <c r="EW44" s="752">
        <f t="shared" si="104"/>
        <v>1.4666666666666666</v>
      </c>
      <c r="EX44" s="723">
        <v>3973</v>
      </c>
      <c r="EY44" s="234">
        <f t="shared" si="105"/>
        <v>5827.0666666666666</v>
      </c>
      <c r="EZ44" s="118"/>
      <c r="FA44" s="562">
        <v>0</v>
      </c>
      <c r="FB44" s="562">
        <v>0</v>
      </c>
      <c r="FC44" s="233" t="s">
        <v>551</v>
      </c>
      <c r="FD44" s="233"/>
      <c r="FE44" s="233"/>
      <c r="FF44" s="787">
        <f t="shared" ref="FF44:FF54" si="129">FE44/GI44</f>
        <v>0</v>
      </c>
      <c r="FG44" s="115"/>
      <c r="FH44" s="664"/>
      <c r="FI44" s="664"/>
      <c r="FJ44" s="664"/>
      <c r="FK44" s="122"/>
      <c r="FL44" s="122"/>
      <c r="FM44" s="122"/>
      <c r="FN44" s="122"/>
      <c r="FO44" s="122"/>
      <c r="FP44" s="50"/>
      <c r="FQ44" s="279">
        <f t="shared" si="70"/>
        <v>43753</v>
      </c>
      <c r="FR44" s="279"/>
      <c r="FS44" s="50"/>
      <c r="FT44" s="50"/>
      <c r="FU44" s="50"/>
      <c r="FV44" s="50"/>
      <c r="FW44" s="50"/>
      <c r="FX44" s="50"/>
      <c r="FY44" s="50"/>
      <c r="FZ44" s="50"/>
      <c r="GA44" s="114"/>
      <c r="GB44" s="50"/>
      <c r="GC44" s="50"/>
      <c r="GD44" s="50"/>
      <c r="GE44" s="50"/>
      <c r="GF44" s="109"/>
      <c r="GG44" s="113"/>
      <c r="GH44" s="8">
        <f>GR44+GW44+HD44</f>
        <v>1416864.7499111779</v>
      </c>
      <c r="GI44" s="64">
        <f t="shared" si="116"/>
        <v>1499983.8900000001</v>
      </c>
      <c r="GJ44" s="10">
        <f>GI44-GH44</f>
        <v>83119.140088822227</v>
      </c>
      <c r="GK44" s="46">
        <f t="shared" si="106"/>
        <v>1152.4950941598606</v>
      </c>
      <c r="GL44" s="46">
        <f t="shared" si="107"/>
        <v>124998.65750000002</v>
      </c>
      <c r="GM44" s="8">
        <v>1249637.106694787</v>
      </c>
      <c r="GN44" s="9"/>
      <c r="GO44" s="10">
        <f t="shared" si="108"/>
        <v>-1249637.106694787</v>
      </c>
      <c r="GP44" s="128">
        <f t="shared" si="115"/>
        <v>0</v>
      </c>
      <c r="GQ44" s="130">
        <v>0.39750000000000002</v>
      </c>
      <c r="GR44" s="8">
        <v>410870.74991117785</v>
      </c>
      <c r="GS44" s="650">
        <v>443491.89</v>
      </c>
      <c r="GT44" s="654"/>
      <c r="GU44" s="652">
        <f t="shared" si="109"/>
        <v>36957.657500000001</v>
      </c>
      <c r="GV44" s="33">
        <f>GS44-GR44</f>
        <v>32621.140088822169</v>
      </c>
      <c r="GW44" s="8">
        <v>789994</v>
      </c>
      <c r="GX44" s="9">
        <f>GY44+GZ44</f>
        <v>771556</v>
      </c>
      <c r="GY44" s="11">
        <v>172922</v>
      </c>
      <c r="GZ44" s="11">
        <v>598634</v>
      </c>
      <c r="HA44" s="33">
        <f t="shared" ref="HA44:HA60" si="130">GX44-GW44</f>
        <v>-18438</v>
      </c>
      <c r="HB44" s="640">
        <f t="shared" si="110"/>
        <v>64296.333333333336</v>
      </c>
      <c r="HC44" s="9"/>
      <c r="HD44" s="8">
        <v>216000</v>
      </c>
      <c r="HE44" s="9">
        <v>266000</v>
      </c>
      <c r="HF44" s="64"/>
      <c r="HG44" s="36">
        <f t="shared" si="111"/>
        <v>0.17733523791378852</v>
      </c>
      <c r="HH44" s="302"/>
      <c r="HI44" s="9">
        <f>9552+9384</f>
        <v>18936</v>
      </c>
      <c r="HJ44" s="20">
        <f t="shared" si="67"/>
        <v>50000</v>
      </c>
      <c r="HK44" s="19">
        <f t="shared" si="112"/>
        <v>22166.666666666668</v>
      </c>
      <c r="HL44" s="78">
        <f t="shared" si="113"/>
        <v>59124.324166666665</v>
      </c>
      <c r="HM44" s="20">
        <f t="shared" si="118"/>
        <v>4166.666666666667</v>
      </c>
      <c r="HN44" s="45">
        <v>5.85</v>
      </c>
      <c r="HO44" s="45">
        <v>5.84</v>
      </c>
      <c r="HP44" s="35">
        <v>0</v>
      </c>
      <c r="HQ44" s="35">
        <v>0</v>
      </c>
      <c r="HR44" s="19">
        <f t="shared" si="125"/>
        <v>59124.324166666665</v>
      </c>
      <c r="HS44" s="35">
        <v>0</v>
      </c>
      <c r="HT44" s="19">
        <f t="shared" si="126"/>
        <v>59124.324166666665</v>
      </c>
      <c r="HU44" s="47">
        <f t="shared" si="47"/>
        <v>0.47299967334982507</v>
      </c>
      <c r="HV44" s="35">
        <v>0</v>
      </c>
      <c r="HW44" s="35"/>
      <c r="HX44" s="9">
        <f t="shared" si="119"/>
        <v>0</v>
      </c>
      <c r="HY44" s="37">
        <f t="shared" si="114"/>
        <v>1499983.8900000001</v>
      </c>
      <c r="HZ44" s="276"/>
      <c r="IA44" s="276">
        <f t="shared" si="120"/>
        <v>0</v>
      </c>
      <c r="IB44" s="114"/>
      <c r="IC44" s="233"/>
      <c r="ID44" s="233"/>
      <c r="IE44" s="114"/>
      <c r="IF44" s="114"/>
      <c r="IG44" s="233"/>
      <c r="IH44" s="114"/>
      <c r="II44" s="233"/>
      <c r="IJ44" s="114"/>
      <c r="IK44" s="233"/>
      <c r="IL44" s="115"/>
      <c r="IM44" s="322"/>
      <c r="IN44" s="314"/>
      <c r="IO44" s="314"/>
      <c r="IP44" s="123"/>
      <c r="IQ44" s="233"/>
      <c r="IR44" s="123"/>
      <c r="IS44" s="233"/>
      <c r="IT44" s="299"/>
      <c r="IU44" s="299"/>
      <c r="IV44" s="299"/>
      <c r="IW44" s="299"/>
      <c r="IX44" s="268"/>
      <c r="IY44" s="268"/>
      <c r="IZ44" s="268"/>
      <c r="JA44" s="268"/>
      <c r="JB44" s="268"/>
      <c r="JC44" s="268"/>
      <c r="JD44" s="233"/>
      <c r="JE44" s="123"/>
      <c r="JF44" s="115"/>
      <c r="JG44" s="123"/>
      <c r="JH44" s="123"/>
      <c r="JI44" s="115"/>
    </row>
    <row r="45" spans="1:269" ht="15" customHeight="1">
      <c r="A45" s="80" t="s">
        <v>547</v>
      </c>
      <c r="B45" s="5" t="s">
        <v>28</v>
      </c>
      <c r="C45" s="5" t="s">
        <v>110</v>
      </c>
      <c r="D45" s="5">
        <v>2015</v>
      </c>
      <c r="E45" s="5" t="s">
        <v>517</v>
      </c>
      <c r="F45" s="5" t="s">
        <v>30</v>
      </c>
      <c r="G45" s="5" t="s">
        <v>471</v>
      </c>
      <c r="H45" s="5" t="s">
        <v>170</v>
      </c>
      <c r="I45" s="50"/>
      <c r="J45" s="50"/>
      <c r="K45" s="256"/>
      <c r="L45" s="161"/>
      <c r="M45" s="104" t="s">
        <v>142</v>
      </c>
      <c r="N45" s="105"/>
      <c r="O45" s="213">
        <v>3038</v>
      </c>
      <c r="P45" s="213">
        <f>Q45</f>
        <v>690000</v>
      </c>
      <c r="Q45" s="213">
        <v>690000</v>
      </c>
      <c r="R45" s="207">
        <f t="shared" si="121"/>
        <v>12545.454545454546</v>
      </c>
      <c r="S45" s="213">
        <f t="shared" si="73"/>
        <v>227.12310730743911</v>
      </c>
      <c r="T45" s="213">
        <f t="shared" si="74"/>
        <v>227.12310730743911</v>
      </c>
      <c r="U45" s="213">
        <f t="shared" si="75"/>
        <v>213.33959953992851</v>
      </c>
      <c r="V45" s="213">
        <f t="shared" si="76"/>
        <v>12545.454545454546</v>
      </c>
      <c r="W45" s="207">
        <f t="shared" si="77"/>
        <v>55.236363636363635</v>
      </c>
      <c r="X45" s="217"/>
      <c r="Y45" s="218">
        <f t="shared" si="78"/>
        <v>1.0646082949308757</v>
      </c>
      <c r="Z45" s="217" t="s">
        <v>185</v>
      </c>
      <c r="AA45" s="210"/>
      <c r="AB45" s="211"/>
      <c r="AC45" s="16" t="s">
        <v>16</v>
      </c>
      <c r="AD45" s="318">
        <f t="shared" si="81"/>
        <v>55</v>
      </c>
      <c r="AE45" s="6"/>
      <c r="AF45" s="5">
        <f>55*1</f>
        <v>55</v>
      </c>
      <c r="AG45" s="50"/>
      <c r="AH45" s="50"/>
      <c r="AI45" s="268">
        <v>3155.3</v>
      </c>
      <c r="AJ45" s="7">
        <v>3218.48</v>
      </c>
      <c r="AK45" s="54">
        <v>3234.28</v>
      </c>
      <c r="AL45" s="421">
        <v>3234.28</v>
      </c>
      <c r="AM45" s="7">
        <f t="shared" si="127"/>
        <v>58.805090909090914</v>
      </c>
      <c r="AN45" s="56"/>
      <c r="AO45" s="75">
        <v>1</v>
      </c>
      <c r="AP45" s="56"/>
      <c r="AQ45" s="56"/>
      <c r="AR45" s="56"/>
      <c r="AS45" s="7"/>
      <c r="AT45" s="73">
        <v>0</v>
      </c>
      <c r="AU45" s="75">
        <f>AT45/O45</f>
        <v>0</v>
      </c>
      <c r="AV45" s="54">
        <v>3</v>
      </c>
      <c r="AW45" s="53" t="s">
        <v>561</v>
      </c>
      <c r="AX45" s="5"/>
      <c r="AY45" s="785">
        <v>6373285</v>
      </c>
      <c r="AZ45" s="50"/>
      <c r="BA45" s="52" t="s">
        <v>309</v>
      </c>
      <c r="BB45" s="50"/>
      <c r="BC45" s="108" t="s">
        <v>11</v>
      </c>
      <c r="BD45" s="108" t="s">
        <v>516</v>
      </c>
      <c r="BE45" s="424"/>
      <c r="BF45" s="204">
        <v>42320</v>
      </c>
      <c r="BG45" s="96"/>
      <c r="BH45" s="96">
        <v>42649</v>
      </c>
      <c r="BI45" s="204">
        <v>42697</v>
      </c>
      <c r="BJ45" s="96">
        <v>42698</v>
      </c>
      <c r="BK45" s="159">
        <v>42697</v>
      </c>
      <c r="BL45" s="202">
        <v>42719</v>
      </c>
      <c r="BM45" s="160">
        <v>42805</v>
      </c>
      <c r="BN45" s="160">
        <v>42727</v>
      </c>
      <c r="BO45" s="298">
        <f t="shared" si="117"/>
        <v>42719</v>
      </c>
      <c r="BP45" s="297">
        <f t="shared" si="3"/>
        <v>43449</v>
      </c>
      <c r="BQ45" s="297">
        <f t="shared" si="4"/>
        <v>43814</v>
      </c>
      <c r="BR45" s="297"/>
      <c r="BS45" s="297" t="str">
        <f>IF(EU45&gt;BP45,"oui","non")</f>
        <v>oui</v>
      </c>
      <c r="BT45" s="686">
        <f t="shared" si="82"/>
        <v>10</v>
      </c>
      <c r="BU45" s="686">
        <f t="shared" si="83"/>
        <v>0</v>
      </c>
      <c r="BV45" s="686">
        <f t="shared" si="84"/>
        <v>0</v>
      </c>
      <c r="BW45" s="159"/>
      <c r="BX45" s="425" t="s">
        <v>588</v>
      </c>
      <c r="BY45" s="379">
        <v>42823</v>
      </c>
      <c r="BZ45" s="379">
        <v>42850</v>
      </c>
      <c r="CA45" s="380">
        <v>42915</v>
      </c>
      <c r="CB45" s="379">
        <v>42915</v>
      </c>
      <c r="CC45" s="155" t="s">
        <v>142</v>
      </c>
      <c r="CD45" s="306">
        <v>42727</v>
      </c>
      <c r="CE45" s="408" t="s">
        <v>552</v>
      </c>
      <c r="CF45" s="587">
        <v>6242199</v>
      </c>
      <c r="CG45" s="306">
        <f t="shared" si="122"/>
        <v>43274</v>
      </c>
      <c r="CH45" s="408">
        <f t="shared" si="123"/>
        <v>43457</v>
      </c>
      <c r="CI45" s="408">
        <v>43018</v>
      </c>
      <c r="CJ45" s="257">
        <v>43457</v>
      </c>
      <c r="CK45" s="603">
        <f t="shared" si="124"/>
        <v>1.3333333333333333</v>
      </c>
      <c r="CL45" s="123"/>
      <c r="CM45" s="123"/>
      <c r="CN45" s="123"/>
      <c r="CO45" s="529" t="str">
        <f t="shared" si="85"/>
        <v>0</v>
      </c>
      <c r="CP45" s="123">
        <v>42041</v>
      </c>
      <c r="CQ45" s="123">
        <v>41982</v>
      </c>
      <c r="CR45" s="529">
        <f t="shared" si="86"/>
        <v>-59</v>
      </c>
      <c r="CS45" s="123"/>
      <c r="CT45" s="123"/>
      <c r="CU45" s="529" t="str">
        <f t="shared" si="87"/>
        <v>0</v>
      </c>
      <c r="CV45" s="123"/>
      <c r="CW45" s="123"/>
      <c r="CX45" s="529" t="str">
        <f t="shared" si="88"/>
        <v>0</v>
      </c>
      <c r="CY45" s="123"/>
      <c r="CZ45" s="123"/>
      <c r="DA45" s="529" t="str">
        <f t="shared" si="89"/>
        <v>0</v>
      </c>
      <c r="DB45" s="457"/>
      <c r="DC45" s="123"/>
      <c r="DD45" s="123"/>
      <c r="DE45" s="123"/>
      <c r="DF45" s="529" t="str">
        <f t="shared" si="90"/>
        <v>0</v>
      </c>
      <c r="DG45" s="123">
        <v>42741</v>
      </c>
      <c r="DH45" s="354">
        <v>42767</v>
      </c>
      <c r="DI45" s="347">
        <v>2017</v>
      </c>
      <c r="DJ45" s="448">
        <f t="shared" si="91"/>
        <v>14.9</v>
      </c>
      <c r="DK45" s="529">
        <f t="shared" si="92"/>
        <v>26</v>
      </c>
      <c r="DL45" s="326">
        <v>22</v>
      </c>
      <c r="DM45" s="117">
        <f t="shared" si="93"/>
        <v>22</v>
      </c>
      <c r="DN45" s="123">
        <v>42824</v>
      </c>
      <c r="DO45" s="123">
        <v>42807</v>
      </c>
      <c r="DP45" s="529">
        <f t="shared" si="94"/>
        <v>-17</v>
      </c>
      <c r="DQ45" s="123">
        <v>42946</v>
      </c>
      <c r="DR45" s="573">
        <v>42895</v>
      </c>
      <c r="DS45" s="532">
        <f t="shared" si="95"/>
        <v>-51</v>
      </c>
      <c r="DT45" s="123"/>
      <c r="DU45" s="123">
        <v>42996</v>
      </c>
      <c r="DV45" s="529" t="str">
        <f t="shared" si="96"/>
        <v>0</v>
      </c>
      <c r="DW45" s="539">
        <v>43038</v>
      </c>
      <c r="DX45" s="539">
        <f ca="1">IF(DW45&lt;TODAY(),TODAY(),DW45)</f>
        <v>43332</v>
      </c>
      <c r="DY45" s="535">
        <f t="shared" ca="1" si="97"/>
        <v>294</v>
      </c>
      <c r="DZ45" s="539">
        <v>43038</v>
      </c>
      <c r="EA45" s="539">
        <f ca="1">IF(DZ45&lt;TODAY(),TODAY(),DZ45)</f>
        <v>43332</v>
      </c>
      <c r="EB45" s="535">
        <f t="shared" ca="1" si="98"/>
        <v>294</v>
      </c>
      <c r="EC45" s="539">
        <v>43159</v>
      </c>
      <c r="ED45" s="539">
        <f ca="1">IF(EC45&lt;TODAY(),TODAY(),EC45)</f>
        <v>43332</v>
      </c>
      <c r="EE45" s="535">
        <f t="shared" ca="1" si="99"/>
        <v>173</v>
      </c>
      <c r="EF45" s="539">
        <v>43465</v>
      </c>
      <c r="EG45" s="539">
        <f t="shared" ref="EG45:EG88" ca="1" si="131">IF(EF45&lt;TODAY(),TODAY(),EF45)</f>
        <v>43465</v>
      </c>
      <c r="EH45" s="535">
        <f t="shared" ca="1" si="100"/>
        <v>0</v>
      </c>
      <c r="EI45" s="539"/>
      <c r="EJ45" s="539"/>
      <c r="EK45" s="539"/>
      <c r="EL45" s="760">
        <f t="shared" si="101"/>
        <v>43435</v>
      </c>
      <c r="EM45" s="759">
        <v>43457</v>
      </c>
      <c r="EN45" s="755">
        <f t="shared" si="102"/>
        <v>0.73333333333333328</v>
      </c>
      <c r="EO45" s="580">
        <f t="shared" si="128"/>
        <v>43748</v>
      </c>
      <c r="EP45" s="244"/>
      <c r="EQ45" s="244"/>
      <c r="ER45" s="186">
        <f>DATE(YEAR(EM45),MONTH(EM45)+1,DAY(EM45))</f>
        <v>43488</v>
      </c>
      <c r="ES45" s="467"/>
      <c r="ET45" s="578">
        <f t="shared" si="103"/>
        <v>43466</v>
      </c>
      <c r="EU45" s="759">
        <v>43497</v>
      </c>
      <c r="EV45" s="581"/>
      <c r="EW45" s="752">
        <f t="shared" si="104"/>
        <v>1.0333333333333334</v>
      </c>
      <c r="EX45" s="722"/>
      <c r="EY45" s="234">
        <f t="shared" si="105"/>
        <v>0</v>
      </c>
      <c r="EZ45" s="118"/>
      <c r="FA45" s="562">
        <v>0</v>
      </c>
      <c r="FB45" s="562">
        <v>0</v>
      </c>
      <c r="FC45" s="562">
        <v>0</v>
      </c>
      <c r="FD45" s="562"/>
      <c r="FE45" s="562">
        <v>0</v>
      </c>
      <c r="FF45" s="787">
        <f t="shared" si="129"/>
        <v>0</v>
      </c>
      <c r="FG45" s="559" t="s">
        <v>30</v>
      </c>
      <c r="FH45" s="571"/>
      <c r="FI45" s="571"/>
      <c r="FJ45" s="662"/>
      <c r="FK45" s="122"/>
      <c r="FL45" s="122"/>
      <c r="FM45" s="122"/>
      <c r="FN45" s="122"/>
      <c r="FO45" s="122"/>
      <c r="FP45" s="50"/>
      <c r="FQ45" s="279">
        <f t="shared" si="70"/>
        <v>43822</v>
      </c>
      <c r="FR45" s="279"/>
      <c r="FS45" s="50"/>
      <c r="FT45" s="50"/>
      <c r="FU45" s="50"/>
      <c r="FV45" s="50"/>
      <c r="FW45" s="50"/>
      <c r="FX45" s="50"/>
      <c r="FY45" s="50"/>
      <c r="FZ45" s="50"/>
      <c r="GA45" s="114"/>
      <c r="GB45" s="50"/>
      <c r="GC45" s="50"/>
      <c r="GD45" s="50"/>
      <c r="GE45" s="50"/>
      <c r="GF45" s="109"/>
      <c r="GG45" s="113"/>
      <c r="GH45" s="8">
        <f>+GR45+GW45+HD45+HX45</f>
        <v>6578594.558091728</v>
      </c>
      <c r="GI45" s="64">
        <f t="shared" si="116"/>
        <v>6893824</v>
      </c>
      <c r="GJ45" s="10"/>
      <c r="GK45" s="46">
        <f t="shared" si="106"/>
        <v>2141.9502373791356</v>
      </c>
      <c r="GL45" s="46">
        <f t="shared" si="107"/>
        <v>125342.25454545455</v>
      </c>
      <c r="GM45" s="8">
        <v>5462235</v>
      </c>
      <c r="GN45" s="9">
        <v>5874333.7564800717</v>
      </c>
      <c r="GO45" s="10">
        <f t="shared" si="108"/>
        <v>412098.75648007169</v>
      </c>
      <c r="GP45" s="128">
        <f t="shared" si="115"/>
        <v>0.87000984727288555</v>
      </c>
      <c r="GQ45" s="130">
        <v>0.39772600000000002</v>
      </c>
      <c r="GR45" s="8">
        <v>1733988.3513843757</v>
      </c>
      <c r="GS45" s="650">
        <v>1928374</v>
      </c>
      <c r="GT45" s="654"/>
      <c r="GU45" s="652">
        <f t="shared" si="109"/>
        <v>35061.345454545452</v>
      </c>
      <c r="GV45" s="33">
        <f>GS45-GR45</f>
        <v>194385.64861562429</v>
      </c>
      <c r="GW45" s="8">
        <v>3744606.2067073518</v>
      </c>
      <c r="GX45" s="9">
        <f>GZ45+GY45</f>
        <v>3865450</v>
      </c>
      <c r="GY45" s="11">
        <v>735184</v>
      </c>
      <c r="GZ45" s="11">
        <v>3130266</v>
      </c>
      <c r="HA45" s="33">
        <f t="shared" si="130"/>
        <v>120843.79329264816</v>
      </c>
      <c r="HB45" s="640">
        <f t="shared" si="110"/>
        <v>70280.909090909088</v>
      </c>
      <c r="HC45" s="9"/>
      <c r="HD45" s="8">
        <f>1100000*1</f>
        <v>1100000</v>
      </c>
      <c r="HE45" s="9">
        <v>1100000</v>
      </c>
      <c r="HF45" s="64">
        <v>0</v>
      </c>
      <c r="HG45" s="36">
        <f t="shared" si="111"/>
        <v>0.15956311040142598</v>
      </c>
      <c r="HH45" s="302"/>
      <c r="HI45" s="9">
        <v>0</v>
      </c>
      <c r="HJ45" s="20">
        <f t="shared" si="67"/>
        <v>0</v>
      </c>
      <c r="HK45" s="19">
        <f t="shared" si="112"/>
        <v>20000</v>
      </c>
      <c r="HL45" s="78">
        <f t="shared" si="113"/>
        <v>55061.345454545452</v>
      </c>
      <c r="HM45" s="20" t="e">
        <f>HJ45/#REF!</f>
        <v>#REF!</v>
      </c>
      <c r="HN45" s="44">
        <v>5.78</v>
      </c>
      <c r="HO45" s="44">
        <v>5.69</v>
      </c>
      <c r="HP45" s="35">
        <v>0</v>
      </c>
      <c r="HQ45" s="35">
        <v>0</v>
      </c>
      <c r="HR45" s="19">
        <f t="shared" si="125"/>
        <v>55061.345454545452</v>
      </c>
      <c r="HS45" s="35">
        <v>0</v>
      </c>
      <c r="HT45" s="19">
        <f t="shared" si="126"/>
        <v>55061.345454545452</v>
      </c>
      <c r="HU45" s="47">
        <f t="shared" si="47"/>
        <v>0.43928797718073453</v>
      </c>
      <c r="HV45" s="35">
        <v>0</v>
      </c>
      <c r="HW45" s="35"/>
      <c r="HX45" s="9">
        <f t="shared" si="119"/>
        <v>0</v>
      </c>
      <c r="HY45" s="37">
        <f t="shared" si="114"/>
        <v>6893824</v>
      </c>
      <c r="HZ45" s="276">
        <v>234959.82488479264</v>
      </c>
      <c r="IA45" s="276">
        <f t="shared" si="120"/>
        <v>176219.96313364056</v>
      </c>
      <c r="IB45" s="114"/>
      <c r="IC45" s="233"/>
      <c r="ID45" s="233"/>
      <c r="IE45" s="114"/>
      <c r="IF45" s="114"/>
      <c r="IG45" s="233"/>
      <c r="IH45" s="114"/>
      <c r="II45" s="233"/>
      <c r="IJ45" s="114"/>
      <c r="IK45" s="233"/>
      <c r="IL45" s="115"/>
      <c r="IM45" s="322"/>
      <c r="IN45" s="314"/>
      <c r="IO45" s="314"/>
      <c r="IP45" s="123"/>
      <c r="IQ45" s="233">
        <v>129228</v>
      </c>
      <c r="IR45" s="194">
        <v>42828</v>
      </c>
      <c r="IS45" s="332">
        <v>23495.981566820275</v>
      </c>
      <c r="IT45" s="194">
        <v>43017</v>
      </c>
      <c r="IU45" s="332">
        <v>11747.990783410138</v>
      </c>
      <c r="IV45" s="194">
        <v>43047</v>
      </c>
      <c r="IW45" s="332">
        <v>11747.990783410138</v>
      </c>
      <c r="IX45" s="268"/>
      <c r="IY45" s="268"/>
      <c r="IZ45" s="268"/>
      <c r="JA45" s="268"/>
      <c r="JB45" s="268"/>
      <c r="JC45" s="268"/>
      <c r="JD45" s="233"/>
      <c r="JE45" s="123"/>
      <c r="JF45" s="115"/>
      <c r="JG45" s="123"/>
      <c r="JH45" s="123"/>
      <c r="JI45" s="115"/>
    </row>
    <row r="46" spans="1:269" ht="15" customHeight="1">
      <c r="A46" s="80" t="s">
        <v>264</v>
      </c>
      <c r="B46" s="16" t="s">
        <v>31</v>
      </c>
      <c r="C46" s="16" t="s">
        <v>110</v>
      </c>
      <c r="D46" s="16">
        <v>2015</v>
      </c>
      <c r="E46" s="16" t="s">
        <v>253</v>
      </c>
      <c r="F46" s="16" t="s">
        <v>30</v>
      </c>
      <c r="G46" s="16" t="s">
        <v>663</v>
      </c>
      <c r="H46" s="51" t="s">
        <v>170</v>
      </c>
      <c r="I46" s="51"/>
      <c r="J46" s="51"/>
      <c r="K46" s="256" t="s">
        <v>647</v>
      </c>
      <c r="L46" s="161" t="s">
        <v>60</v>
      </c>
      <c r="M46" s="104" t="s">
        <v>273</v>
      </c>
      <c r="N46" s="105"/>
      <c r="O46" s="212">
        <v>3547</v>
      </c>
      <c r="P46" s="212">
        <v>319230</v>
      </c>
      <c r="Q46" s="212">
        <v>132491.5</v>
      </c>
      <c r="R46" s="207">
        <f t="shared" si="121"/>
        <v>16801.57894736842</v>
      </c>
      <c r="S46" s="207">
        <f t="shared" si="73"/>
        <v>90</v>
      </c>
      <c r="T46" s="213">
        <f t="shared" si="74"/>
        <v>37.353115308711587</v>
      </c>
      <c r="U46" s="213">
        <f t="shared" si="75"/>
        <v>110.26440187087003</v>
      </c>
      <c r="V46" s="213">
        <f t="shared" si="76"/>
        <v>6973.2368421052633</v>
      </c>
      <c r="W46" s="207">
        <f t="shared" si="77"/>
        <v>186.68421052631578</v>
      </c>
      <c r="X46" s="214"/>
      <c r="Y46" s="215">
        <f t="shared" si="78"/>
        <v>0.33875951508316887</v>
      </c>
      <c r="Z46" s="214" t="s">
        <v>191</v>
      </c>
      <c r="AA46" s="416"/>
      <c r="AB46" s="417"/>
      <c r="AC46" s="16" t="s">
        <v>16</v>
      </c>
      <c r="AD46" s="318">
        <f t="shared" si="81"/>
        <v>19</v>
      </c>
      <c r="AE46" s="49"/>
      <c r="AF46" s="16">
        <v>19</v>
      </c>
      <c r="AG46" s="51"/>
      <c r="AH46" s="51"/>
      <c r="AI46" s="268"/>
      <c r="AJ46" s="420">
        <v>1200.06</v>
      </c>
      <c r="AK46" s="55"/>
      <c r="AL46" s="421">
        <v>1201.58</v>
      </c>
      <c r="AM46" s="7">
        <f t="shared" si="127"/>
        <v>63.241052631578945</v>
      </c>
      <c r="AN46" s="57">
        <v>0</v>
      </c>
      <c r="AO46" s="76">
        <f>13/AD46</f>
        <v>0.68421052631578949</v>
      </c>
      <c r="AP46" s="76">
        <f>5/AD46</f>
        <v>0.26315789473684209</v>
      </c>
      <c r="AQ46" s="76">
        <f>2/AD46</f>
        <v>0.10526315789473684</v>
      </c>
      <c r="AR46" s="76">
        <v>0</v>
      </c>
      <c r="AS46" s="420"/>
      <c r="AT46" s="74" t="s">
        <v>321</v>
      </c>
      <c r="AU46" s="76"/>
      <c r="AV46" s="57">
        <v>2</v>
      </c>
      <c r="AW46" s="53" t="s">
        <v>561</v>
      </c>
      <c r="AX46" s="16"/>
      <c r="AY46" s="806"/>
      <c r="AZ46" s="51"/>
      <c r="BA46" s="190">
        <v>42031</v>
      </c>
      <c r="BB46" s="51"/>
      <c r="BC46" s="108" t="s">
        <v>11</v>
      </c>
      <c r="BD46" s="108" t="s">
        <v>332</v>
      </c>
      <c r="BE46" s="31"/>
      <c r="BF46" s="204">
        <v>42248</v>
      </c>
      <c r="BG46" s="96"/>
      <c r="BH46" s="96">
        <v>42536</v>
      </c>
      <c r="BI46" s="204">
        <v>42538</v>
      </c>
      <c r="BJ46" s="96">
        <v>42541</v>
      </c>
      <c r="BK46" s="159">
        <v>42548</v>
      </c>
      <c r="BL46" s="202">
        <v>42559</v>
      </c>
      <c r="BM46" s="164" t="s">
        <v>425</v>
      </c>
      <c r="BN46" s="160">
        <v>42235</v>
      </c>
      <c r="BO46" s="298">
        <f t="shared" si="117"/>
        <v>42559</v>
      </c>
      <c r="BP46" s="297">
        <f t="shared" si="3"/>
        <v>43289</v>
      </c>
      <c r="BQ46" s="297">
        <f t="shared" si="4"/>
        <v>43654</v>
      </c>
      <c r="BR46" s="297"/>
      <c r="BS46" s="297" t="str">
        <f>IF(EU46&gt;BP46,"oui","non")</f>
        <v>oui</v>
      </c>
      <c r="BT46" s="686">
        <f t="shared" si="82"/>
        <v>5</v>
      </c>
      <c r="BU46" s="686">
        <f t="shared" si="83"/>
        <v>0</v>
      </c>
      <c r="BV46" s="686">
        <f t="shared" si="84"/>
        <v>0</v>
      </c>
      <c r="BW46" s="159">
        <v>42564</v>
      </c>
      <c r="BX46" s="32" t="s">
        <v>587</v>
      </c>
      <c r="BY46" s="358">
        <v>42747</v>
      </c>
      <c r="BZ46" s="380"/>
      <c r="CA46" s="380">
        <v>42915</v>
      </c>
      <c r="CB46" s="380">
        <v>42719</v>
      </c>
      <c r="CC46" s="155" t="s">
        <v>69</v>
      </c>
      <c r="CD46" s="306">
        <v>42719</v>
      </c>
      <c r="CE46" s="251" t="s">
        <v>552</v>
      </c>
      <c r="CF46" s="156">
        <v>2533920.5099999998</v>
      </c>
      <c r="CG46" s="306">
        <f t="shared" si="122"/>
        <v>43266</v>
      </c>
      <c r="CH46" s="408">
        <f t="shared" si="123"/>
        <v>43449</v>
      </c>
      <c r="CI46" s="408">
        <v>43147</v>
      </c>
      <c r="CJ46" s="257">
        <v>43419</v>
      </c>
      <c r="CK46" s="603">
        <f t="shared" si="124"/>
        <v>2.6</v>
      </c>
      <c r="CL46" s="123">
        <v>41976</v>
      </c>
      <c r="CM46" s="123">
        <v>41977</v>
      </c>
      <c r="CN46" s="123">
        <v>41977</v>
      </c>
      <c r="CO46" s="529">
        <f t="shared" si="85"/>
        <v>0</v>
      </c>
      <c r="CP46" s="123">
        <v>42041</v>
      </c>
      <c r="CQ46" s="123">
        <v>42041</v>
      </c>
      <c r="CR46" s="529">
        <f t="shared" si="86"/>
        <v>0</v>
      </c>
      <c r="CS46" s="123">
        <v>42079</v>
      </c>
      <c r="CT46" s="123">
        <v>42079</v>
      </c>
      <c r="CU46" s="529">
        <f t="shared" si="87"/>
        <v>0</v>
      </c>
      <c r="CV46" s="123">
        <v>42177</v>
      </c>
      <c r="CW46" s="123">
        <v>42352</v>
      </c>
      <c r="CX46" s="529">
        <f t="shared" si="88"/>
        <v>175</v>
      </c>
      <c r="CY46" s="123">
        <v>42444</v>
      </c>
      <c r="CZ46" s="123">
        <v>42444</v>
      </c>
      <c r="DA46" s="529">
        <f t="shared" si="89"/>
        <v>0</v>
      </c>
      <c r="DB46" s="457"/>
      <c r="DC46" s="123">
        <v>42514</v>
      </c>
      <c r="DD46" s="123">
        <v>42901</v>
      </c>
      <c r="DE46" s="123">
        <v>42940</v>
      </c>
      <c r="DF46" s="529">
        <f t="shared" si="90"/>
        <v>39</v>
      </c>
      <c r="DG46" s="123">
        <v>42774</v>
      </c>
      <c r="DH46" s="354">
        <v>42947</v>
      </c>
      <c r="DI46" s="347">
        <v>2017</v>
      </c>
      <c r="DJ46" s="448">
        <f t="shared" si="91"/>
        <v>23.3</v>
      </c>
      <c r="DK46" s="529">
        <f t="shared" si="92"/>
        <v>173</v>
      </c>
      <c r="DL46" s="255">
        <v>15</v>
      </c>
      <c r="DM46" s="117">
        <f t="shared" si="93"/>
        <v>15</v>
      </c>
      <c r="DN46" s="123">
        <v>43059</v>
      </c>
      <c r="DO46" s="123">
        <v>43081</v>
      </c>
      <c r="DP46" s="529">
        <f t="shared" si="94"/>
        <v>22</v>
      </c>
      <c r="DQ46" s="123">
        <v>43059</v>
      </c>
      <c r="DR46" s="573">
        <v>43144</v>
      </c>
      <c r="DS46" s="532">
        <f t="shared" si="95"/>
        <v>85</v>
      </c>
      <c r="DT46" s="123">
        <v>43166</v>
      </c>
      <c r="DU46" s="123">
        <v>43264</v>
      </c>
      <c r="DV46" s="529">
        <f t="shared" si="96"/>
        <v>98</v>
      </c>
      <c r="DW46" s="539">
        <v>43209</v>
      </c>
      <c r="DX46" s="539">
        <f ca="1">IF(DW46&lt;TODAY(),TODAY(),DW46)</f>
        <v>43332</v>
      </c>
      <c r="DY46" s="535">
        <f t="shared" ca="1" si="97"/>
        <v>123</v>
      </c>
      <c r="DZ46" s="539">
        <v>43229</v>
      </c>
      <c r="EA46" s="539">
        <f ca="1">IF(DZ46&lt;TODAY(),TODAY(),DZ46)</f>
        <v>43332</v>
      </c>
      <c r="EB46" s="535">
        <f t="shared" ca="1" si="98"/>
        <v>103</v>
      </c>
      <c r="EC46" s="539">
        <v>43252</v>
      </c>
      <c r="ED46" s="539">
        <f ca="1">IF(EC46&lt;TODAY(),TODAY(),EC46)</f>
        <v>43332</v>
      </c>
      <c r="EE46" s="535">
        <f t="shared" ca="1" si="99"/>
        <v>80</v>
      </c>
      <c r="EF46" s="539">
        <v>43287</v>
      </c>
      <c r="EG46" s="539">
        <f t="shared" ca="1" si="131"/>
        <v>43332</v>
      </c>
      <c r="EH46" s="535">
        <f t="shared" ca="1" si="100"/>
        <v>45</v>
      </c>
      <c r="EI46" s="539">
        <v>43252</v>
      </c>
      <c r="EJ46" s="539">
        <v>43252</v>
      </c>
      <c r="EK46" s="539">
        <v>43224</v>
      </c>
      <c r="EL46" s="818">
        <f t="shared" si="101"/>
        <v>43404</v>
      </c>
      <c r="EM46" s="759">
        <f>DATE(YEAR(DH46),MONTH(DH46)+DL46,DAY(DH46))</f>
        <v>43404</v>
      </c>
      <c r="EN46" s="755">
        <f t="shared" si="102"/>
        <v>0</v>
      </c>
      <c r="EO46" s="467">
        <f t="shared" si="128"/>
        <v>43877</v>
      </c>
      <c r="EP46" s="186"/>
      <c r="EQ46" s="244"/>
      <c r="ER46" s="186">
        <v>43486</v>
      </c>
      <c r="ES46" s="467"/>
      <c r="ET46" s="796">
        <f t="shared" si="103"/>
        <v>43435</v>
      </c>
      <c r="EU46" s="759">
        <v>43497</v>
      </c>
      <c r="EV46" s="414"/>
      <c r="EW46" s="752">
        <f t="shared" si="104"/>
        <v>2.0666666666666669</v>
      </c>
      <c r="EX46" s="722"/>
      <c r="EY46" s="247">
        <f t="shared" si="105"/>
        <v>0</v>
      </c>
      <c r="EZ46" s="118"/>
      <c r="FA46" s="562">
        <v>66994</v>
      </c>
      <c r="FB46" s="562">
        <v>83104.25</v>
      </c>
      <c r="FC46" s="594">
        <f>97642*1.021</f>
        <v>99692.481999999989</v>
      </c>
      <c r="FD46" s="594">
        <v>83900.84</v>
      </c>
      <c r="FE46" s="594">
        <f>1754.94*1.021</f>
        <v>1791.7937399999998</v>
      </c>
      <c r="FF46" s="787">
        <f t="shared" si="129"/>
        <v>6.6352477195885185E-4</v>
      </c>
      <c r="FG46" s="559" t="s">
        <v>30</v>
      </c>
      <c r="FH46" s="571"/>
      <c r="FI46" s="571" t="s">
        <v>863</v>
      </c>
      <c r="FJ46" s="662" t="s">
        <v>807</v>
      </c>
      <c r="FK46" s="124"/>
      <c r="FL46" s="124"/>
      <c r="FM46" s="124"/>
      <c r="FN46" s="124"/>
      <c r="FO46" s="124"/>
      <c r="FP46" s="51"/>
      <c r="FQ46" s="279">
        <f t="shared" si="70"/>
        <v>43769</v>
      </c>
      <c r="FR46" s="279"/>
      <c r="FS46" s="51"/>
      <c r="FT46" s="51"/>
      <c r="FU46" s="51"/>
      <c r="FV46" s="51"/>
      <c r="FW46" s="51"/>
      <c r="FX46" s="51"/>
      <c r="FY46" s="51"/>
      <c r="FZ46" s="51"/>
      <c r="GA46" s="114"/>
      <c r="GB46" s="51"/>
      <c r="GC46" s="51"/>
      <c r="GD46" s="51"/>
      <c r="GE46" s="51"/>
      <c r="GF46" s="109"/>
      <c r="GG46" s="113"/>
      <c r="GH46" s="8">
        <f>GR46+GW46+HD46</f>
        <v>2660388.3050338021</v>
      </c>
      <c r="GI46" s="64">
        <f t="shared" si="116"/>
        <v>2700417.25</v>
      </c>
      <c r="GJ46" s="10">
        <f t="shared" ref="GJ46:GJ60" si="132">GI46-GH46</f>
        <v>40028.944966197945</v>
      </c>
      <c r="GK46" s="46">
        <f t="shared" si="106"/>
        <v>2250.2351965735047</v>
      </c>
      <c r="GL46" s="46">
        <f t="shared" si="107"/>
        <v>142127.22368421053</v>
      </c>
      <c r="GM46" s="8">
        <v>2613042.4974093148</v>
      </c>
      <c r="GN46" s="9">
        <v>1858695.408962426</v>
      </c>
      <c r="GO46" s="10">
        <f t="shared" si="108"/>
        <v>-754347.08844688884</v>
      </c>
      <c r="GP46" s="128">
        <f t="shared" si="115"/>
        <v>0.70275362540756869</v>
      </c>
      <c r="GQ46" s="130">
        <v>0.39772600000000002</v>
      </c>
      <c r="GR46" s="8">
        <v>780309.39272020268</v>
      </c>
      <c r="GS46" s="650">
        <v>771141</v>
      </c>
      <c r="GT46" s="654"/>
      <c r="GU46" s="652">
        <f t="shared" si="109"/>
        <v>40586.368421052633</v>
      </c>
      <c r="GV46" s="33">
        <f>GS46-GR46</f>
        <v>-9168.3927202026825</v>
      </c>
      <c r="GW46" s="8">
        <v>1460078.9123135994</v>
      </c>
      <c r="GX46" s="9">
        <f>SUBTOTAL(9,GY46:GZ46)</f>
        <v>1359322</v>
      </c>
      <c r="GY46" s="11">
        <v>334066</v>
      </c>
      <c r="GZ46" s="11">
        <v>1025256</v>
      </c>
      <c r="HA46" s="33">
        <f t="shared" si="130"/>
        <v>-100756.91231359937</v>
      </c>
      <c r="HB46" s="640">
        <f t="shared" si="110"/>
        <v>71543.263157894733</v>
      </c>
      <c r="HC46" s="9"/>
      <c r="HD46" s="18">
        <v>420000</v>
      </c>
      <c r="HE46" s="9">
        <v>420000</v>
      </c>
      <c r="HF46" s="64"/>
      <c r="HG46" s="36">
        <f t="shared" si="111"/>
        <v>0.15553152017526181</v>
      </c>
      <c r="HH46" s="302"/>
      <c r="HI46" s="784">
        <f>21616+45234</f>
        <v>66850</v>
      </c>
      <c r="HJ46" s="20">
        <f t="shared" si="67"/>
        <v>0</v>
      </c>
      <c r="HK46" s="19">
        <f t="shared" si="112"/>
        <v>22105.263157894737</v>
      </c>
      <c r="HL46" s="78">
        <f t="shared" si="113"/>
        <v>62691.631578947367</v>
      </c>
      <c r="HM46" s="20">
        <f t="shared" ref="HM46:HM71" si="133">HJ46/AD46</f>
        <v>0</v>
      </c>
      <c r="HN46" s="45">
        <v>5.65</v>
      </c>
      <c r="HO46" s="45">
        <v>5.65</v>
      </c>
      <c r="HP46" s="35">
        <v>510850.13361374999</v>
      </c>
      <c r="HQ46" s="35">
        <v>380000</v>
      </c>
      <c r="HR46" s="19">
        <f t="shared" si="125"/>
        <v>82691.631578947374</v>
      </c>
      <c r="HS46" s="35">
        <v>0</v>
      </c>
      <c r="HT46" s="19">
        <f t="shared" si="126"/>
        <v>82691.631578947374</v>
      </c>
      <c r="HU46" s="47">
        <f t="shared" si="47"/>
        <v>0.50686588664683796</v>
      </c>
      <c r="HV46" s="35">
        <v>111550</v>
      </c>
      <c r="HW46" s="35"/>
      <c r="HX46" s="9">
        <f t="shared" si="119"/>
        <v>83104.25</v>
      </c>
      <c r="HY46" s="37">
        <f t="shared" si="114"/>
        <v>3211267.3836137499</v>
      </c>
      <c r="HZ46" s="276">
        <v>139538</v>
      </c>
      <c r="IA46" s="276">
        <f t="shared" si="120"/>
        <v>104654</v>
      </c>
      <c r="IB46" s="114">
        <v>41992</v>
      </c>
      <c r="IC46" s="233">
        <v>13467</v>
      </c>
      <c r="ID46" s="233"/>
      <c r="IE46" s="114"/>
      <c r="IF46" s="114">
        <v>42082</v>
      </c>
      <c r="IG46" s="233">
        <v>4987</v>
      </c>
      <c r="IH46" s="114">
        <v>41764</v>
      </c>
      <c r="II46" s="233">
        <v>14412</v>
      </c>
      <c r="IJ46" s="114">
        <v>42247</v>
      </c>
      <c r="IK46" s="233">
        <v>13125</v>
      </c>
      <c r="IL46" s="114">
        <v>42487</v>
      </c>
      <c r="IM46" s="322">
        <v>26102</v>
      </c>
      <c r="IN46" s="314"/>
      <c r="IO46" s="314"/>
      <c r="IP46" s="123">
        <v>42726</v>
      </c>
      <c r="IQ46" s="233"/>
      <c r="IR46" s="123">
        <v>42726</v>
      </c>
      <c r="IS46" s="233">
        <v>18387</v>
      </c>
      <c r="IT46" s="123">
        <v>43145</v>
      </c>
      <c r="IU46" s="233">
        <v>7055</v>
      </c>
      <c r="IV46" s="114">
        <v>43290</v>
      </c>
      <c r="IW46" s="115">
        <v>7119</v>
      </c>
      <c r="IX46" s="268"/>
      <c r="IY46" s="268"/>
      <c r="IZ46" s="268"/>
      <c r="JA46" s="268"/>
      <c r="JB46" s="268"/>
      <c r="JC46" s="268"/>
      <c r="JD46" s="233">
        <v>14412</v>
      </c>
      <c r="JE46" s="123"/>
      <c r="JF46" s="115"/>
      <c r="JG46" s="123"/>
      <c r="JH46" s="123"/>
      <c r="JI46" s="115"/>
    </row>
    <row r="47" spans="1:269" ht="58.5" customHeight="1">
      <c r="A47" s="4" t="s">
        <v>246</v>
      </c>
      <c r="B47" s="5" t="s">
        <v>40</v>
      </c>
      <c r="C47" s="5" t="s">
        <v>112</v>
      </c>
      <c r="D47" s="5">
        <v>2015</v>
      </c>
      <c r="E47" s="5" t="s">
        <v>250</v>
      </c>
      <c r="F47" s="5" t="s">
        <v>382</v>
      </c>
      <c r="G47" s="5" t="s">
        <v>178</v>
      </c>
      <c r="H47" s="5" t="s">
        <v>170</v>
      </c>
      <c r="I47" s="50"/>
      <c r="J47" s="50"/>
      <c r="K47" s="256"/>
      <c r="L47" s="161" t="s">
        <v>61</v>
      </c>
      <c r="M47" s="104" t="s">
        <v>136</v>
      </c>
      <c r="N47" s="105"/>
      <c r="O47" s="207">
        <v>1263</v>
      </c>
      <c r="P47" s="207">
        <v>126500</v>
      </c>
      <c r="Q47" s="207">
        <v>126500</v>
      </c>
      <c r="R47" s="207">
        <f t="shared" si="121"/>
        <v>7027.7777777777774</v>
      </c>
      <c r="S47" s="207">
        <f t="shared" si="73"/>
        <v>100.15835312747427</v>
      </c>
      <c r="T47" s="213">
        <f t="shared" si="74"/>
        <v>100.15835312747427</v>
      </c>
      <c r="U47" s="213">
        <f t="shared" si="75"/>
        <v>86.456710134230022</v>
      </c>
      <c r="V47" s="213">
        <f t="shared" si="76"/>
        <v>7027.7777777777774</v>
      </c>
      <c r="W47" s="207">
        <f t="shared" si="77"/>
        <v>70.166666666666671</v>
      </c>
      <c r="X47" s="208"/>
      <c r="Y47" s="209">
        <f t="shared" si="78"/>
        <v>1.158479809976247</v>
      </c>
      <c r="Z47" s="208"/>
      <c r="AA47" s="210"/>
      <c r="AB47" s="211"/>
      <c r="AC47" s="16" t="s">
        <v>16</v>
      </c>
      <c r="AD47" s="318">
        <f t="shared" si="81"/>
        <v>18</v>
      </c>
      <c r="AE47" s="6"/>
      <c r="AF47" s="5">
        <v>18</v>
      </c>
      <c r="AG47" s="50"/>
      <c r="AH47" s="50"/>
      <c r="AI47" s="268"/>
      <c r="AJ47" s="7">
        <v>1509.87</v>
      </c>
      <c r="AK47" s="54"/>
      <c r="AL47" s="421">
        <v>1463.16</v>
      </c>
      <c r="AM47" s="7">
        <f t="shared" si="127"/>
        <v>81.286666666666676</v>
      </c>
      <c r="AN47" s="75">
        <v>0</v>
      </c>
      <c r="AO47" s="75">
        <f>6/AD47</f>
        <v>0.33333333333333331</v>
      </c>
      <c r="AP47" s="75">
        <f>6/AD47</f>
        <v>0.33333333333333331</v>
      </c>
      <c r="AQ47" s="75">
        <f>6/AD47</f>
        <v>0.33333333333333331</v>
      </c>
      <c r="AR47" s="75">
        <v>0</v>
      </c>
      <c r="AS47" s="7"/>
      <c r="AT47" s="73">
        <v>0</v>
      </c>
      <c r="AU47" s="75">
        <v>0</v>
      </c>
      <c r="AV47" s="56">
        <v>3</v>
      </c>
      <c r="AW47" s="53" t="s">
        <v>561</v>
      </c>
      <c r="AX47" s="5" t="s">
        <v>118</v>
      </c>
      <c r="AY47" s="785"/>
      <c r="AZ47" s="50"/>
      <c r="BA47" s="184">
        <v>42047</v>
      </c>
      <c r="BB47" s="50"/>
      <c r="BC47" s="108"/>
      <c r="BD47" s="108"/>
      <c r="BE47" s="31"/>
      <c r="BF47" s="204">
        <v>42298</v>
      </c>
      <c r="BG47" s="96"/>
      <c r="BH47" s="96"/>
      <c r="BI47" s="204"/>
      <c r="BJ47" s="96"/>
      <c r="BK47" s="159">
        <v>42885</v>
      </c>
      <c r="BL47" s="202">
        <v>42929</v>
      </c>
      <c r="BM47" s="160">
        <v>43013</v>
      </c>
      <c r="BN47" s="160">
        <v>42957</v>
      </c>
      <c r="BO47" s="298">
        <f t="shared" si="117"/>
        <v>42929</v>
      </c>
      <c r="BP47" s="297">
        <f t="shared" si="3"/>
        <v>43659</v>
      </c>
      <c r="BQ47" s="297">
        <f t="shared" si="4"/>
        <v>44025</v>
      </c>
      <c r="BR47" s="297"/>
      <c r="BS47" s="297" t="str">
        <f>IF(EU47&gt;BP47,"oui","non")</f>
        <v>non</v>
      </c>
      <c r="BT47" s="686">
        <f t="shared" si="82"/>
        <v>12</v>
      </c>
      <c r="BU47" s="686">
        <f t="shared" si="83"/>
        <v>0</v>
      </c>
      <c r="BV47" s="686">
        <f t="shared" si="84"/>
        <v>0</v>
      </c>
      <c r="BW47" s="159">
        <v>42920</v>
      </c>
      <c r="BX47" s="32" t="s">
        <v>623</v>
      </c>
      <c r="BY47" s="97"/>
      <c r="BZ47" s="98"/>
      <c r="CA47" s="98"/>
      <c r="CB47" s="98"/>
      <c r="CC47" s="155" t="s">
        <v>142</v>
      </c>
      <c r="CD47" s="162" t="s">
        <v>165</v>
      </c>
      <c r="CE47" s="251" t="s">
        <v>165</v>
      </c>
      <c r="CF47" s="156" t="s">
        <v>165</v>
      </c>
      <c r="CG47" s="162" t="s">
        <v>165</v>
      </c>
      <c r="CH47" s="251" t="s">
        <v>165</v>
      </c>
      <c r="CI47" s="251">
        <v>43222</v>
      </c>
      <c r="CJ47" s="251" t="s">
        <v>165</v>
      </c>
      <c r="CK47" s="604"/>
      <c r="CL47" s="123">
        <v>41963</v>
      </c>
      <c r="CM47" s="123">
        <v>41955</v>
      </c>
      <c r="CN47" s="123">
        <v>41955</v>
      </c>
      <c r="CO47" s="529">
        <f t="shared" si="85"/>
        <v>0</v>
      </c>
      <c r="CP47" s="123">
        <v>42041</v>
      </c>
      <c r="CQ47" s="123">
        <v>42012</v>
      </c>
      <c r="CR47" s="529">
        <f t="shared" si="86"/>
        <v>-29</v>
      </c>
      <c r="CS47" s="123">
        <v>42033</v>
      </c>
      <c r="CT47" s="123">
        <v>42033</v>
      </c>
      <c r="CU47" s="529">
        <f t="shared" si="87"/>
        <v>0</v>
      </c>
      <c r="CV47" s="123">
        <v>42109</v>
      </c>
      <c r="CW47" s="123">
        <v>42109</v>
      </c>
      <c r="CX47" s="529">
        <f t="shared" si="88"/>
        <v>0</v>
      </c>
      <c r="CY47" s="123">
        <v>42174</v>
      </c>
      <c r="CZ47" s="123">
        <v>42174</v>
      </c>
      <c r="DA47" s="529">
        <f t="shared" si="89"/>
        <v>0</v>
      </c>
      <c r="DB47" s="457"/>
      <c r="DC47" s="123">
        <v>42472</v>
      </c>
      <c r="DD47" s="123">
        <v>42502</v>
      </c>
      <c r="DE47" s="123">
        <v>43088</v>
      </c>
      <c r="DF47" s="529">
        <f t="shared" si="90"/>
        <v>586</v>
      </c>
      <c r="DG47" s="123">
        <v>43112</v>
      </c>
      <c r="DH47" s="444">
        <v>43122</v>
      </c>
      <c r="DI47" s="445">
        <v>2018</v>
      </c>
      <c r="DJ47" s="451">
        <f t="shared" si="91"/>
        <v>27.466666666666665</v>
      </c>
      <c r="DK47" s="529">
        <f t="shared" si="92"/>
        <v>10</v>
      </c>
      <c r="DL47" s="255">
        <v>15</v>
      </c>
      <c r="DM47" s="117">
        <f t="shared" si="93"/>
        <v>15</v>
      </c>
      <c r="DN47" s="123"/>
      <c r="DO47" s="123">
        <v>43205</v>
      </c>
      <c r="DP47" s="529" t="str">
        <f t="shared" si="94"/>
        <v>0</v>
      </c>
      <c r="DQ47" s="123"/>
      <c r="DR47" s="573">
        <v>43222</v>
      </c>
      <c r="DS47" s="532" t="str">
        <f t="shared" si="95"/>
        <v>0</v>
      </c>
      <c r="DT47" s="539">
        <v>43375</v>
      </c>
      <c r="DU47" s="539">
        <f ca="1">IF(DT47&lt;TODAY(),TODAY(),DT47)</f>
        <v>43375</v>
      </c>
      <c r="DV47" s="535">
        <f t="shared" ca="1" si="96"/>
        <v>0</v>
      </c>
      <c r="DW47" s="539">
        <v>43412</v>
      </c>
      <c r="DX47" s="539">
        <f ca="1">IF(DW47&lt;TODAY(),TODAY(),DW47)</f>
        <v>43412</v>
      </c>
      <c r="DY47" s="535">
        <f t="shared" ca="1" si="97"/>
        <v>0</v>
      </c>
      <c r="DZ47" s="569">
        <v>43427</v>
      </c>
      <c r="EA47" s="569"/>
      <c r="EB47" s="535" t="str">
        <f t="shared" si="98"/>
        <v>0</v>
      </c>
      <c r="EC47" s="569">
        <v>43447</v>
      </c>
      <c r="ED47" s="539">
        <f ca="1">IF(EC47&lt;TODAY(),TODAY(),EC47)</f>
        <v>43447</v>
      </c>
      <c r="EE47" s="535">
        <f t="shared" ca="1" si="99"/>
        <v>0</v>
      </c>
      <c r="EF47" s="539">
        <v>43552</v>
      </c>
      <c r="EG47" s="539">
        <f t="shared" ca="1" si="131"/>
        <v>43552</v>
      </c>
      <c r="EH47" s="535">
        <f t="shared" ca="1" si="100"/>
        <v>0</v>
      </c>
      <c r="EI47" s="541"/>
      <c r="EJ47" s="541"/>
      <c r="EK47" s="541"/>
      <c r="EL47" s="760">
        <f t="shared" si="101"/>
        <v>43577</v>
      </c>
      <c r="EM47" s="759">
        <f>DATE(YEAR(DH47),MONTH(DH47)+DL47,DAY(DH47))</f>
        <v>43577</v>
      </c>
      <c r="EN47" s="755">
        <f t="shared" si="102"/>
        <v>0</v>
      </c>
      <c r="EO47" s="467">
        <f t="shared" si="128"/>
        <v>43953</v>
      </c>
      <c r="EP47" s="244"/>
      <c r="EQ47" s="317">
        <v>43273</v>
      </c>
      <c r="ER47" s="186">
        <f>DATE(YEAR(EM47),MONTH(EM47)+2,DAY(EM47)+5)</f>
        <v>43643</v>
      </c>
      <c r="ES47" s="467"/>
      <c r="ET47" s="578">
        <f t="shared" si="103"/>
        <v>43607</v>
      </c>
      <c r="EU47" s="759">
        <f>ER47</f>
        <v>43643</v>
      </c>
      <c r="EV47" s="581"/>
      <c r="EW47" s="752">
        <f t="shared" si="104"/>
        <v>1.2</v>
      </c>
      <c r="EX47" s="722"/>
      <c r="EY47" s="234">
        <f t="shared" si="105"/>
        <v>0</v>
      </c>
      <c r="EZ47" s="118"/>
      <c r="FA47" s="562">
        <v>0</v>
      </c>
      <c r="FB47" s="562">
        <v>0</v>
      </c>
      <c r="FC47" s="562">
        <f>110043*1.021</f>
        <v>112353.90299999999</v>
      </c>
      <c r="FD47" s="562">
        <v>96000</v>
      </c>
      <c r="FE47" s="590"/>
      <c r="FF47" s="787">
        <f t="shared" si="129"/>
        <v>0</v>
      </c>
      <c r="FG47" s="559" t="s">
        <v>723</v>
      </c>
      <c r="FH47" s="571" t="s">
        <v>860</v>
      </c>
      <c r="FI47" s="571"/>
      <c r="FJ47" s="571" t="s">
        <v>725</v>
      </c>
      <c r="FK47" s="122"/>
      <c r="FL47" s="122"/>
      <c r="FM47" s="122"/>
      <c r="FN47" s="122"/>
      <c r="FO47" s="122"/>
      <c r="FP47" s="50"/>
      <c r="FQ47" s="279">
        <f t="shared" si="70"/>
        <v>43943</v>
      </c>
      <c r="FR47" s="279"/>
      <c r="FS47" s="50"/>
      <c r="FT47" s="50"/>
      <c r="FU47" s="50"/>
      <c r="FV47" s="50"/>
      <c r="FW47" s="50"/>
      <c r="FX47" s="50"/>
      <c r="FY47" s="50"/>
      <c r="FZ47" s="50"/>
      <c r="GA47" s="50"/>
      <c r="GB47" s="50"/>
      <c r="GC47" s="50"/>
      <c r="GD47" s="50"/>
      <c r="GE47" s="50"/>
      <c r="GF47" s="109"/>
      <c r="GG47" s="113"/>
      <c r="GH47" s="8">
        <f>GR47+GW47+HD47</f>
        <v>3031790</v>
      </c>
      <c r="GI47" s="64">
        <f t="shared" si="116"/>
        <v>2893093</v>
      </c>
      <c r="GJ47" s="9">
        <f t="shared" si="132"/>
        <v>-138697</v>
      </c>
      <c r="GK47" s="685">
        <f t="shared" si="106"/>
        <v>1916.12059316365</v>
      </c>
      <c r="GL47" s="64">
        <f t="shared" si="107"/>
        <v>160727.38888888888</v>
      </c>
      <c r="GM47" s="11">
        <v>2583163.1920000003</v>
      </c>
      <c r="GN47" s="11">
        <v>2614548</v>
      </c>
      <c r="GO47" s="9">
        <f t="shared" si="108"/>
        <v>31384.807999999728</v>
      </c>
      <c r="GP47" s="9">
        <f t="shared" si="115"/>
        <v>0.92269882371565659</v>
      </c>
      <c r="GQ47" s="64">
        <v>0.39750000000000002</v>
      </c>
      <c r="GR47" s="9">
        <v>883707</v>
      </c>
      <c r="GS47" s="650">
        <v>866778</v>
      </c>
      <c r="GT47" s="654">
        <v>866176</v>
      </c>
      <c r="GU47" s="823">
        <f t="shared" si="109"/>
        <v>48154.333333333336</v>
      </c>
      <c r="GV47" s="11">
        <f>GS47-GR47</f>
        <v>-16929</v>
      </c>
      <c r="GW47" s="9">
        <v>1788083</v>
      </c>
      <c r="GX47" s="9">
        <f t="shared" ref="GX47:GX52" si="134">GY47+GZ47</f>
        <v>1657979</v>
      </c>
      <c r="GY47" s="11">
        <v>261692</v>
      </c>
      <c r="GZ47" s="11">
        <v>1396287</v>
      </c>
      <c r="HA47" s="9">
        <f t="shared" si="130"/>
        <v>-130104</v>
      </c>
      <c r="HB47" s="11">
        <f t="shared" si="110"/>
        <v>92109.944444444438</v>
      </c>
      <c r="HC47" s="9"/>
      <c r="HD47" s="9">
        <v>360000</v>
      </c>
      <c r="HE47" s="9">
        <v>360000</v>
      </c>
      <c r="HF47" s="64"/>
      <c r="HG47" s="715">
        <f t="shared" si="111"/>
        <v>0.12443429920849416</v>
      </c>
      <c r="HH47" s="90"/>
      <c r="HI47" s="9">
        <v>8336</v>
      </c>
      <c r="HJ47" s="20">
        <f t="shared" si="67"/>
        <v>0</v>
      </c>
      <c r="HK47" s="19">
        <f t="shared" si="112"/>
        <v>20000</v>
      </c>
      <c r="HL47" s="78">
        <f t="shared" si="113"/>
        <v>68154.333333333328</v>
      </c>
      <c r="HM47" s="20">
        <f t="shared" si="133"/>
        <v>0</v>
      </c>
      <c r="HN47" s="45">
        <v>5.19</v>
      </c>
      <c r="HO47" s="45">
        <v>5.13</v>
      </c>
      <c r="HP47" s="35">
        <v>0</v>
      </c>
      <c r="HQ47" s="35">
        <v>0</v>
      </c>
      <c r="HR47" s="19">
        <f t="shared" si="125"/>
        <v>68154.333333333328</v>
      </c>
      <c r="HS47" s="35">
        <v>0</v>
      </c>
      <c r="HT47" s="19">
        <f t="shared" si="126"/>
        <v>68154.333333333328</v>
      </c>
      <c r="HU47" s="47">
        <f t="shared" si="47"/>
        <v>0.42403683531777236</v>
      </c>
      <c r="HV47" s="35">
        <v>0</v>
      </c>
      <c r="HW47" s="35"/>
      <c r="HX47" s="9">
        <f t="shared" si="119"/>
        <v>0</v>
      </c>
      <c r="HY47" s="37">
        <f t="shared" si="114"/>
        <v>2893093</v>
      </c>
      <c r="HZ47" s="276">
        <v>143558</v>
      </c>
      <c r="IA47" s="276">
        <f t="shared" si="120"/>
        <v>107668</v>
      </c>
      <c r="IB47" s="114">
        <v>41990</v>
      </c>
      <c r="IC47" s="233">
        <v>14522</v>
      </c>
      <c r="ID47" s="233"/>
      <c r="IE47" s="114"/>
      <c r="IF47" s="114">
        <v>41992</v>
      </c>
      <c r="IG47" s="233"/>
      <c r="IH47" s="114"/>
      <c r="II47" s="233">
        <v>21783</v>
      </c>
      <c r="IJ47" s="114">
        <v>42086</v>
      </c>
      <c r="IK47" s="233">
        <v>13917</v>
      </c>
      <c r="IL47" s="115">
        <v>42202</v>
      </c>
      <c r="IM47" s="322">
        <v>21557</v>
      </c>
      <c r="IN47" s="314"/>
      <c r="IO47" s="314"/>
      <c r="IP47" s="123">
        <v>42989</v>
      </c>
      <c r="IQ47" s="233">
        <v>7178</v>
      </c>
      <c r="IR47" s="123">
        <v>43092</v>
      </c>
      <c r="IS47" s="233">
        <v>14356</v>
      </c>
      <c r="IT47" s="629">
        <v>43257</v>
      </c>
      <c r="IU47" s="115">
        <v>7178</v>
      </c>
      <c r="IV47" s="629">
        <v>43291</v>
      </c>
      <c r="IW47" s="115">
        <v>7177</v>
      </c>
      <c r="IX47" s="268"/>
      <c r="IY47" s="268"/>
      <c r="IZ47" s="268"/>
      <c r="JA47" s="268"/>
      <c r="JB47" s="268"/>
      <c r="JC47" s="268"/>
      <c r="JD47" s="233">
        <v>21783</v>
      </c>
      <c r="JE47" s="123"/>
      <c r="JF47" s="115"/>
      <c r="JG47" s="123"/>
      <c r="JH47" s="123"/>
      <c r="JI47" s="115"/>
    </row>
    <row r="48" spans="1:269" ht="15" customHeight="1">
      <c r="A48" s="4" t="s">
        <v>402</v>
      </c>
      <c r="B48" s="5" t="s">
        <v>35</v>
      </c>
      <c r="C48" s="5" t="s">
        <v>110</v>
      </c>
      <c r="D48" s="5">
        <v>2015</v>
      </c>
      <c r="E48" s="5" t="s">
        <v>251</v>
      </c>
      <c r="F48" s="5" t="s">
        <v>318</v>
      </c>
      <c r="G48" s="5" t="s">
        <v>176</v>
      </c>
      <c r="H48" s="5" t="s">
        <v>170</v>
      </c>
      <c r="I48" s="50"/>
      <c r="J48" s="50"/>
      <c r="K48" s="256" t="s">
        <v>616</v>
      </c>
      <c r="L48" s="161" t="s">
        <v>272</v>
      </c>
      <c r="M48" s="774"/>
      <c r="N48" s="105"/>
      <c r="O48" s="207">
        <v>8838</v>
      </c>
      <c r="P48" s="207">
        <v>652080</v>
      </c>
      <c r="Q48" s="207">
        <f>P48</f>
        <v>652080</v>
      </c>
      <c r="R48" s="207">
        <f>P48/89</f>
        <v>7326.7415730337079</v>
      </c>
      <c r="S48" s="207">
        <f t="shared" si="73"/>
        <v>73.78139850644942</v>
      </c>
      <c r="T48" s="213">
        <f t="shared" si="74"/>
        <v>73.78139850644942</v>
      </c>
      <c r="U48" s="213">
        <f t="shared" si="75"/>
        <v>335.48387096774195</v>
      </c>
      <c r="V48" s="213">
        <f t="shared" si="76"/>
        <v>32604</v>
      </c>
      <c r="W48" s="207">
        <f t="shared" si="77"/>
        <v>441.9</v>
      </c>
      <c r="X48" s="208"/>
      <c r="Y48" s="209">
        <f t="shared" si="78"/>
        <v>0.21992532247114732</v>
      </c>
      <c r="Z48" s="208" t="s">
        <v>185</v>
      </c>
      <c r="AA48" s="210">
        <v>630</v>
      </c>
      <c r="AB48" s="211">
        <v>0</v>
      </c>
      <c r="AC48" s="16" t="s">
        <v>15</v>
      </c>
      <c r="AD48" s="318">
        <f t="shared" si="81"/>
        <v>20</v>
      </c>
      <c r="AE48" s="5">
        <v>20</v>
      </c>
      <c r="AF48" s="6"/>
      <c r="AG48" s="61"/>
      <c r="AH48" s="61"/>
      <c r="AI48" s="268"/>
      <c r="AJ48" s="7">
        <v>1853.17</v>
      </c>
      <c r="AK48" s="54"/>
      <c r="AL48" s="421">
        <v>1943.7</v>
      </c>
      <c r="AM48" s="7">
        <f t="shared" si="127"/>
        <v>97.185000000000002</v>
      </c>
      <c r="AN48" s="75"/>
      <c r="AO48" s="75"/>
      <c r="AP48" s="75"/>
      <c r="AQ48" s="75">
        <f>16/AD48</f>
        <v>0.8</v>
      </c>
      <c r="AR48" s="75">
        <f>4/AD48</f>
        <v>0.2</v>
      </c>
      <c r="AS48" s="7"/>
      <c r="AT48" s="73">
        <v>0</v>
      </c>
      <c r="AU48" s="75">
        <v>0</v>
      </c>
      <c r="AV48" s="54">
        <v>4</v>
      </c>
      <c r="AW48" s="53" t="s">
        <v>561</v>
      </c>
      <c r="AX48" s="5" t="s">
        <v>118</v>
      </c>
      <c r="AY48" s="785"/>
      <c r="AZ48" s="50"/>
      <c r="BA48" s="184">
        <v>42031</v>
      </c>
      <c r="BB48" s="50"/>
      <c r="BC48" s="108"/>
      <c r="BD48" s="108" t="s">
        <v>280</v>
      </c>
      <c r="BE48" s="31"/>
      <c r="BF48" s="204">
        <v>42354</v>
      </c>
      <c r="BG48" s="96"/>
      <c r="BH48" s="96"/>
      <c r="BI48" s="204"/>
      <c r="BJ48" s="96"/>
      <c r="BK48" s="159">
        <v>42899</v>
      </c>
      <c r="BL48" s="202">
        <v>42929</v>
      </c>
      <c r="BM48" s="160">
        <v>43013</v>
      </c>
      <c r="BN48" s="160">
        <v>42943</v>
      </c>
      <c r="BO48" s="298">
        <f t="shared" si="117"/>
        <v>42929</v>
      </c>
      <c r="BP48" s="297">
        <f t="shared" si="3"/>
        <v>43659</v>
      </c>
      <c r="BQ48" s="297">
        <f t="shared" si="4"/>
        <v>44025</v>
      </c>
      <c r="BR48" s="768">
        <f>82893+7312.94</f>
        <v>90205.94</v>
      </c>
      <c r="BS48" s="297" t="str">
        <f>IF(EU48&gt;BQ48,"oui","non")</f>
        <v>non</v>
      </c>
      <c r="BT48" s="686">
        <f t="shared" si="82"/>
        <v>3</v>
      </c>
      <c r="BU48" s="686">
        <f t="shared" si="83"/>
        <v>37038</v>
      </c>
      <c r="BV48" s="686">
        <f t="shared" si="84"/>
        <v>-53167.94</v>
      </c>
      <c r="BW48" s="159">
        <v>42920</v>
      </c>
      <c r="BX48" s="32" t="s">
        <v>639</v>
      </c>
      <c r="BY48" s="97">
        <v>43025</v>
      </c>
      <c r="BZ48" s="98"/>
      <c r="CA48" s="98"/>
      <c r="CB48" s="101"/>
      <c r="CC48" s="775"/>
      <c r="CD48" s="162"/>
      <c r="CE48" s="251"/>
      <c r="CF48" s="156"/>
      <c r="CG48" s="162"/>
      <c r="CH48" s="251"/>
      <c r="CI48" s="251"/>
      <c r="CJ48" s="251" t="s">
        <v>165</v>
      </c>
      <c r="CK48" s="604"/>
      <c r="CL48" s="123">
        <v>41907</v>
      </c>
      <c r="CM48" s="123">
        <v>41921</v>
      </c>
      <c r="CN48" s="123">
        <v>41921</v>
      </c>
      <c r="CO48" s="529">
        <f t="shared" si="85"/>
        <v>0</v>
      </c>
      <c r="CP48" s="123">
        <v>41999</v>
      </c>
      <c r="CQ48" s="123">
        <v>42040</v>
      </c>
      <c r="CR48" s="529">
        <f t="shared" si="86"/>
        <v>41</v>
      </c>
      <c r="CS48" s="123">
        <v>42020</v>
      </c>
      <c r="CT48" s="123">
        <v>42054</v>
      </c>
      <c r="CU48" s="529">
        <f t="shared" si="87"/>
        <v>34</v>
      </c>
      <c r="CV48" s="123">
        <v>42100</v>
      </c>
      <c r="CW48" s="123">
        <v>42136</v>
      </c>
      <c r="CX48" s="529">
        <f t="shared" si="88"/>
        <v>36</v>
      </c>
      <c r="CY48" s="123">
        <v>42177</v>
      </c>
      <c r="CZ48" s="123">
        <v>42254</v>
      </c>
      <c r="DA48" s="529">
        <f t="shared" si="89"/>
        <v>77</v>
      </c>
      <c r="DB48" s="457"/>
      <c r="DC48" s="123">
        <v>42514</v>
      </c>
      <c r="DD48" s="123">
        <v>43042</v>
      </c>
      <c r="DE48" s="123">
        <v>43088</v>
      </c>
      <c r="DF48" s="529">
        <f t="shared" si="90"/>
        <v>46</v>
      </c>
      <c r="DG48" s="123">
        <v>43115</v>
      </c>
      <c r="DH48" s="444">
        <v>43129</v>
      </c>
      <c r="DI48" s="445">
        <v>2018</v>
      </c>
      <c r="DJ48" s="451">
        <f t="shared" si="91"/>
        <v>25.833333333333332</v>
      </c>
      <c r="DK48" s="529">
        <f t="shared" si="92"/>
        <v>14</v>
      </c>
      <c r="DL48" s="255">
        <v>21</v>
      </c>
      <c r="DM48" s="117">
        <f t="shared" si="93"/>
        <v>21</v>
      </c>
      <c r="DN48" s="539">
        <v>43250</v>
      </c>
      <c r="DO48" s="539">
        <f ca="1">IF(DN48&lt;TODAY(),TODAY(),DN48)</f>
        <v>43332</v>
      </c>
      <c r="DP48" s="535">
        <f t="shared" ca="1" si="94"/>
        <v>82</v>
      </c>
      <c r="DQ48" s="539">
        <v>43322</v>
      </c>
      <c r="DR48" s="557">
        <f ca="1">IF(DQ48&lt;TODAY(),TODAY(),DQ48)</f>
        <v>43332</v>
      </c>
      <c r="DS48" s="536">
        <f t="shared" ca="1" si="95"/>
        <v>10</v>
      </c>
      <c r="DT48" s="539">
        <v>43529</v>
      </c>
      <c r="DU48" s="557">
        <f ca="1">IF(DT48&lt;TODAY(),TODAY(),DT48)</f>
        <v>43529</v>
      </c>
      <c r="DV48" s="535">
        <f t="shared" ca="1" si="96"/>
        <v>0</v>
      </c>
      <c r="DW48" s="533">
        <v>43615</v>
      </c>
      <c r="DX48" s="539">
        <f ca="1">IF(DW48&lt;TODAY(),TODAY(),DW48)</f>
        <v>43615</v>
      </c>
      <c r="DY48" s="535">
        <f t="shared" ca="1" si="97"/>
        <v>0</v>
      </c>
      <c r="DZ48" s="539">
        <v>43622</v>
      </c>
      <c r="EA48" s="539">
        <f ca="1">IF(DZ48&lt;TODAY(),TODAY(),DZ48)</f>
        <v>43622</v>
      </c>
      <c r="EB48" s="535">
        <f t="shared" ca="1" si="98"/>
        <v>0</v>
      </c>
      <c r="EC48" s="539">
        <v>43626</v>
      </c>
      <c r="ED48" s="539">
        <f ca="1">IF(EC48&lt;TODAY(),TODAY(),EC48)</f>
        <v>43626</v>
      </c>
      <c r="EE48" s="535">
        <f t="shared" ca="1" si="99"/>
        <v>0</v>
      </c>
      <c r="EF48" s="539">
        <v>43648</v>
      </c>
      <c r="EG48" s="539">
        <f t="shared" ca="1" si="131"/>
        <v>43648</v>
      </c>
      <c r="EH48" s="535">
        <f t="shared" ca="1" si="100"/>
        <v>0</v>
      </c>
      <c r="EI48" s="665">
        <v>43703</v>
      </c>
      <c r="EJ48" s="665">
        <v>43703</v>
      </c>
      <c r="EK48" s="665">
        <v>43657</v>
      </c>
      <c r="EL48" s="760">
        <f t="shared" si="101"/>
        <v>43767</v>
      </c>
      <c r="EM48" s="759">
        <f>DATE(YEAR(DH48),MONTH(DH48)+DL48,DAY(DH48))</f>
        <v>43767</v>
      </c>
      <c r="EN48" s="755">
        <f t="shared" si="102"/>
        <v>0</v>
      </c>
      <c r="EO48" s="580">
        <f t="shared" si="128"/>
        <v>731</v>
      </c>
      <c r="EP48" s="244"/>
      <c r="EQ48" s="244"/>
      <c r="ER48" s="186">
        <f>DATE(YEAR(EM48),MONTH(EM48)+4,DAY(EM48)+2)</f>
        <v>43892</v>
      </c>
      <c r="ES48" s="467"/>
      <c r="ET48" s="578">
        <f t="shared" si="103"/>
        <v>43798</v>
      </c>
      <c r="EU48" s="759">
        <v>43923</v>
      </c>
      <c r="EV48" s="581"/>
      <c r="EW48" s="752">
        <f t="shared" si="104"/>
        <v>4.166666666666667</v>
      </c>
      <c r="EX48" s="722">
        <v>12346</v>
      </c>
      <c r="EY48" s="247">
        <f t="shared" si="105"/>
        <v>51441.666666666672</v>
      </c>
      <c r="EZ48" s="272"/>
      <c r="FA48" s="562">
        <v>0</v>
      </c>
      <c r="FB48" s="562">
        <v>0</v>
      </c>
      <c r="FC48" s="562">
        <f>475800*1.021</f>
        <v>485791.79999999993</v>
      </c>
      <c r="FD48" s="562"/>
      <c r="FE48" s="562">
        <v>0</v>
      </c>
      <c r="FF48" s="787">
        <f t="shared" si="129"/>
        <v>0</v>
      </c>
      <c r="FG48" s="559" t="s">
        <v>722</v>
      </c>
      <c r="FH48" s="571" t="s">
        <v>763</v>
      </c>
      <c r="FI48" s="571" t="s">
        <v>768</v>
      </c>
      <c r="FJ48" s="571"/>
      <c r="FK48" s="122"/>
      <c r="FL48" s="122"/>
      <c r="FM48" s="122"/>
      <c r="FN48" s="122"/>
      <c r="FO48" s="122"/>
      <c r="FP48" s="50"/>
      <c r="FQ48" s="279">
        <f t="shared" si="70"/>
        <v>44133</v>
      </c>
      <c r="FR48" s="279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109"/>
      <c r="GG48" s="113"/>
      <c r="GH48" s="8">
        <f>GR48+GW48+HD48</f>
        <v>3620927.386608588</v>
      </c>
      <c r="GI48" s="64">
        <f t="shared" si="116"/>
        <v>3410268</v>
      </c>
      <c r="GJ48" s="10">
        <f t="shared" si="132"/>
        <v>-210659.38660858804</v>
      </c>
      <c r="GK48" s="46">
        <f t="shared" si="106"/>
        <v>1840.2348408402897</v>
      </c>
      <c r="GL48" s="46">
        <f t="shared" si="107"/>
        <v>170513.4</v>
      </c>
      <c r="GM48" s="8">
        <v>3320758.5701554646</v>
      </c>
      <c r="GN48" s="9">
        <v>3416358.2225748161</v>
      </c>
      <c r="GO48" s="10">
        <f t="shared" si="108"/>
        <v>95599.652419351507</v>
      </c>
      <c r="GP48" s="128">
        <f t="shared" si="115"/>
        <v>1.02282335149287</v>
      </c>
      <c r="GQ48" s="130">
        <v>0.39</v>
      </c>
      <c r="GR48" s="8">
        <v>1232699.6352114086</v>
      </c>
      <c r="GS48" s="9">
        <v>1114069</v>
      </c>
      <c r="GT48" s="654">
        <v>1114069</v>
      </c>
      <c r="GU48" s="19">
        <f t="shared" si="109"/>
        <v>55703.45</v>
      </c>
      <c r="GV48" s="33">
        <f>GS48-GR48</f>
        <v>-118630.6352114086</v>
      </c>
      <c r="GW48" s="8">
        <v>2188227.7513971794</v>
      </c>
      <c r="GX48" s="815">
        <f t="shared" si="134"/>
        <v>2066681</v>
      </c>
      <c r="GY48" s="816">
        <v>309940</v>
      </c>
      <c r="GZ48" s="816">
        <v>1756741</v>
      </c>
      <c r="HA48" s="33">
        <f t="shared" si="130"/>
        <v>-121546.75139717944</v>
      </c>
      <c r="HB48" s="640">
        <f t="shared" si="110"/>
        <v>103334.05</v>
      </c>
      <c r="HC48" s="9"/>
      <c r="HD48" s="8">
        <v>200000</v>
      </c>
      <c r="HE48" s="9">
        <v>200000</v>
      </c>
      <c r="HF48" s="64"/>
      <c r="HG48" s="36">
        <f t="shared" si="111"/>
        <v>5.8646417231724896E-2</v>
      </c>
      <c r="HH48" s="302"/>
      <c r="HI48" s="9">
        <v>29518</v>
      </c>
      <c r="HJ48" s="20">
        <f t="shared" si="67"/>
        <v>0</v>
      </c>
      <c r="HK48" s="19">
        <f t="shared" si="112"/>
        <v>10000</v>
      </c>
      <c r="HL48" s="78">
        <f t="shared" si="113"/>
        <v>65703.45</v>
      </c>
      <c r="HM48" s="20">
        <f t="shared" si="133"/>
        <v>0</v>
      </c>
      <c r="HN48" s="45">
        <v>6.32</v>
      </c>
      <c r="HO48" s="45">
        <v>5.48</v>
      </c>
      <c r="HP48" s="35">
        <v>0</v>
      </c>
      <c r="HQ48" s="35">
        <v>0</v>
      </c>
      <c r="HR48" s="19">
        <f t="shared" si="125"/>
        <v>65703.45</v>
      </c>
      <c r="HS48" s="35">
        <v>0</v>
      </c>
      <c r="HT48" s="19">
        <f t="shared" si="126"/>
        <v>65703.45</v>
      </c>
      <c r="HU48" s="47">
        <f t="shared" si="47"/>
        <v>0.38532719422637751</v>
      </c>
      <c r="HV48" s="35">
        <v>0</v>
      </c>
      <c r="HW48" s="35"/>
      <c r="HX48" s="9">
        <v>0</v>
      </c>
      <c r="HY48" s="37">
        <f t="shared" si="114"/>
        <v>3410268</v>
      </c>
      <c r="HZ48" s="276">
        <v>685491</v>
      </c>
      <c r="IA48" s="276">
        <f t="shared" si="120"/>
        <v>411294</v>
      </c>
      <c r="IB48" s="114">
        <v>41936</v>
      </c>
      <c r="IC48" s="233">
        <v>67842</v>
      </c>
      <c r="ID48" s="233"/>
      <c r="IE48" s="114"/>
      <c r="IF48" s="114">
        <v>41992</v>
      </c>
      <c r="IG48" s="233">
        <v>33921</v>
      </c>
      <c r="IH48" s="114">
        <v>42065</v>
      </c>
      <c r="II48" s="233">
        <v>72217</v>
      </c>
      <c r="IJ48" s="114">
        <v>42121</v>
      </c>
      <c r="IK48" s="233">
        <v>65293</v>
      </c>
      <c r="IL48" s="115"/>
      <c r="IM48" s="322">
        <v>103472</v>
      </c>
      <c r="IN48" s="314"/>
      <c r="IO48" s="314"/>
      <c r="IP48" s="123"/>
      <c r="IQ48" s="439"/>
      <c r="IR48" s="123">
        <v>43083</v>
      </c>
      <c r="IS48" s="233">
        <v>68549</v>
      </c>
      <c r="IT48" s="299"/>
      <c r="IU48" s="299"/>
      <c r="IV48" s="299"/>
      <c r="IW48" s="299"/>
      <c r="IX48" s="268"/>
      <c r="IY48" s="268"/>
      <c r="IZ48" s="268"/>
      <c r="JA48" s="268"/>
      <c r="JB48" s="268"/>
      <c r="JC48" s="268"/>
      <c r="JD48" s="233">
        <v>72217</v>
      </c>
      <c r="JE48" s="123"/>
      <c r="JF48" s="115"/>
      <c r="JG48" s="123"/>
      <c r="JH48" s="123"/>
      <c r="JI48" s="115"/>
    </row>
    <row r="49" spans="1:269" ht="15" customHeight="1">
      <c r="A49" s="667" t="s">
        <v>568</v>
      </c>
      <c r="B49" s="5" t="s">
        <v>259</v>
      </c>
      <c r="C49" s="5" t="s">
        <v>112</v>
      </c>
      <c r="D49" s="5">
        <v>2016</v>
      </c>
      <c r="E49" s="5" t="s">
        <v>569</v>
      </c>
      <c r="F49" s="5" t="s">
        <v>383</v>
      </c>
      <c r="G49" s="5" t="s">
        <v>178</v>
      </c>
      <c r="H49" s="5" t="s">
        <v>169</v>
      </c>
      <c r="I49" s="50"/>
      <c r="J49" s="50"/>
      <c r="K49" s="256"/>
      <c r="L49" s="161"/>
      <c r="M49" s="167"/>
      <c r="N49" s="105"/>
      <c r="O49" s="207">
        <v>807</v>
      </c>
      <c r="P49" s="207">
        <v>250272</v>
      </c>
      <c r="Q49" s="207">
        <v>250272</v>
      </c>
      <c r="R49" s="207">
        <f>P49/AD49</f>
        <v>10881.391304347826</v>
      </c>
      <c r="S49" s="207">
        <f t="shared" si="73"/>
        <v>310.12639405204459</v>
      </c>
      <c r="T49" s="213">
        <f t="shared" si="74"/>
        <v>310.12639405204459</v>
      </c>
      <c r="U49" s="213">
        <f t="shared" si="75"/>
        <v>162.92583213441748</v>
      </c>
      <c r="V49" s="213">
        <f t="shared" si="76"/>
        <v>10881.391304347826</v>
      </c>
      <c r="W49" s="207">
        <f t="shared" si="77"/>
        <v>35.086956521739133</v>
      </c>
      <c r="X49" s="208"/>
      <c r="Y49" s="216">
        <f t="shared" si="78"/>
        <v>1.9034820322180916</v>
      </c>
      <c r="Z49" s="208"/>
      <c r="AA49" s="210"/>
      <c r="AB49" s="211"/>
      <c r="AC49" s="5" t="s">
        <v>16</v>
      </c>
      <c r="AD49" s="318">
        <f t="shared" si="81"/>
        <v>23</v>
      </c>
      <c r="AE49" s="6"/>
      <c r="AF49" s="5">
        <v>23</v>
      </c>
      <c r="AG49" s="50"/>
      <c r="AH49" s="50"/>
      <c r="AI49" s="268">
        <v>1332.5</v>
      </c>
      <c r="AJ49" s="7">
        <v>1536.11</v>
      </c>
      <c r="AK49" s="54">
        <v>1536.11</v>
      </c>
      <c r="AL49" s="421">
        <v>1536.11</v>
      </c>
      <c r="AM49" s="7">
        <f t="shared" si="127"/>
        <v>66.787391304347821</v>
      </c>
      <c r="AN49" s="75"/>
      <c r="AO49" s="75"/>
      <c r="AP49" s="75"/>
      <c r="AQ49" s="75"/>
      <c r="AR49" s="75"/>
      <c r="AS49" s="7"/>
      <c r="AT49" s="73"/>
      <c r="AU49" s="75"/>
      <c r="AV49" s="54"/>
      <c r="AW49" s="53" t="s">
        <v>561</v>
      </c>
      <c r="AX49" s="5"/>
      <c r="AY49" s="785">
        <v>2973918</v>
      </c>
      <c r="AZ49" s="50"/>
      <c r="BA49" s="238"/>
      <c r="BB49" s="238"/>
      <c r="BC49" s="108" t="s">
        <v>11</v>
      </c>
      <c r="BD49" s="108" t="s">
        <v>420</v>
      </c>
      <c r="BE49" s="31"/>
      <c r="BF49" s="204">
        <v>42543</v>
      </c>
      <c r="BG49" s="96"/>
      <c r="BH49" s="96">
        <v>42557</v>
      </c>
      <c r="BI49" s="204">
        <v>42606</v>
      </c>
      <c r="BJ49" s="96" t="s">
        <v>126</v>
      </c>
      <c r="BK49" s="159">
        <v>42606</v>
      </c>
      <c r="BL49" s="202">
        <v>42620</v>
      </c>
      <c r="BM49" s="160">
        <v>42711</v>
      </c>
      <c r="BN49" s="160">
        <v>42654</v>
      </c>
      <c r="BO49" s="298">
        <f t="shared" si="117"/>
        <v>42620</v>
      </c>
      <c r="BP49" s="297">
        <f t="shared" si="3"/>
        <v>43350</v>
      </c>
      <c r="BQ49" s="297">
        <f t="shared" si="4"/>
        <v>43715</v>
      </c>
      <c r="BR49" s="297"/>
      <c r="BS49" s="297" t="str">
        <f>IF(EU49&gt;BP49,"oui","non")</f>
        <v>non</v>
      </c>
      <c r="BT49" s="686">
        <f t="shared" si="82"/>
        <v>15</v>
      </c>
      <c r="BU49" s="686">
        <f t="shared" si="83"/>
        <v>127935</v>
      </c>
      <c r="BV49" s="686">
        <f t="shared" si="84"/>
        <v>0</v>
      </c>
      <c r="BW49" s="159"/>
      <c r="BX49" s="32" t="s">
        <v>584</v>
      </c>
      <c r="BY49" s="358" t="s">
        <v>126</v>
      </c>
      <c r="BZ49" s="380" t="s">
        <v>126</v>
      </c>
      <c r="CA49" s="380" t="s">
        <v>126</v>
      </c>
      <c r="CB49" s="794">
        <v>42922</v>
      </c>
      <c r="CC49" s="155"/>
      <c r="CD49" s="306">
        <v>42727</v>
      </c>
      <c r="CE49" s="344" t="s">
        <v>126</v>
      </c>
      <c r="CF49" s="587">
        <v>2912750</v>
      </c>
      <c r="CG49" s="306">
        <f>DATE(YEAR(CD49),MONTH(CD49)+18,DAY(CD49))</f>
        <v>43274</v>
      </c>
      <c r="CH49" s="344">
        <f>DATE(YEAR(CD49),MONTH(CD49)+24,DAY(CD49))</f>
        <v>43457</v>
      </c>
      <c r="CI49" s="344">
        <v>42727</v>
      </c>
      <c r="CJ49" s="257">
        <f>DATE(YEAR(CD49),MONTH(CD49)+22,DAY(CD49))</f>
        <v>43396</v>
      </c>
      <c r="CK49" s="603">
        <f>(EU49-CJ49)/30</f>
        <v>-5.1333333333333337</v>
      </c>
      <c r="CL49" s="123"/>
      <c r="CM49" s="123"/>
      <c r="CN49" s="123"/>
      <c r="CO49" s="529" t="str">
        <f t="shared" si="85"/>
        <v>0</v>
      </c>
      <c r="CP49" s="123">
        <v>42041</v>
      </c>
      <c r="CQ49" s="123">
        <v>42041</v>
      </c>
      <c r="CR49" s="529">
        <f t="shared" si="86"/>
        <v>0</v>
      </c>
      <c r="CS49" s="123"/>
      <c r="CT49" s="123"/>
      <c r="CU49" s="529" t="str">
        <f t="shared" si="87"/>
        <v>0</v>
      </c>
      <c r="CV49" s="123"/>
      <c r="CW49" s="123"/>
      <c r="CX49" s="529" t="str">
        <f t="shared" si="88"/>
        <v>0</v>
      </c>
      <c r="CY49" s="123"/>
      <c r="CZ49" s="123"/>
      <c r="DA49" s="556" t="str">
        <f t="shared" si="89"/>
        <v>0</v>
      </c>
      <c r="DB49" s="460"/>
      <c r="DC49" s="316"/>
      <c r="DD49" s="316"/>
      <c r="DE49" s="233"/>
      <c r="DF49" s="556" t="str">
        <f t="shared" si="90"/>
        <v>0</v>
      </c>
      <c r="DG49" s="316">
        <v>42741</v>
      </c>
      <c r="DH49" s="354">
        <v>42583</v>
      </c>
      <c r="DI49" s="359">
        <v>2016</v>
      </c>
      <c r="DJ49" s="450">
        <f t="shared" si="91"/>
        <v>1.3333333333333333</v>
      </c>
      <c r="DK49" s="556">
        <f t="shared" si="92"/>
        <v>-158</v>
      </c>
      <c r="DL49" s="245">
        <v>18</v>
      </c>
      <c r="DM49" s="117">
        <f t="shared" si="93"/>
        <v>20</v>
      </c>
      <c r="DN49" s="438"/>
      <c r="DO49" s="123"/>
      <c r="DP49" s="556" t="str">
        <f t="shared" si="94"/>
        <v>0</v>
      </c>
      <c r="DQ49" s="316">
        <v>42712</v>
      </c>
      <c r="DR49" s="573">
        <v>42712</v>
      </c>
      <c r="DS49" s="574">
        <f t="shared" si="95"/>
        <v>0</v>
      </c>
      <c r="DT49" s="123"/>
      <c r="DU49" s="573">
        <v>42994</v>
      </c>
      <c r="DV49" s="529" t="str">
        <f t="shared" si="96"/>
        <v>0</v>
      </c>
      <c r="DW49" s="123"/>
      <c r="DX49" s="123">
        <v>43024</v>
      </c>
      <c r="DY49" s="529" t="str">
        <f t="shared" si="97"/>
        <v>0</v>
      </c>
      <c r="DZ49" s="123">
        <v>42946</v>
      </c>
      <c r="EA49" s="123">
        <v>43053</v>
      </c>
      <c r="EB49" s="529">
        <f t="shared" si="98"/>
        <v>107</v>
      </c>
      <c r="EC49" s="123">
        <v>42977</v>
      </c>
      <c r="ED49" s="123">
        <v>43053</v>
      </c>
      <c r="EE49" s="529">
        <f t="shared" si="99"/>
        <v>76</v>
      </c>
      <c r="EF49" s="123">
        <v>43189</v>
      </c>
      <c r="EG49" s="123">
        <f t="shared" ca="1" si="131"/>
        <v>43332</v>
      </c>
      <c r="EH49" s="529">
        <f t="shared" ca="1" si="100"/>
        <v>143</v>
      </c>
      <c r="EI49" s="123">
        <v>43203</v>
      </c>
      <c r="EJ49" s="123">
        <v>43203</v>
      </c>
      <c r="EK49" s="123">
        <v>43203</v>
      </c>
      <c r="EL49" s="608">
        <f t="shared" si="101"/>
        <v>43132</v>
      </c>
      <c r="EM49" s="353">
        <v>43217</v>
      </c>
      <c r="EN49" s="729">
        <f t="shared" si="102"/>
        <v>2.8333333333333335</v>
      </c>
      <c r="EO49" s="461">
        <f t="shared" si="128"/>
        <v>43457</v>
      </c>
      <c r="EP49" s="317">
        <v>43210</v>
      </c>
      <c r="EQ49" s="317">
        <v>43024</v>
      </c>
      <c r="ER49" s="116" t="s">
        <v>126</v>
      </c>
      <c r="ES49" s="461"/>
      <c r="ET49" s="819">
        <f t="shared" si="103"/>
        <v>43160</v>
      </c>
      <c r="EU49" s="444">
        <v>43242</v>
      </c>
      <c r="EV49" s="445">
        <v>2018</v>
      </c>
      <c r="EW49" s="727">
        <f t="shared" si="104"/>
        <v>2.7333333333333334</v>
      </c>
      <c r="EX49" s="717">
        <v>8529</v>
      </c>
      <c r="EY49" s="315">
        <f t="shared" si="105"/>
        <v>23312.600000000002</v>
      </c>
      <c r="EZ49" s="316">
        <v>43181</v>
      </c>
      <c r="FA49" s="562">
        <v>0</v>
      </c>
      <c r="FB49" s="562">
        <v>0</v>
      </c>
      <c r="FC49" s="562">
        <v>0</v>
      </c>
      <c r="FD49" s="562"/>
      <c r="FE49" s="562">
        <v>0</v>
      </c>
      <c r="FF49" s="787">
        <f t="shared" si="129"/>
        <v>0</v>
      </c>
      <c r="FG49" s="559" t="s">
        <v>730</v>
      </c>
      <c r="FH49" s="662"/>
      <c r="FI49" s="662"/>
      <c r="FJ49" s="663"/>
      <c r="FK49" s="122"/>
      <c r="FL49" s="122"/>
      <c r="FM49" s="122"/>
      <c r="FN49" s="122"/>
      <c r="FO49" s="122"/>
      <c r="FP49" s="50"/>
      <c r="FQ49" s="279">
        <f t="shared" si="70"/>
        <v>43582</v>
      </c>
      <c r="FR49" s="697"/>
      <c r="FS49" s="50"/>
      <c r="FT49" s="50"/>
      <c r="FU49" s="50"/>
      <c r="FV49" s="50"/>
      <c r="FW49" s="50"/>
      <c r="FX49" s="50"/>
      <c r="FY49" s="50"/>
      <c r="FZ49" s="50"/>
      <c r="GA49" s="50"/>
      <c r="GB49" s="50"/>
      <c r="GC49" s="50"/>
      <c r="GD49" s="50"/>
      <c r="GE49" s="50"/>
      <c r="GF49" s="109"/>
      <c r="GG49" s="113"/>
      <c r="GH49" s="8">
        <f>+GR49+GW49+HD49+HX49+HI49</f>
        <v>0</v>
      </c>
      <c r="GI49" s="64">
        <f t="shared" si="116"/>
        <v>3202767</v>
      </c>
      <c r="GJ49" s="10">
        <f t="shared" si="132"/>
        <v>3202767</v>
      </c>
      <c r="GK49" s="46">
        <f t="shared" si="106"/>
        <v>2084.9854502607236</v>
      </c>
      <c r="GL49" s="46">
        <f t="shared" si="107"/>
        <v>139250.73913043478</v>
      </c>
      <c r="GM49" s="8">
        <v>3537549.5398594467</v>
      </c>
      <c r="GN49" s="9">
        <v>3653732</v>
      </c>
      <c r="GO49" s="10">
        <f t="shared" si="108"/>
        <v>116182.4601405533</v>
      </c>
      <c r="GP49" s="128">
        <f t="shared" si="115"/>
        <v>1.1647617113577102</v>
      </c>
      <c r="GQ49" s="130">
        <v>0.4</v>
      </c>
      <c r="GR49" s="90"/>
      <c r="GS49" s="9">
        <v>901691</v>
      </c>
      <c r="GT49" s="654"/>
      <c r="GU49" s="19">
        <f t="shared" si="109"/>
        <v>39203.956521739128</v>
      </c>
      <c r="GV49" s="33"/>
      <c r="GW49" s="8"/>
      <c r="GX49" s="9">
        <f t="shared" si="134"/>
        <v>1772076</v>
      </c>
      <c r="GY49" s="11">
        <v>296327</v>
      </c>
      <c r="GZ49" s="11">
        <v>1475749</v>
      </c>
      <c r="HA49" s="33">
        <f t="shared" si="130"/>
        <v>1772076</v>
      </c>
      <c r="HB49" s="640">
        <f t="shared" si="110"/>
        <v>77046.782608695648</v>
      </c>
      <c r="HC49" s="9"/>
      <c r="HD49" s="8"/>
      <c r="HE49" s="9">
        <v>529000</v>
      </c>
      <c r="HF49" s="64"/>
      <c r="HG49" s="36">
        <f t="shared" si="111"/>
        <v>0.16516967984246123</v>
      </c>
      <c r="HH49" s="302"/>
      <c r="HI49" s="9"/>
      <c r="HJ49" s="20">
        <f t="shared" si="67"/>
        <v>529000</v>
      </c>
      <c r="HK49" s="19">
        <f t="shared" si="112"/>
        <v>23000</v>
      </c>
      <c r="HL49" s="78">
        <f t="shared" si="113"/>
        <v>62203.956521739128</v>
      </c>
      <c r="HM49" s="20">
        <f t="shared" si="133"/>
        <v>23000</v>
      </c>
      <c r="HN49" s="45"/>
      <c r="HO49" s="45"/>
      <c r="HP49" s="35"/>
      <c r="HQ49" s="35"/>
      <c r="HR49" s="19">
        <f>(GR49+HD49+HQ49)/AD49</f>
        <v>0</v>
      </c>
      <c r="HS49" s="35"/>
      <c r="HT49" s="19">
        <f t="shared" si="126"/>
        <v>62203.956521739128</v>
      </c>
      <c r="HU49" s="47" t="e">
        <f>(GR49+HD49+HQ49+HS49)/(HP49+GH49-HV49)</f>
        <v>#DIV/0!</v>
      </c>
      <c r="HV49" s="35"/>
      <c r="HW49" s="35"/>
      <c r="HX49" s="9"/>
      <c r="HY49" s="37">
        <f t="shared" si="114"/>
        <v>3202767</v>
      </c>
      <c r="HZ49" s="276">
        <v>101410.59907834102</v>
      </c>
      <c r="IA49" s="276">
        <f t="shared" si="120"/>
        <v>101410.59907834101</v>
      </c>
      <c r="IB49" s="114"/>
      <c r="IC49" s="233"/>
      <c r="ID49" s="233"/>
      <c r="IE49" s="114"/>
      <c r="IF49" s="114"/>
      <c r="IG49" s="233"/>
      <c r="IH49" s="114"/>
      <c r="II49" s="233"/>
      <c r="IJ49" s="114"/>
      <c r="IK49" s="233"/>
      <c r="IL49" s="115"/>
      <c r="IM49" s="322"/>
      <c r="IN49" s="314"/>
      <c r="IO49" s="314"/>
      <c r="IP49" s="194"/>
      <c r="IQ49" s="331"/>
      <c r="IR49" s="194"/>
      <c r="IS49" s="331"/>
      <c r="IT49" s="238">
        <v>42727</v>
      </c>
      <c r="IU49" s="332">
        <v>65916.894009216587</v>
      </c>
      <c r="IV49" s="238">
        <v>42865</v>
      </c>
      <c r="IW49" s="332">
        <v>10141.0599078341</v>
      </c>
      <c r="IX49" s="114">
        <v>43027</v>
      </c>
      <c r="IY49" s="126">
        <v>5070.5345622119812</v>
      </c>
      <c r="IZ49" s="115"/>
      <c r="JA49" s="115"/>
      <c r="JB49" s="114">
        <v>43055</v>
      </c>
      <c r="JC49" s="115">
        <v>10141.0599078341</v>
      </c>
      <c r="JD49" s="114">
        <v>43189</v>
      </c>
      <c r="JE49" s="115">
        <f>2750.76/1.085</f>
        <v>2535.2626728110604</v>
      </c>
      <c r="JF49" s="114">
        <v>43224</v>
      </c>
      <c r="JG49" s="115">
        <f>8252.28/1.085</f>
        <v>7605.7880184331807</v>
      </c>
      <c r="JH49" s="123"/>
      <c r="JI49" s="115"/>
    </row>
    <row r="50" spans="1:269" ht="15" customHeight="1">
      <c r="A50" s="95" t="s">
        <v>276</v>
      </c>
      <c r="B50" s="51" t="s">
        <v>40</v>
      </c>
      <c r="C50" s="51" t="s">
        <v>112</v>
      </c>
      <c r="D50" s="51">
        <v>2016</v>
      </c>
      <c r="E50" s="51" t="s">
        <v>159</v>
      </c>
      <c r="F50" s="51" t="s">
        <v>383</v>
      </c>
      <c r="G50" s="51" t="s">
        <v>663</v>
      </c>
      <c r="H50" s="51" t="s">
        <v>170</v>
      </c>
      <c r="I50" s="51" t="s">
        <v>118</v>
      </c>
      <c r="J50" s="51"/>
      <c r="K50" s="206"/>
      <c r="L50" s="166" t="s">
        <v>61</v>
      </c>
      <c r="M50" s="167" t="s">
        <v>136</v>
      </c>
      <c r="N50" s="168"/>
      <c r="O50" s="212">
        <v>3126</v>
      </c>
      <c r="P50" s="212">
        <f>Q50</f>
        <v>268450</v>
      </c>
      <c r="Q50" s="212">
        <v>268450</v>
      </c>
      <c r="R50" s="207">
        <f>P50/AD50</f>
        <v>8948.3333333333339</v>
      </c>
      <c r="S50" s="212">
        <f t="shared" si="73"/>
        <v>85.876519513755596</v>
      </c>
      <c r="T50" s="213">
        <f t="shared" si="74"/>
        <v>85.876519513755596</v>
      </c>
      <c r="U50" s="213">
        <f t="shared" si="75"/>
        <v>100.22812211813815</v>
      </c>
      <c r="V50" s="213">
        <f t="shared" si="76"/>
        <v>8948.3333333333339</v>
      </c>
      <c r="W50" s="207">
        <f t="shared" si="77"/>
        <v>104.2</v>
      </c>
      <c r="X50" s="214">
        <v>1264.3499999999999</v>
      </c>
      <c r="Y50" s="215">
        <f t="shared" si="78"/>
        <v>0.85681062060140756</v>
      </c>
      <c r="Z50" s="214"/>
      <c r="AA50" s="220">
        <v>100</v>
      </c>
      <c r="AB50" s="216"/>
      <c r="AC50" s="51" t="s">
        <v>15</v>
      </c>
      <c r="AD50" s="318">
        <f t="shared" si="81"/>
        <v>30</v>
      </c>
      <c r="AE50" s="51">
        <v>30</v>
      </c>
      <c r="AF50" s="258"/>
      <c r="AG50" s="258"/>
      <c r="AH50" s="258"/>
      <c r="AI50" s="268"/>
      <c r="AJ50" s="55">
        <v>2596.9</v>
      </c>
      <c r="AK50" s="55"/>
      <c r="AL50" s="421">
        <v>2678.39</v>
      </c>
      <c r="AM50" s="7">
        <f t="shared" si="127"/>
        <v>89.279666666666657</v>
      </c>
      <c r="AN50" s="57">
        <v>0</v>
      </c>
      <c r="AO50" s="57">
        <v>0</v>
      </c>
      <c r="AP50" s="76">
        <f>16/AD50</f>
        <v>0.53333333333333333</v>
      </c>
      <c r="AQ50" s="76">
        <f>12/AD50</f>
        <v>0.4</v>
      </c>
      <c r="AR50" s="76">
        <f>2/AD50</f>
        <v>6.6666666666666666E-2</v>
      </c>
      <c r="AS50" s="55"/>
      <c r="AT50" s="74">
        <v>0</v>
      </c>
      <c r="AU50" s="76">
        <f>AT50/O50</f>
        <v>0</v>
      </c>
      <c r="AV50" s="55">
        <v>3</v>
      </c>
      <c r="AW50" s="53" t="s">
        <v>561</v>
      </c>
      <c r="AX50" s="51" t="s">
        <v>118</v>
      </c>
      <c r="AY50" s="806"/>
      <c r="AZ50" s="51"/>
      <c r="BA50" s="241">
        <v>41667</v>
      </c>
      <c r="BB50" s="241">
        <v>41787</v>
      </c>
      <c r="BC50" s="110" t="s">
        <v>12</v>
      </c>
      <c r="BD50" s="110" t="s">
        <v>233</v>
      </c>
      <c r="BE50" s="94" t="s">
        <v>165</v>
      </c>
      <c r="BF50" s="204">
        <v>42601</v>
      </c>
      <c r="BG50" s="96">
        <v>42626</v>
      </c>
      <c r="BH50" s="192" t="s">
        <v>329</v>
      </c>
      <c r="BI50" s="205" t="s">
        <v>423</v>
      </c>
      <c r="BJ50" s="96">
        <v>42627</v>
      </c>
      <c r="BK50" s="159">
        <v>41932</v>
      </c>
      <c r="BL50" s="428">
        <v>42027</v>
      </c>
      <c r="BM50" s="164">
        <v>42117</v>
      </c>
      <c r="BN50" s="164">
        <v>42074</v>
      </c>
      <c r="BO50" s="297">
        <v>42027</v>
      </c>
      <c r="BP50" s="297">
        <f>DATE(YEAR(BO50),MONTH(BO50)+36,DAY(BO50))</f>
        <v>43123</v>
      </c>
      <c r="BQ50" s="297">
        <f>DATE(YEAR(BP50),MONTH(BP50)+12,DAY(BP50))</f>
        <v>43488</v>
      </c>
      <c r="BR50" s="297"/>
      <c r="BS50" s="297" t="str">
        <f>IF(EU50&gt;BQ50,"oui","non")</f>
        <v>non</v>
      </c>
      <c r="BT50" s="686">
        <f t="shared" si="82"/>
        <v>4</v>
      </c>
      <c r="BU50" s="686">
        <f t="shared" si="83"/>
        <v>69774.294047676667</v>
      </c>
      <c r="BV50" s="686">
        <f t="shared" si="84"/>
        <v>0</v>
      </c>
      <c r="BW50" s="159" t="s">
        <v>126</v>
      </c>
      <c r="BX50" s="111" t="s">
        <v>278</v>
      </c>
      <c r="BY50" s="188" t="s">
        <v>328</v>
      </c>
      <c r="BZ50" s="98"/>
      <c r="CA50" s="98"/>
      <c r="CB50" s="793"/>
      <c r="CC50" s="158" t="s">
        <v>69</v>
      </c>
      <c r="CD50" s="306">
        <v>42719</v>
      </c>
      <c r="CE50" s="251" t="s">
        <v>552</v>
      </c>
      <c r="CF50" s="157">
        <v>4997938.95</v>
      </c>
      <c r="CG50" s="588">
        <f>DATE(YEAR(CD50),MONTH(CD50)+18,DAY(CD50))</f>
        <v>43266</v>
      </c>
      <c r="CH50" s="408">
        <f>DATE(YEAR(CD50),MONTH(CD50)+24,DAY(CD50))</f>
        <v>43449</v>
      </c>
      <c r="CI50" s="344">
        <v>42934</v>
      </c>
      <c r="CJ50" s="257">
        <v>43235</v>
      </c>
      <c r="CK50" s="603">
        <f>(EU50-CJ50)/30</f>
        <v>3.5333333333333332</v>
      </c>
      <c r="CL50" s="123">
        <v>41548</v>
      </c>
      <c r="CM50" s="123">
        <v>41549</v>
      </c>
      <c r="CN50" s="123">
        <v>41564</v>
      </c>
      <c r="CO50" s="529">
        <f t="shared" si="85"/>
        <v>15</v>
      </c>
      <c r="CP50" s="123">
        <v>41679</v>
      </c>
      <c r="CQ50" s="123">
        <v>41674</v>
      </c>
      <c r="CR50" s="529">
        <f t="shared" si="86"/>
        <v>-5</v>
      </c>
      <c r="CS50" s="123">
        <v>41679</v>
      </c>
      <c r="CT50" s="123">
        <v>41697</v>
      </c>
      <c r="CU50" s="529">
        <f t="shared" si="87"/>
        <v>18</v>
      </c>
      <c r="CV50" s="123">
        <v>41753</v>
      </c>
      <c r="CW50" s="123">
        <v>41824</v>
      </c>
      <c r="CX50" s="529">
        <f t="shared" si="88"/>
        <v>71</v>
      </c>
      <c r="CY50" s="123">
        <v>41880</v>
      </c>
      <c r="CZ50" s="123">
        <v>41920</v>
      </c>
      <c r="DA50" s="556">
        <f t="shared" si="89"/>
        <v>40</v>
      </c>
      <c r="DB50" s="76"/>
      <c r="DC50" s="123">
        <v>42055</v>
      </c>
      <c r="DD50" s="123">
        <v>42177</v>
      </c>
      <c r="DE50" s="123">
        <v>42780</v>
      </c>
      <c r="DF50" s="556">
        <f t="shared" si="90"/>
        <v>603</v>
      </c>
      <c r="DG50" s="123">
        <v>42781</v>
      </c>
      <c r="DH50" s="354">
        <v>42780</v>
      </c>
      <c r="DI50" s="347">
        <v>2017</v>
      </c>
      <c r="DJ50" s="448">
        <f t="shared" si="91"/>
        <v>5.9666666666666668</v>
      </c>
      <c r="DK50" s="556">
        <f t="shared" si="92"/>
        <v>-1</v>
      </c>
      <c r="DL50" s="242">
        <v>16</v>
      </c>
      <c r="DM50" s="117">
        <f t="shared" si="93"/>
        <v>17</v>
      </c>
      <c r="DN50" s="123">
        <v>42844</v>
      </c>
      <c r="DO50" s="123">
        <v>42844</v>
      </c>
      <c r="DP50" s="556">
        <f t="shared" si="94"/>
        <v>0</v>
      </c>
      <c r="DQ50" s="123">
        <v>42916</v>
      </c>
      <c r="DR50" s="123">
        <v>42936</v>
      </c>
      <c r="DS50" s="574">
        <f t="shared" si="95"/>
        <v>20</v>
      </c>
      <c r="DT50" s="123">
        <v>43124</v>
      </c>
      <c r="DU50" s="573">
        <v>43084</v>
      </c>
      <c r="DV50" s="529">
        <f t="shared" si="96"/>
        <v>-40</v>
      </c>
      <c r="DW50" s="539">
        <v>43182</v>
      </c>
      <c r="DX50" s="539">
        <f ca="1">IF(DW50&lt;TODAY(),TODAY(),DW50)</f>
        <v>43332</v>
      </c>
      <c r="DY50" s="535">
        <f t="shared" ca="1" si="97"/>
        <v>150</v>
      </c>
      <c r="DZ50" s="634">
        <v>43161</v>
      </c>
      <c r="EA50" s="544"/>
      <c r="EB50" s="535" t="str">
        <f t="shared" si="98"/>
        <v>0</v>
      </c>
      <c r="EC50" s="539">
        <v>43180</v>
      </c>
      <c r="ED50" s="539">
        <f ca="1">IF(EC50&lt;TODAY(),TODAY(),EC50)</f>
        <v>43332</v>
      </c>
      <c r="EE50" s="535">
        <f t="shared" ca="1" si="99"/>
        <v>152</v>
      </c>
      <c r="EF50" s="539">
        <v>43196</v>
      </c>
      <c r="EG50" s="539">
        <f t="shared" ca="1" si="131"/>
        <v>43332</v>
      </c>
      <c r="EH50" s="535">
        <f t="shared" ca="1" si="100"/>
        <v>136</v>
      </c>
      <c r="EI50" s="539">
        <v>43208</v>
      </c>
      <c r="EJ50" s="539">
        <v>43209</v>
      </c>
      <c r="EK50" s="539">
        <v>43220</v>
      </c>
      <c r="EL50" s="760">
        <f t="shared" si="101"/>
        <v>43265</v>
      </c>
      <c r="EM50" s="759">
        <v>43312</v>
      </c>
      <c r="EN50" s="755">
        <f t="shared" si="102"/>
        <v>1.5666666666666667</v>
      </c>
      <c r="EO50" s="467">
        <f t="shared" si="128"/>
        <v>43664</v>
      </c>
      <c r="EP50" s="186"/>
      <c r="EQ50" s="237">
        <v>42887</v>
      </c>
      <c r="ER50" s="186">
        <v>43328</v>
      </c>
      <c r="ES50" s="467" t="s">
        <v>870</v>
      </c>
      <c r="ET50" s="796">
        <f t="shared" si="103"/>
        <v>43295</v>
      </c>
      <c r="EU50" s="759">
        <v>43341</v>
      </c>
      <c r="EV50" s="576"/>
      <c r="EW50" s="752">
        <f t="shared" si="104"/>
        <v>1.5333333333333334</v>
      </c>
      <c r="EX50" s="716">
        <f>209322.88214303/12</f>
        <v>17443.573511919167</v>
      </c>
      <c r="EY50" s="770">
        <f t="shared" si="105"/>
        <v>26746.812718276058</v>
      </c>
      <c r="EZ50" s="118">
        <v>43321</v>
      </c>
      <c r="FA50" s="562">
        <v>0</v>
      </c>
      <c r="FB50" s="562">
        <v>0</v>
      </c>
      <c r="FC50" s="562">
        <f>310011*1.021</f>
        <v>316521.23099999997</v>
      </c>
      <c r="FD50" s="562"/>
      <c r="FE50" s="562">
        <v>0</v>
      </c>
      <c r="FF50" s="787">
        <f t="shared" si="129"/>
        <v>0</v>
      </c>
      <c r="FG50" s="559" t="s">
        <v>728</v>
      </c>
      <c r="FH50" s="662" t="s">
        <v>855</v>
      </c>
      <c r="FI50" s="662" t="s">
        <v>865</v>
      </c>
      <c r="FJ50" s="662" t="s">
        <v>804</v>
      </c>
      <c r="FK50" s="124"/>
      <c r="FL50" s="124"/>
      <c r="FM50" s="124"/>
      <c r="FN50" s="124"/>
      <c r="FO50" s="124"/>
      <c r="FP50" s="51"/>
      <c r="FQ50" s="279">
        <f t="shared" si="70"/>
        <v>43677</v>
      </c>
      <c r="FR50" s="279"/>
      <c r="FS50" s="51"/>
      <c r="FT50" s="51"/>
      <c r="FU50" s="51"/>
      <c r="FV50" s="51"/>
      <c r="FW50" s="51"/>
      <c r="FX50" s="51"/>
      <c r="FY50" s="51"/>
      <c r="FZ50" s="51"/>
      <c r="GA50" s="114"/>
      <c r="GB50" s="51"/>
      <c r="GC50" s="51"/>
      <c r="GD50" s="51"/>
      <c r="GE50" s="51"/>
      <c r="GF50" s="113"/>
      <c r="GG50" s="113"/>
      <c r="GH50" s="286">
        <f>+GR50+GW50+HD50+HX50</f>
        <v>5088523.3381183296</v>
      </c>
      <c r="GI50" s="64">
        <f t="shared" si="116"/>
        <v>5227844.2</v>
      </c>
      <c r="GJ50" s="42">
        <f t="shared" si="132"/>
        <v>139320.86188167054</v>
      </c>
      <c r="GK50" s="46">
        <f t="shared" si="106"/>
        <v>2013.1095536986406</v>
      </c>
      <c r="GL50" s="46">
        <f t="shared" si="107"/>
        <v>174261.47333333333</v>
      </c>
      <c r="GM50" s="286">
        <v>4413122.1526051881</v>
      </c>
      <c r="GN50" s="69">
        <v>4142334</v>
      </c>
      <c r="GO50" s="42">
        <f t="shared" si="108"/>
        <v>-270788.15260518808</v>
      </c>
      <c r="GP50" s="128">
        <f t="shared" si="115"/>
        <v>0.80899943689982179</v>
      </c>
      <c r="GQ50" s="129"/>
      <c r="GR50" s="286">
        <v>1541342.2781183291</v>
      </c>
      <c r="GS50" s="431">
        <v>1638956.14</v>
      </c>
      <c r="GT50" s="654"/>
      <c r="GU50" s="19">
        <f t="shared" si="109"/>
        <v>54631.871333333329</v>
      </c>
      <c r="GV50" s="34">
        <f>GS50-GR50</f>
        <v>97613.861881670775</v>
      </c>
      <c r="GW50" s="18">
        <f>GX50</f>
        <v>3296474.06</v>
      </c>
      <c r="GX50" s="431">
        <f t="shared" si="134"/>
        <v>3296474.06</v>
      </c>
      <c r="GY50" s="433">
        <v>618601</v>
      </c>
      <c r="GZ50" s="11">
        <v>2677873.06</v>
      </c>
      <c r="HA50" s="34">
        <f t="shared" si="130"/>
        <v>0</v>
      </c>
      <c r="HB50" s="640">
        <f t="shared" si="110"/>
        <v>109882.46866666667</v>
      </c>
      <c r="HC50" s="431">
        <v>0</v>
      </c>
      <c r="HD50" s="18">
        <v>250707</v>
      </c>
      <c r="HE50" s="9">
        <v>280000</v>
      </c>
      <c r="HF50" s="69">
        <v>0</v>
      </c>
      <c r="HG50" s="36">
        <f t="shared" si="111"/>
        <v>5.3559362002410092E-2</v>
      </c>
      <c r="HH50" s="302"/>
      <c r="HI50" s="431">
        <v>12414</v>
      </c>
      <c r="HJ50" s="17">
        <f t="shared" si="67"/>
        <v>29293</v>
      </c>
      <c r="HK50" s="43">
        <f t="shared" si="112"/>
        <v>9333.3333333333339</v>
      </c>
      <c r="HL50" s="78">
        <f t="shared" si="113"/>
        <v>63965.204666666665</v>
      </c>
      <c r="HM50" s="17">
        <f t="shared" si="133"/>
        <v>976.43333333333328</v>
      </c>
      <c r="HN50" s="45">
        <v>6.39</v>
      </c>
      <c r="HO50" s="45">
        <v>5.75</v>
      </c>
      <c r="HP50" s="434">
        <v>0</v>
      </c>
      <c r="HQ50" s="434">
        <v>0</v>
      </c>
      <c r="HR50" s="43">
        <f>(GS50+HE50+HQ50)/AD50</f>
        <v>63965.204666666665</v>
      </c>
      <c r="HS50" s="434">
        <v>0</v>
      </c>
      <c r="HT50" s="43">
        <f t="shared" si="126"/>
        <v>63965.204666666665</v>
      </c>
      <c r="HU50" s="47">
        <f>(GS50+HE50+HQ50+HS50)/(HP50+GI50-HV50)</f>
        <v>0.37905933929335955</v>
      </c>
      <c r="HV50" s="434">
        <v>165428</v>
      </c>
      <c r="HW50" s="434"/>
      <c r="HX50" s="431">
        <f>FB50</f>
        <v>0</v>
      </c>
      <c r="HY50" s="37">
        <f t="shared" si="114"/>
        <v>5227844.2</v>
      </c>
      <c r="HZ50" s="276">
        <v>265886</v>
      </c>
      <c r="IA50" s="276">
        <f>IC50+IE50+IG50+II50+IK50+IM50+IO50+IQ50+IS50+IU50+IW50+IY50+JA50+JC50+JE50+JG50+JI50+JA50</f>
        <v>254537</v>
      </c>
      <c r="IB50" s="123"/>
      <c r="IC50" s="233">
        <v>24456</v>
      </c>
      <c r="ID50" s="233"/>
      <c r="IE50" s="114"/>
      <c r="IF50" s="114">
        <v>41697</v>
      </c>
      <c r="IG50" s="233">
        <v>12815</v>
      </c>
      <c r="IH50" s="114">
        <v>41676</v>
      </c>
      <c r="II50" s="233">
        <v>26808</v>
      </c>
      <c r="IJ50" s="114">
        <v>41815</v>
      </c>
      <c r="IK50" s="233">
        <v>27980</v>
      </c>
      <c r="IL50" s="115">
        <v>41942</v>
      </c>
      <c r="IM50" s="322">
        <v>39455</v>
      </c>
      <c r="IN50" s="314"/>
      <c r="IO50" s="314"/>
      <c r="IP50" s="123" t="s">
        <v>511</v>
      </c>
      <c r="IQ50" s="233"/>
      <c r="IR50" s="123">
        <v>42726</v>
      </c>
      <c r="IS50" s="233">
        <v>41091</v>
      </c>
      <c r="IT50" s="317">
        <v>42929</v>
      </c>
      <c r="IU50" s="324">
        <v>12636</v>
      </c>
      <c r="IV50" s="114">
        <v>43006</v>
      </c>
      <c r="IW50" s="115">
        <v>12634</v>
      </c>
      <c r="IX50" s="114">
        <v>43080</v>
      </c>
      <c r="IY50" s="115">
        <v>9678</v>
      </c>
      <c r="IZ50" s="629" t="s">
        <v>809</v>
      </c>
      <c r="JA50" s="115">
        <f>8422+8423</f>
        <v>16845</v>
      </c>
      <c r="JB50" s="629" t="s">
        <v>834</v>
      </c>
      <c r="JC50" s="115">
        <f>12634+660</f>
        <v>13294</v>
      </c>
      <c r="JD50" s="56"/>
      <c r="JE50" s="122"/>
      <c r="JF50" s="50"/>
      <c r="JG50" s="122"/>
      <c r="JH50" s="122"/>
      <c r="JI50" s="50"/>
    </row>
    <row r="51" spans="1:269" ht="15" customHeight="1">
      <c r="A51" s="83" t="s">
        <v>358</v>
      </c>
      <c r="B51" s="50" t="s">
        <v>35</v>
      </c>
      <c r="C51" s="50" t="s">
        <v>110</v>
      </c>
      <c r="D51" s="50">
        <v>2016</v>
      </c>
      <c r="E51" s="50" t="s">
        <v>251</v>
      </c>
      <c r="F51" s="50" t="s">
        <v>318</v>
      </c>
      <c r="G51" s="83"/>
      <c r="H51" s="50" t="s">
        <v>170</v>
      </c>
      <c r="I51" s="50"/>
      <c r="J51" s="50"/>
      <c r="K51" s="256" t="s">
        <v>616</v>
      </c>
      <c r="L51" s="166" t="s">
        <v>272</v>
      </c>
      <c r="M51" s="167" t="s">
        <v>147</v>
      </c>
      <c r="N51" s="168"/>
      <c r="O51" s="207">
        <v>8838</v>
      </c>
      <c r="P51" s="207">
        <v>652080</v>
      </c>
      <c r="Q51" s="207">
        <f>P51</f>
        <v>652080</v>
      </c>
      <c r="R51" s="207">
        <f>P51/89</f>
        <v>7326.7415730337079</v>
      </c>
      <c r="S51" s="207">
        <f t="shared" si="73"/>
        <v>73.78139850644942</v>
      </c>
      <c r="T51" s="213">
        <f t="shared" si="74"/>
        <v>73.78139850644942</v>
      </c>
      <c r="U51" s="213">
        <f t="shared" si="75"/>
        <v>130.36333321338179</v>
      </c>
      <c r="V51" s="213">
        <f t="shared" si="76"/>
        <v>9450.434782608696</v>
      </c>
      <c r="W51" s="207">
        <f t="shared" si="77"/>
        <v>128.08695652173913</v>
      </c>
      <c r="X51" s="208"/>
      <c r="Y51" s="209">
        <f t="shared" si="78"/>
        <v>0.56596741344195522</v>
      </c>
      <c r="Z51" s="208" t="s">
        <v>185</v>
      </c>
      <c r="AA51" s="208">
        <v>630</v>
      </c>
      <c r="AB51" s="209">
        <v>0</v>
      </c>
      <c r="AC51" s="51" t="s">
        <v>16</v>
      </c>
      <c r="AD51" s="318">
        <f t="shared" si="81"/>
        <v>69</v>
      </c>
      <c r="AE51" s="61"/>
      <c r="AF51" s="50">
        <v>69</v>
      </c>
      <c r="AG51" s="50"/>
      <c r="AH51" s="50"/>
      <c r="AI51" s="268"/>
      <c r="AJ51" s="54">
        <v>4692.6549999999988</v>
      </c>
      <c r="AK51" s="54"/>
      <c r="AL51" s="421">
        <v>5002.0200000000004</v>
      </c>
      <c r="AM51" s="7">
        <f t="shared" si="127"/>
        <v>72.493043478260873</v>
      </c>
      <c r="AN51" s="75">
        <f>12/AD51</f>
        <v>0.17391304347826086</v>
      </c>
      <c r="AO51" s="75">
        <f>29/AD51</f>
        <v>0.42028985507246375</v>
      </c>
      <c r="AP51" s="75">
        <f>28/AD51</f>
        <v>0.40579710144927539</v>
      </c>
      <c r="AQ51" s="75">
        <v>0</v>
      </c>
      <c r="AR51" s="75">
        <v>0</v>
      </c>
      <c r="AS51" s="54"/>
      <c r="AT51" s="73">
        <v>0</v>
      </c>
      <c r="AU51" s="75">
        <v>0</v>
      </c>
      <c r="AV51" s="54">
        <v>4</v>
      </c>
      <c r="AW51" s="53" t="s">
        <v>561</v>
      </c>
      <c r="AX51" s="50" t="s">
        <v>118</v>
      </c>
      <c r="AY51" s="785"/>
      <c r="AZ51" s="50"/>
      <c r="BA51" s="238">
        <v>42031</v>
      </c>
      <c r="BB51" s="238">
        <v>42475</v>
      </c>
      <c r="BC51" s="110"/>
      <c r="BD51" s="110" t="s">
        <v>280</v>
      </c>
      <c r="BE51" s="94"/>
      <c r="BF51" s="204">
        <v>42462</v>
      </c>
      <c r="BG51" s="96"/>
      <c r="BH51" s="96"/>
      <c r="BI51" s="204"/>
      <c r="BJ51" s="96"/>
      <c r="BK51" s="159">
        <v>42899</v>
      </c>
      <c r="BL51" s="202">
        <v>42929</v>
      </c>
      <c r="BM51" s="160">
        <v>43013</v>
      </c>
      <c r="BN51" s="160">
        <v>42943</v>
      </c>
      <c r="BO51" s="298">
        <f t="shared" ref="BO51:BO88" si="135">BL51</f>
        <v>42929</v>
      </c>
      <c r="BP51" s="297">
        <f t="shared" ref="BP51:BP88" si="136">DATE(YEAR(BO51),MONTH(BO51)+24,DAY(BO51))</f>
        <v>43659</v>
      </c>
      <c r="BQ51" s="297">
        <f>DATE(YEAR(BO51),MONTH(BO51)+36,DAY(BO51))</f>
        <v>44025</v>
      </c>
      <c r="BR51" s="768">
        <f>17610.41+217516</f>
        <v>235126.41</v>
      </c>
      <c r="BS51" s="297" t="str">
        <f>IF(EU51&gt;BQ51,"oui","non")</f>
        <v>non</v>
      </c>
      <c r="BT51" s="686">
        <f t="shared" si="82"/>
        <v>3</v>
      </c>
      <c r="BU51" s="686">
        <f t="shared" si="83"/>
        <v>76177.880569269342</v>
      </c>
      <c r="BV51" s="686">
        <f t="shared" si="84"/>
        <v>-158948.52943073068</v>
      </c>
      <c r="BW51" s="159">
        <v>42920</v>
      </c>
      <c r="BX51" s="32" t="s">
        <v>620</v>
      </c>
      <c r="BY51" s="97">
        <v>43025</v>
      </c>
      <c r="BZ51" s="98"/>
      <c r="CA51" s="98"/>
      <c r="CB51" s="793"/>
      <c r="CC51" s="155" t="s">
        <v>69</v>
      </c>
      <c r="CD51" s="162"/>
      <c r="CE51" s="251"/>
      <c r="CF51" s="157"/>
      <c r="CG51" s="162"/>
      <c r="CH51" s="251"/>
      <c r="CI51" s="251"/>
      <c r="CJ51" s="251" t="s">
        <v>165</v>
      </c>
      <c r="CK51" s="604"/>
      <c r="CL51" s="123"/>
      <c r="CM51" s="115"/>
      <c r="CN51" s="115"/>
      <c r="CO51" s="529" t="str">
        <f t="shared" si="85"/>
        <v>0</v>
      </c>
      <c r="CP51" s="123"/>
      <c r="CQ51" s="123"/>
      <c r="CR51" s="529" t="str">
        <f t="shared" si="86"/>
        <v>0</v>
      </c>
      <c r="CS51" s="126"/>
      <c r="CT51" s="123"/>
      <c r="CU51" s="529" t="str">
        <f t="shared" si="87"/>
        <v>0</v>
      </c>
      <c r="CV51" s="126"/>
      <c r="CW51" s="123"/>
      <c r="CX51" s="529" t="str">
        <f t="shared" si="88"/>
        <v>0</v>
      </c>
      <c r="CY51" s="126"/>
      <c r="CZ51" s="575"/>
      <c r="DA51" s="529" t="str">
        <f t="shared" si="89"/>
        <v>0</v>
      </c>
      <c r="DB51" s="457"/>
      <c r="DC51" s="233"/>
      <c r="DD51" s="123"/>
      <c r="DE51" s="233"/>
      <c r="DF51" s="529" t="str">
        <f t="shared" si="90"/>
        <v>0</v>
      </c>
      <c r="DG51" s="123"/>
      <c r="DH51" s="444">
        <v>43129</v>
      </c>
      <c r="DI51" s="445">
        <v>2018</v>
      </c>
      <c r="DJ51" s="451">
        <f t="shared" si="91"/>
        <v>22.233333333333334</v>
      </c>
      <c r="DK51" s="529" t="str">
        <f t="shared" si="92"/>
        <v>0</v>
      </c>
      <c r="DL51" s="255">
        <v>21</v>
      </c>
      <c r="DM51" s="117">
        <f t="shared" si="93"/>
        <v>21</v>
      </c>
      <c r="DN51" s="539"/>
      <c r="DO51" s="534"/>
      <c r="DP51" s="535" t="str">
        <f t="shared" si="94"/>
        <v>0</v>
      </c>
      <c r="DQ51" s="539"/>
      <c r="DR51" s="557"/>
      <c r="DS51" s="536" t="str">
        <f t="shared" si="95"/>
        <v>0</v>
      </c>
      <c r="DT51" s="537"/>
      <c r="DU51" s="812"/>
      <c r="DV51" s="535" t="str">
        <f t="shared" si="96"/>
        <v>0</v>
      </c>
      <c r="DW51" s="534"/>
      <c r="DX51" s="539"/>
      <c r="DY51" s="535" t="str">
        <f t="shared" si="97"/>
        <v>0</v>
      </c>
      <c r="DZ51" s="542"/>
      <c r="EA51" s="542"/>
      <c r="EB51" s="535" t="str">
        <f t="shared" si="98"/>
        <v>0</v>
      </c>
      <c r="EC51" s="542"/>
      <c r="ED51" s="541"/>
      <c r="EE51" s="535" t="str">
        <f t="shared" si="99"/>
        <v>0</v>
      </c>
      <c r="EF51" s="541"/>
      <c r="EG51" s="539">
        <f t="shared" ca="1" si="131"/>
        <v>43332</v>
      </c>
      <c r="EH51" s="535" t="str">
        <f t="shared" ca="1" si="100"/>
        <v>0</v>
      </c>
      <c r="EI51" s="541"/>
      <c r="EJ51" s="541"/>
      <c r="EK51" s="541"/>
      <c r="EL51" s="760">
        <f t="shared" si="101"/>
        <v>43767</v>
      </c>
      <c r="EM51" s="759">
        <f>DATE(YEAR(DH51),MONTH(DH51)+DL51,DAY(DH51))</f>
        <v>43767</v>
      </c>
      <c r="EN51" s="755">
        <f t="shared" si="102"/>
        <v>0</v>
      </c>
      <c r="EO51" s="580">
        <f t="shared" si="128"/>
        <v>731</v>
      </c>
      <c r="EP51" s="244"/>
      <c r="EQ51" s="244"/>
      <c r="ER51" s="186">
        <f>DATE(YEAR(EM51),MONTH(EM51)+4,DAY(EM51)+2)</f>
        <v>43892</v>
      </c>
      <c r="ES51" s="467"/>
      <c r="ET51" s="578">
        <f t="shared" si="103"/>
        <v>43798</v>
      </c>
      <c r="EU51" s="759">
        <v>43923</v>
      </c>
      <c r="EV51" s="581"/>
      <c r="EW51" s="752">
        <f t="shared" si="104"/>
        <v>4.166666666666667</v>
      </c>
      <c r="EX51" s="722">
        <v>25392.626856423114</v>
      </c>
      <c r="EY51" s="247">
        <f t="shared" si="105"/>
        <v>105802.61190176298</v>
      </c>
      <c r="EZ51" s="272"/>
      <c r="FA51" s="562">
        <v>0</v>
      </c>
      <c r="FB51" s="562">
        <v>0</v>
      </c>
      <c r="FC51" s="562"/>
      <c r="FD51" s="562"/>
      <c r="FE51" s="562">
        <v>0</v>
      </c>
      <c r="FF51" s="787">
        <f t="shared" si="129"/>
        <v>0</v>
      </c>
      <c r="FG51" s="559"/>
      <c r="FH51" s="571"/>
      <c r="FI51" s="571"/>
      <c r="FJ51" s="559"/>
      <c r="FK51" s="122"/>
      <c r="FL51" s="122"/>
      <c r="FM51" s="122"/>
      <c r="FN51" s="122"/>
      <c r="FO51" s="122"/>
      <c r="FP51" s="50"/>
      <c r="FQ51" s="279">
        <f t="shared" si="70"/>
        <v>44133</v>
      </c>
      <c r="FR51" s="279"/>
      <c r="FS51" s="50"/>
      <c r="FT51" s="50"/>
      <c r="FU51" s="50"/>
      <c r="FV51" s="50"/>
      <c r="FW51" s="50"/>
      <c r="FX51" s="50"/>
      <c r="FY51" s="50"/>
      <c r="FZ51" s="50"/>
      <c r="GA51" s="50"/>
      <c r="GB51" s="50"/>
      <c r="GC51" s="50"/>
      <c r="GD51" s="50"/>
      <c r="GE51" s="50"/>
      <c r="GF51" s="113"/>
      <c r="GG51" s="113"/>
      <c r="GH51" s="90">
        <f>GI51</f>
        <v>9081364</v>
      </c>
      <c r="GI51" s="64">
        <f t="shared" si="116"/>
        <v>9081364</v>
      </c>
      <c r="GJ51" s="10">
        <f t="shared" si="132"/>
        <v>0</v>
      </c>
      <c r="GK51" s="46">
        <f t="shared" si="106"/>
        <v>1935.2294170357723</v>
      </c>
      <c r="GL51" s="46">
        <f t="shared" si="107"/>
        <v>131613.97101449277</v>
      </c>
      <c r="GM51" s="90">
        <f>GN51</f>
        <v>8791836.2692203913</v>
      </c>
      <c r="GN51" s="64">
        <v>8791836.2692203913</v>
      </c>
      <c r="GO51" s="10">
        <f t="shared" si="108"/>
        <v>0</v>
      </c>
      <c r="GP51" s="128">
        <f t="shared" si="115"/>
        <v>0.98844896326961662</v>
      </c>
      <c r="GQ51" s="130">
        <v>0.39500000000000002</v>
      </c>
      <c r="GR51" s="90">
        <f>GS51</f>
        <v>2943082</v>
      </c>
      <c r="GS51" s="782">
        <v>2943082</v>
      </c>
      <c r="GT51" s="654">
        <v>2943082</v>
      </c>
      <c r="GU51" s="19">
        <f t="shared" si="109"/>
        <v>42653.362318840576</v>
      </c>
      <c r="GV51" s="33">
        <f>GS51-GR51</f>
        <v>0</v>
      </c>
      <c r="GW51" s="8">
        <f>GX51</f>
        <v>5336445</v>
      </c>
      <c r="GX51" s="782">
        <f t="shared" si="134"/>
        <v>5336445</v>
      </c>
      <c r="GY51" s="799">
        <v>746372</v>
      </c>
      <c r="GZ51" s="783">
        <v>4590073</v>
      </c>
      <c r="HA51" s="33">
        <f t="shared" si="130"/>
        <v>0</v>
      </c>
      <c r="HB51" s="640">
        <f t="shared" si="110"/>
        <v>77339.782608695648</v>
      </c>
      <c r="HC51" s="64"/>
      <c r="HD51" s="90">
        <v>700000</v>
      </c>
      <c r="HE51" s="9">
        <v>700000</v>
      </c>
      <c r="HF51" s="64"/>
      <c r="HG51" s="36">
        <f t="shared" si="111"/>
        <v>7.7080931895252738E-2</v>
      </c>
      <c r="HH51" s="302"/>
      <c r="HI51" s="64">
        <v>101837</v>
      </c>
      <c r="HJ51" s="20">
        <f t="shared" si="67"/>
        <v>0</v>
      </c>
      <c r="HK51" s="19">
        <f t="shared" si="112"/>
        <v>10144.927536231884</v>
      </c>
      <c r="HL51" s="78">
        <f t="shared" si="113"/>
        <v>52798.289855072464</v>
      </c>
      <c r="HM51" s="20">
        <f t="shared" si="133"/>
        <v>0</v>
      </c>
      <c r="HN51" s="45">
        <v>5.51</v>
      </c>
      <c r="HO51" s="45">
        <v>5.48</v>
      </c>
      <c r="HP51" s="35">
        <v>0</v>
      </c>
      <c r="HQ51" s="35">
        <v>0</v>
      </c>
      <c r="HR51" s="19">
        <f>(GS51+HE51+HQ51)/AD51</f>
        <v>52798.289855072464</v>
      </c>
      <c r="HS51" s="35">
        <v>0</v>
      </c>
      <c r="HT51" s="19">
        <f t="shared" si="126"/>
        <v>52798.289855072464</v>
      </c>
      <c r="HU51" s="47">
        <f>(GS51+HE51+HQ51+HS51)/(HP51+GI51-HV51)</f>
        <v>0.40116022218688735</v>
      </c>
      <c r="HV51" s="35">
        <v>0</v>
      </c>
      <c r="HW51" s="35"/>
      <c r="HX51" s="9">
        <f>FB51</f>
        <v>0</v>
      </c>
      <c r="HY51" s="37">
        <f t="shared" si="114"/>
        <v>9081364</v>
      </c>
      <c r="HZ51" s="276"/>
      <c r="IA51" s="276">
        <f>IC51+IE51+IG51+II51+IK51+IM51+IO51+IQ51+IS51+IU51+IW51+IY51+JA51+JC51+JE51+JG51+JI51</f>
        <v>0</v>
      </c>
      <c r="IB51" s="114"/>
      <c r="IC51" s="233"/>
      <c r="ID51" s="233"/>
      <c r="IE51" s="114"/>
      <c r="IF51" s="114"/>
      <c r="IG51" s="233"/>
      <c r="IH51" s="114"/>
      <c r="II51" s="233"/>
      <c r="IJ51" s="114"/>
      <c r="IK51" s="233"/>
      <c r="IL51" s="115"/>
      <c r="IM51" s="322"/>
      <c r="IN51" s="314"/>
      <c r="IO51" s="314"/>
      <c r="IP51" s="275"/>
      <c r="IQ51" s="276"/>
      <c r="IR51" s="275"/>
      <c r="IS51" s="276"/>
      <c r="IT51" s="274"/>
      <c r="IU51" s="274"/>
      <c r="IV51" s="274"/>
      <c r="IW51" s="274"/>
      <c r="IX51" s="268"/>
      <c r="IY51" s="268"/>
      <c r="IZ51" s="268"/>
      <c r="JA51" s="268"/>
      <c r="JB51" s="268"/>
      <c r="JC51" s="268"/>
      <c r="JD51" s="233"/>
      <c r="JE51" s="123"/>
      <c r="JF51" s="115"/>
      <c r="JG51" s="123"/>
      <c r="JH51" s="123"/>
      <c r="JI51" s="115"/>
    </row>
    <row r="52" spans="1:269" ht="15" customHeight="1">
      <c r="A52" s="667" t="s">
        <v>658</v>
      </c>
      <c r="B52" s="50" t="s">
        <v>46</v>
      </c>
      <c r="C52" s="50" t="s">
        <v>110</v>
      </c>
      <c r="D52" s="50">
        <v>2016</v>
      </c>
      <c r="E52" s="50" t="s">
        <v>305</v>
      </c>
      <c r="F52" s="50" t="s">
        <v>318</v>
      </c>
      <c r="G52" s="50" t="s">
        <v>178</v>
      </c>
      <c r="H52" s="50" t="s">
        <v>170</v>
      </c>
      <c r="I52" s="50"/>
      <c r="J52" s="50" t="s">
        <v>354</v>
      </c>
      <c r="K52" s="256" t="s">
        <v>604</v>
      </c>
      <c r="L52" s="166"/>
      <c r="M52" s="167"/>
      <c r="N52" s="168"/>
      <c r="O52" s="207">
        <v>8111</v>
      </c>
      <c r="P52" s="207">
        <v>405550</v>
      </c>
      <c r="Q52" s="207">
        <v>405550</v>
      </c>
      <c r="R52" s="207">
        <f t="shared" ref="R52:R60" si="137">P52/AD52</f>
        <v>11587.142857142857</v>
      </c>
      <c r="S52" s="207">
        <f t="shared" si="73"/>
        <v>50</v>
      </c>
      <c r="T52" s="213">
        <f t="shared" si="74"/>
        <v>50</v>
      </c>
      <c r="U52" s="213">
        <f t="shared" si="75"/>
        <v>175.71642735205677</v>
      </c>
      <c r="V52" s="213">
        <f t="shared" si="76"/>
        <v>11587.142857142857</v>
      </c>
      <c r="W52" s="207">
        <f t="shared" si="77"/>
        <v>231.74285714285713</v>
      </c>
      <c r="X52" s="208"/>
      <c r="Y52" s="216">
        <f t="shared" si="78"/>
        <v>0.28454937738873137</v>
      </c>
      <c r="Z52" s="208"/>
      <c r="AA52" s="208">
        <v>450</v>
      </c>
      <c r="AB52" s="209"/>
      <c r="AC52" s="50" t="s">
        <v>16</v>
      </c>
      <c r="AD52" s="318">
        <f t="shared" si="81"/>
        <v>35</v>
      </c>
      <c r="AE52" s="61"/>
      <c r="AF52" s="50">
        <v>35</v>
      </c>
      <c r="AG52" s="50"/>
      <c r="AH52" s="50"/>
      <c r="AI52" s="268"/>
      <c r="AJ52" s="54">
        <v>2316.3530000000001</v>
      </c>
      <c r="AK52" s="54"/>
      <c r="AL52" s="227">
        <v>2307.98</v>
      </c>
      <c r="AM52" s="7">
        <f t="shared" si="127"/>
        <v>65.942285714285717</v>
      </c>
      <c r="AN52" s="75">
        <f>8/AD52</f>
        <v>0.22857142857142856</v>
      </c>
      <c r="AO52" s="75">
        <f>8/AD52</f>
        <v>0.22857142857142856</v>
      </c>
      <c r="AP52" s="75">
        <f>8/AD52</f>
        <v>0.22857142857142856</v>
      </c>
      <c r="AQ52" s="75">
        <f>11/AD52</f>
        <v>0.31428571428571428</v>
      </c>
      <c r="AR52" s="75"/>
      <c r="AS52" s="54"/>
      <c r="AT52" s="73"/>
      <c r="AU52" s="75"/>
      <c r="AV52" s="54"/>
      <c r="AW52" s="53" t="s">
        <v>561</v>
      </c>
      <c r="AX52" s="50"/>
      <c r="AY52" s="785"/>
      <c r="AZ52" s="50"/>
      <c r="BA52" s="238">
        <v>42396</v>
      </c>
      <c r="BB52" s="238">
        <v>42475</v>
      </c>
      <c r="BC52" s="110"/>
      <c r="BD52" s="110"/>
      <c r="BE52" s="94"/>
      <c r="BF52" s="204">
        <v>42660</v>
      </c>
      <c r="BG52" s="96"/>
      <c r="BH52" s="96"/>
      <c r="BI52" s="204"/>
      <c r="BJ52" s="96"/>
      <c r="BK52" s="159">
        <v>42886</v>
      </c>
      <c r="BL52" s="202">
        <v>42929</v>
      </c>
      <c r="BM52" s="160">
        <v>43013</v>
      </c>
      <c r="BN52" s="160">
        <v>42957</v>
      </c>
      <c r="BO52" s="298">
        <f t="shared" si="135"/>
        <v>42929</v>
      </c>
      <c r="BP52" s="297">
        <f t="shared" si="136"/>
        <v>43659</v>
      </c>
      <c r="BQ52" s="297">
        <v>44022</v>
      </c>
      <c r="BR52" s="297"/>
      <c r="BS52" s="297" t="str">
        <f>IF(EU52&gt;BP52,"oui","non")</f>
        <v>oui</v>
      </c>
      <c r="BT52" s="686">
        <f t="shared" si="82"/>
        <v>11</v>
      </c>
      <c r="BU52" s="686">
        <f t="shared" si="83"/>
        <v>0</v>
      </c>
      <c r="BV52" s="686">
        <f t="shared" si="84"/>
        <v>0</v>
      </c>
      <c r="BW52" s="159">
        <v>42920</v>
      </c>
      <c r="BX52" s="111" t="s">
        <v>542</v>
      </c>
      <c r="BY52" s="97"/>
      <c r="BZ52" s="98"/>
      <c r="CA52" s="98"/>
      <c r="CB52" s="98"/>
      <c r="CC52" s="158"/>
      <c r="CD52" s="162"/>
      <c r="CE52" s="251"/>
      <c r="CF52" s="157"/>
      <c r="CG52" s="162"/>
      <c r="CH52" s="251"/>
      <c r="CI52" s="251"/>
      <c r="CJ52" s="251" t="s">
        <v>165</v>
      </c>
      <c r="CK52" s="604"/>
      <c r="CL52" s="123">
        <v>42296</v>
      </c>
      <c r="CM52" s="123">
        <v>42307</v>
      </c>
      <c r="CN52" s="123">
        <v>42296</v>
      </c>
      <c r="CO52" s="529">
        <f t="shared" si="85"/>
        <v>-11</v>
      </c>
      <c r="CP52" s="123">
        <v>42412</v>
      </c>
      <c r="CQ52" s="123">
        <v>42412</v>
      </c>
      <c r="CR52" s="529">
        <f t="shared" si="86"/>
        <v>0</v>
      </c>
      <c r="CS52" s="123">
        <v>42458</v>
      </c>
      <c r="CT52" s="123">
        <v>42593</v>
      </c>
      <c r="CU52" s="529">
        <f t="shared" si="87"/>
        <v>135</v>
      </c>
      <c r="CV52" s="123">
        <v>42655</v>
      </c>
      <c r="CW52" s="123">
        <v>42683</v>
      </c>
      <c r="CX52" s="529">
        <f t="shared" si="88"/>
        <v>28</v>
      </c>
      <c r="CY52" s="123">
        <v>42779</v>
      </c>
      <c r="CZ52" s="123">
        <v>42892</v>
      </c>
      <c r="DA52" s="556">
        <f t="shared" si="89"/>
        <v>113</v>
      </c>
      <c r="DB52" s="457"/>
      <c r="DC52" s="123">
        <v>43123</v>
      </c>
      <c r="DD52" s="316">
        <v>43140</v>
      </c>
      <c r="DE52" s="123">
        <v>43160</v>
      </c>
      <c r="DF52" s="556">
        <f t="shared" si="90"/>
        <v>20</v>
      </c>
      <c r="DG52" s="316">
        <v>43154</v>
      </c>
      <c r="DH52" s="444">
        <v>43164</v>
      </c>
      <c r="DI52" s="445">
        <v>2018</v>
      </c>
      <c r="DJ52" s="451">
        <f t="shared" si="91"/>
        <v>16.8</v>
      </c>
      <c r="DK52" s="529">
        <f t="shared" si="92"/>
        <v>10</v>
      </c>
      <c r="DL52" s="255">
        <v>14</v>
      </c>
      <c r="DM52" s="117">
        <f t="shared" si="93"/>
        <v>14</v>
      </c>
      <c r="DN52" s="533">
        <v>43263</v>
      </c>
      <c r="DO52" s="539">
        <f t="shared" ref="DO52:DO58" ca="1" si="138">IF(DN52&lt;TODAY(),TODAY(),DN52)</f>
        <v>43332</v>
      </c>
      <c r="DP52" s="535">
        <f t="shared" ca="1" si="94"/>
        <v>69</v>
      </c>
      <c r="DQ52" s="533">
        <v>43287</v>
      </c>
      <c r="DR52" s="557">
        <f t="shared" ref="DR52:DR57" ca="1" si="139">IF(DQ52&lt;TODAY(),TODAY(),DQ52)</f>
        <v>43332</v>
      </c>
      <c r="DS52" s="536">
        <f t="shared" ca="1" si="95"/>
        <v>45</v>
      </c>
      <c r="DT52" s="539">
        <v>43374</v>
      </c>
      <c r="DU52" s="557">
        <f t="shared" ref="DU52:DU76" ca="1" si="140">IF(DT52&lt;TODAY(),TODAY(),DT52)</f>
        <v>43374</v>
      </c>
      <c r="DV52" s="535">
        <f t="shared" ca="1" si="96"/>
        <v>0</v>
      </c>
      <c r="DW52" s="539">
        <v>43486</v>
      </c>
      <c r="DX52" s="539">
        <f t="shared" ref="DX52:DX76" ca="1" si="141">IF(DW52&lt;TODAY(),TODAY(),DW52)</f>
        <v>43486</v>
      </c>
      <c r="DY52" s="535">
        <f t="shared" ca="1" si="97"/>
        <v>0</v>
      </c>
      <c r="DZ52" s="687">
        <v>43447</v>
      </c>
      <c r="EA52" s="545"/>
      <c r="EB52" s="535" t="str">
        <f t="shared" si="98"/>
        <v>0</v>
      </c>
      <c r="EC52" s="569">
        <v>43500</v>
      </c>
      <c r="ED52" s="539">
        <f ca="1">IF(EC52&lt;TODAY(),TODAY(),EC52)</f>
        <v>43500</v>
      </c>
      <c r="EE52" s="535">
        <f t="shared" ca="1" si="99"/>
        <v>0</v>
      </c>
      <c r="EF52" s="539">
        <v>43563</v>
      </c>
      <c r="EG52" s="539">
        <f t="shared" ca="1" si="131"/>
        <v>43563</v>
      </c>
      <c r="EH52" s="535">
        <f t="shared" ca="1" si="100"/>
        <v>0</v>
      </c>
      <c r="EI52" s="539">
        <v>43542</v>
      </c>
      <c r="EJ52" s="539">
        <v>43542</v>
      </c>
      <c r="EK52" s="539">
        <v>43546</v>
      </c>
      <c r="EL52" s="760">
        <f t="shared" si="101"/>
        <v>43590</v>
      </c>
      <c r="EM52" s="759">
        <v>43590</v>
      </c>
      <c r="EN52" s="755">
        <f t="shared" si="102"/>
        <v>0</v>
      </c>
      <c r="EO52" s="580">
        <f t="shared" si="128"/>
        <v>731</v>
      </c>
      <c r="EP52" s="244"/>
      <c r="EQ52" s="244"/>
      <c r="ER52" s="186">
        <f>DATE(YEAR(EM52),MONTH(EM52)+3,DAY(EM52))</f>
        <v>43682</v>
      </c>
      <c r="ES52" s="467"/>
      <c r="ET52" s="578">
        <f t="shared" si="103"/>
        <v>43621</v>
      </c>
      <c r="EU52" s="759">
        <f>ER52</f>
        <v>43682</v>
      </c>
      <c r="EV52" s="581"/>
      <c r="EW52" s="752">
        <f t="shared" si="104"/>
        <v>2.0333333333333332</v>
      </c>
      <c r="EX52" s="722"/>
      <c r="EY52" s="247">
        <f t="shared" si="105"/>
        <v>0</v>
      </c>
      <c r="EZ52" s="118"/>
      <c r="FA52" s="562">
        <v>0</v>
      </c>
      <c r="FB52" s="562">
        <v>0</v>
      </c>
      <c r="FC52" s="562">
        <f>122000*1.021</f>
        <v>124561.99999999999</v>
      </c>
      <c r="FD52" s="562"/>
      <c r="FE52" s="562">
        <v>0</v>
      </c>
      <c r="FF52" s="787">
        <f t="shared" si="129"/>
        <v>0</v>
      </c>
      <c r="FG52" s="559"/>
      <c r="FH52" s="571"/>
      <c r="FI52" s="571" t="s">
        <v>766</v>
      </c>
      <c r="FJ52" s="559"/>
      <c r="FK52" s="122"/>
      <c r="FL52" s="122"/>
      <c r="FM52" s="122"/>
      <c r="FN52" s="122"/>
      <c r="FO52" s="122"/>
      <c r="FP52" s="50"/>
      <c r="FQ52" s="279">
        <f t="shared" si="70"/>
        <v>43956</v>
      </c>
      <c r="FR52" s="279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113"/>
      <c r="GG52" s="113"/>
      <c r="GH52" s="90">
        <f>+GR52+GW52+HD52+HX52</f>
        <v>4867349.3792960932</v>
      </c>
      <c r="GI52" s="64">
        <f t="shared" si="116"/>
        <v>5306870</v>
      </c>
      <c r="GJ52" s="10">
        <f t="shared" si="132"/>
        <v>439520.62070390675</v>
      </c>
      <c r="GK52" s="46">
        <f t="shared" si="106"/>
        <v>2291.0454494630135</v>
      </c>
      <c r="GL52" s="46">
        <f t="shared" si="107"/>
        <v>151624.85714285713</v>
      </c>
      <c r="GM52" s="90">
        <v>4254582.75</v>
      </c>
      <c r="GN52" s="64">
        <v>4784510</v>
      </c>
      <c r="GO52" s="10">
        <f t="shared" si="108"/>
        <v>529927.25</v>
      </c>
      <c r="GP52" s="128">
        <f t="shared" si="115"/>
        <v>0.9205020492305257</v>
      </c>
      <c r="GQ52" s="130">
        <v>0.4</v>
      </c>
      <c r="GR52" s="90">
        <v>1361329.3792960932</v>
      </c>
      <c r="GS52" s="9">
        <v>1576411</v>
      </c>
      <c r="GT52" s="654">
        <v>1629529</v>
      </c>
      <c r="GU52" s="19">
        <f t="shared" si="109"/>
        <v>45040.314285714288</v>
      </c>
      <c r="GV52" s="33">
        <f>GS52-GR52</f>
        <v>215081.62070390675</v>
      </c>
      <c r="GW52" s="8">
        <v>2561020</v>
      </c>
      <c r="GX52" s="782">
        <f t="shared" si="134"/>
        <v>2760459</v>
      </c>
      <c r="GY52" s="799">
        <v>738771</v>
      </c>
      <c r="GZ52" s="783">
        <v>2021688</v>
      </c>
      <c r="HA52" s="33">
        <f t="shared" si="130"/>
        <v>199439</v>
      </c>
      <c r="HB52" s="640">
        <f t="shared" si="110"/>
        <v>78870.257142857139</v>
      </c>
      <c r="HC52" s="64"/>
      <c r="HD52" s="90">
        <v>945000</v>
      </c>
      <c r="HE52" s="9">
        <f>HD52</f>
        <v>945000</v>
      </c>
      <c r="HF52" s="64"/>
      <c r="HG52" s="36">
        <f t="shared" si="111"/>
        <v>0.17807106637245684</v>
      </c>
      <c r="HH52" s="302"/>
      <c r="HI52" s="64">
        <v>25000</v>
      </c>
      <c r="HJ52" s="20">
        <f t="shared" si="67"/>
        <v>0</v>
      </c>
      <c r="HK52" s="19">
        <f t="shared" si="112"/>
        <v>27000</v>
      </c>
      <c r="HL52" s="78">
        <f t="shared" si="113"/>
        <v>72040.314285714281</v>
      </c>
      <c r="HM52" s="20">
        <f t="shared" si="133"/>
        <v>0</v>
      </c>
      <c r="HN52" s="45">
        <v>5.57</v>
      </c>
      <c r="HO52" s="45">
        <v>5.54</v>
      </c>
      <c r="HP52" s="35"/>
      <c r="HQ52" s="35"/>
      <c r="HR52" s="19">
        <f t="shared" ref="HR52:HR71" si="142">(GR52+HD52+HQ52)/AD52</f>
        <v>65895.125122745521</v>
      </c>
      <c r="HS52" s="35"/>
      <c r="HT52" s="19">
        <f t="shared" si="126"/>
        <v>72040.314285714281</v>
      </c>
      <c r="HU52" s="47">
        <f t="shared" ref="HU52:HU88" si="143">(GR52+HD52+HQ52+HS52)/(HP52+GH52-HV52)</f>
        <v>0.47383682566662805</v>
      </c>
      <c r="HV52" s="35"/>
      <c r="HW52" s="35"/>
      <c r="HX52" s="9">
        <f>FB52</f>
        <v>0</v>
      </c>
      <c r="HY52" s="37">
        <f t="shared" si="114"/>
        <v>5306870</v>
      </c>
      <c r="HZ52" s="276">
        <v>265262</v>
      </c>
      <c r="IA52" s="276">
        <f>IC52+IE52+IG52+II52+IK52+IM52+IO52+IQ52+IS52+IU52+IW52+IY52+JA52+JC52+JE52+JG52+JI52</f>
        <v>145894</v>
      </c>
      <c r="IB52" s="114">
        <v>42335</v>
      </c>
      <c r="IC52" s="233">
        <v>26176</v>
      </c>
      <c r="ID52" s="233"/>
      <c r="IE52" s="114"/>
      <c r="IF52" s="114">
        <v>42501</v>
      </c>
      <c r="IG52" s="233">
        <v>17712</v>
      </c>
      <c r="IH52" s="114">
        <v>42430</v>
      </c>
      <c r="II52" s="233">
        <v>20368</v>
      </c>
      <c r="IJ52" s="114">
        <v>42670</v>
      </c>
      <c r="IK52" s="233">
        <v>25703</v>
      </c>
      <c r="IL52" s="115" t="s">
        <v>540</v>
      </c>
      <c r="IM52" s="322">
        <v>38553</v>
      </c>
      <c r="IN52" s="314"/>
      <c r="IO52" s="314"/>
      <c r="IP52" s="123">
        <v>43083</v>
      </c>
      <c r="IQ52" s="233">
        <v>17382</v>
      </c>
      <c r="IR52" s="275"/>
      <c r="IS52" s="280"/>
      <c r="IT52" s="300"/>
      <c r="IU52" s="300"/>
      <c r="IV52" s="300"/>
      <c r="IW52" s="300"/>
      <c r="IX52" s="238">
        <v>42822</v>
      </c>
      <c r="IY52" s="290"/>
      <c r="IZ52" s="268"/>
      <c r="JA52" s="268"/>
      <c r="JB52" s="268"/>
      <c r="JC52" s="268"/>
      <c r="JD52" s="233">
        <v>20368</v>
      </c>
      <c r="JE52" s="316"/>
      <c r="JF52" s="115"/>
      <c r="JG52" s="316"/>
      <c r="JH52" s="316"/>
      <c r="JI52" s="115"/>
    </row>
    <row r="53" spans="1:269" ht="15" customHeight="1">
      <c r="A53" s="83" t="s">
        <v>606</v>
      </c>
      <c r="B53" s="50" t="s">
        <v>35</v>
      </c>
      <c r="C53" s="50" t="s">
        <v>110</v>
      </c>
      <c r="D53" s="50">
        <v>2018</v>
      </c>
      <c r="E53" s="50" t="s">
        <v>557</v>
      </c>
      <c r="F53" s="50" t="s">
        <v>382</v>
      </c>
      <c r="G53" s="50" t="s">
        <v>624</v>
      </c>
      <c r="H53" s="50" t="s">
        <v>170</v>
      </c>
      <c r="I53" s="50"/>
      <c r="J53" s="50" t="s">
        <v>435</v>
      </c>
      <c r="K53" s="256"/>
      <c r="L53" s="166"/>
      <c r="M53" s="167"/>
      <c r="N53" s="168"/>
      <c r="O53" s="207">
        <v>1952</v>
      </c>
      <c r="P53" s="207">
        <v>1</v>
      </c>
      <c r="Q53" s="207"/>
      <c r="R53" s="207">
        <f t="shared" si="137"/>
        <v>0.01</v>
      </c>
      <c r="S53" s="207">
        <f t="shared" si="73"/>
        <v>5.1229508196721314E-4</v>
      </c>
      <c r="T53" s="213">
        <f t="shared" si="74"/>
        <v>0</v>
      </c>
      <c r="U53" s="213">
        <f t="shared" si="75"/>
        <v>0</v>
      </c>
      <c r="V53" s="213">
        <f t="shared" si="76"/>
        <v>0</v>
      </c>
      <c r="W53" s="207">
        <f t="shared" si="77"/>
        <v>19.52</v>
      </c>
      <c r="X53" s="208"/>
      <c r="Y53" s="209">
        <f t="shared" si="78"/>
        <v>0.98538422131147541</v>
      </c>
      <c r="Z53" s="208"/>
      <c r="AA53" s="208">
        <v>500</v>
      </c>
      <c r="AB53" s="209"/>
      <c r="AC53" s="50" t="s">
        <v>433</v>
      </c>
      <c r="AD53" s="318">
        <f t="shared" si="81"/>
        <v>100</v>
      </c>
      <c r="AE53" s="61"/>
      <c r="AF53" s="115"/>
      <c r="AG53" s="50">
        <v>100</v>
      </c>
      <c r="AH53" s="115"/>
      <c r="AI53" s="268">
        <v>1701.83</v>
      </c>
      <c r="AJ53" s="54">
        <v>1868.31</v>
      </c>
      <c r="AK53" s="54">
        <v>1923.47</v>
      </c>
      <c r="AL53" s="227">
        <v>1923.47</v>
      </c>
      <c r="AM53" s="7">
        <f t="shared" si="127"/>
        <v>19.2347</v>
      </c>
      <c r="AN53" s="75"/>
      <c r="AO53" s="75"/>
      <c r="AP53" s="75"/>
      <c r="AQ53" s="75"/>
      <c r="AR53" s="75"/>
      <c r="AS53" s="54"/>
      <c r="AT53" s="182"/>
      <c r="AU53" s="107"/>
      <c r="AV53" s="54"/>
      <c r="AW53" s="53" t="s">
        <v>561</v>
      </c>
      <c r="AX53" s="50" t="s">
        <v>118</v>
      </c>
      <c r="AY53" s="806">
        <v>5763615</v>
      </c>
      <c r="AZ53" s="50"/>
      <c r="BA53" s="50"/>
      <c r="BB53" s="50"/>
      <c r="BC53" s="110"/>
      <c r="BD53" s="110"/>
      <c r="BE53" s="94"/>
      <c r="BF53" s="204">
        <v>43102</v>
      </c>
      <c r="BG53" s="96">
        <v>43116</v>
      </c>
      <c r="BH53" s="96"/>
      <c r="BI53" s="204"/>
      <c r="BJ53" s="96"/>
      <c r="BK53" s="159">
        <v>43112</v>
      </c>
      <c r="BL53" s="202">
        <v>43144</v>
      </c>
      <c r="BM53" s="160"/>
      <c r="BN53" s="160">
        <v>43160</v>
      </c>
      <c r="BO53" s="298">
        <f t="shared" si="135"/>
        <v>43144</v>
      </c>
      <c r="BP53" s="297">
        <f t="shared" si="136"/>
        <v>43874</v>
      </c>
      <c r="BQ53" s="297">
        <f t="shared" ref="BQ53:BQ88" si="144">DATE(YEAR(BO53),MONTH(BO53)+36,DAY(BO53))</f>
        <v>44240</v>
      </c>
      <c r="BR53" s="297"/>
      <c r="BS53" s="297" t="str">
        <f>IF(EU53&gt;BP53,"oui","non")</f>
        <v>non</v>
      </c>
      <c r="BT53" s="686">
        <f t="shared" si="82"/>
        <v>17</v>
      </c>
      <c r="BU53" s="686">
        <f t="shared" si="83"/>
        <v>0</v>
      </c>
      <c r="BV53" s="686">
        <f t="shared" si="84"/>
        <v>0</v>
      </c>
      <c r="BW53" s="159" t="s">
        <v>784</v>
      </c>
      <c r="BX53" s="160">
        <v>43163</v>
      </c>
      <c r="BY53" s="97"/>
      <c r="BZ53" s="98">
        <v>43178</v>
      </c>
      <c r="CA53" s="98"/>
      <c r="CB53" s="98"/>
      <c r="CC53" s="155"/>
      <c r="CD53" s="162"/>
      <c r="CE53" s="251"/>
      <c r="CF53" s="157"/>
      <c r="CG53" s="162"/>
      <c r="CH53" s="251"/>
      <c r="CI53" s="251"/>
      <c r="CJ53" s="251"/>
      <c r="CK53" s="603">
        <f>(EU53-CJ53)/30</f>
        <v>1456.4333333333334</v>
      </c>
      <c r="CL53" s="546"/>
      <c r="CM53" s="549"/>
      <c r="CN53" s="549"/>
      <c r="CO53" s="551" t="str">
        <f t="shared" si="85"/>
        <v>0</v>
      </c>
      <c r="CP53" s="549">
        <v>42775</v>
      </c>
      <c r="CQ53" s="549">
        <v>42871</v>
      </c>
      <c r="CR53" s="551">
        <f t="shared" si="86"/>
        <v>96</v>
      </c>
      <c r="CS53" s="549"/>
      <c r="CT53" s="549"/>
      <c r="CU53" s="551" t="str">
        <f t="shared" si="87"/>
        <v>0</v>
      </c>
      <c r="CV53" s="549"/>
      <c r="CW53" s="549"/>
      <c r="CX53" s="551" t="str">
        <f t="shared" si="88"/>
        <v>0</v>
      </c>
      <c r="CY53" s="549"/>
      <c r="CZ53" s="549"/>
      <c r="DA53" s="551" t="str">
        <f t="shared" si="89"/>
        <v>0</v>
      </c>
      <c r="DB53" s="457"/>
      <c r="DC53" s="554"/>
      <c r="DD53" s="533"/>
      <c r="DE53" s="539"/>
      <c r="DF53" s="535" t="str">
        <f t="shared" si="90"/>
        <v>0</v>
      </c>
      <c r="DG53" s="533"/>
      <c r="DH53" s="444">
        <v>43168</v>
      </c>
      <c r="DI53" s="345">
        <v>2018</v>
      </c>
      <c r="DJ53" s="447">
        <f t="shared" si="91"/>
        <v>2.2000000000000002</v>
      </c>
      <c r="DK53" s="535" t="str">
        <f t="shared" si="92"/>
        <v>0</v>
      </c>
      <c r="DL53" s="255">
        <v>17</v>
      </c>
      <c r="DM53" s="255">
        <f t="shared" si="93"/>
        <v>17</v>
      </c>
      <c r="DN53" s="533"/>
      <c r="DO53" s="539">
        <f t="shared" ca="1" si="138"/>
        <v>43332</v>
      </c>
      <c r="DP53" s="535" t="str">
        <f t="shared" ca="1" si="94"/>
        <v>0</v>
      </c>
      <c r="DQ53" s="533"/>
      <c r="DR53" s="557">
        <f t="shared" ca="1" si="139"/>
        <v>43332</v>
      </c>
      <c r="DS53" s="536" t="str">
        <f t="shared" ca="1" si="95"/>
        <v>0</v>
      </c>
      <c r="DT53" s="537"/>
      <c r="DU53" s="557">
        <f t="shared" ca="1" si="140"/>
        <v>43332</v>
      </c>
      <c r="DV53" s="535" t="str">
        <f t="shared" ca="1" si="96"/>
        <v>0</v>
      </c>
      <c r="DW53" s="539"/>
      <c r="DX53" s="539">
        <f t="shared" ca="1" si="141"/>
        <v>43332</v>
      </c>
      <c r="DY53" s="535" t="str">
        <f t="shared" ca="1" si="97"/>
        <v>0</v>
      </c>
      <c r="DZ53" s="539"/>
      <c r="EA53" s="539">
        <f ca="1">IF(DZ53&lt;TODAY(),TODAY(),DZ53)</f>
        <v>43332</v>
      </c>
      <c r="EB53" s="535" t="str">
        <f t="shared" ca="1" si="98"/>
        <v>0</v>
      </c>
      <c r="EC53" s="539"/>
      <c r="ED53" s="539">
        <f ca="1">IF(EC53&lt;TODAY(),TODAY(),EC53)</f>
        <v>43332</v>
      </c>
      <c r="EE53" s="535" t="str">
        <f t="shared" ca="1" si="99"/>
        <v>0</v>
      </c>
      <c r="EF53" s="539"/>
      <c r="EG53" s="539">
        <f t="shared" ca="1" si="131"/>
        <v>43332</v>
      </c>
      <c r="EH53" s="535" t="str">
        <f t="shared" ca="1" si="100"/>
        <v>0</v>
      </c>
      <c r="EI53" s="539"/>
      <c r="EJ53" s="539"/>
      <c r="EK53" s="539"/>
      <c r="EL53" s="760">
        <f t="shared" si="101"/>
        <v>43686</v>
      </c>
      <c r="EM53" s="759">
        <f>DATE(YEAR(DH53),MONTH(DH53)+DL53,DAY(DH53))</f>
        <v>43686</v>
      </c>
      <c r="EN53" s="755">
        <f t="shared" si="102"/>
        <v>0</v>
      </c>
      <c r="EO53" s="580">
        <f t="shared" si="128"/>
        <v>731</v>
      </c>
      <c r="EP53" s="244"/>
      <c r="EQ53" s="244"/>
      <c r="ER53" s="186">
        <f>DATE(YEAR(EM53),MONTH(EM53)+1,DAY(EM53))</f>
        <v>43717</v>
      </c>
      <c r="ES53" s="467"/>
      <c r="ET53" s="578">
        <f t="shared" si="103"/>
        <v>43717</v>
      </c>
      <c r="EU53" s="759">
        <v>43693</v>
      </c>
      <c r="EV53" s="581"/>
      <c r="EW53" s="752">
        <f>(DATEDIF(EU53,ET53,"d"))/30</f>
        <v>0.8</v>
      </c>
      <c r="EX53" s="722"/>
      <c r="EY53" s="247">
        <f t="shared" si="105"/>
        <v>0</v>
      </c>
      <c r="EZ53" s="118"/>
      <c r="FA53" s="562">
        <v>0</v>
      </c>
      <c r="FB53" s="562">
        <v>0</v>
      </c>
      <c r="FC53" s="562"/>
      <c r="FD53" s="562"/>
      <c r="FE53" s="562"/>
      <c r="FF53" s="787">
        <f t="shared" si="129"/>
        <v>0</v>
      </c>
      <c r="FG53" s="559"/>
      <c r="FH53" s="571"/>
      <c r="FI53" s="571"/>
      <c r="FJ53" s="571" t="s">
        <v>769</v>
      </c>
      <c r="FK53" s="122"/>
      <c r="FL53" s="122"/>
      <c r="FM53" s="122"/>
      <c r="FN53" s="122"/>
      <c r="FO53" s="122"/>
      <c r="FP53" s="50"/>
      <c r="FQ53" s="279">
        <f t="shared" si="70"/>
        <v>44052</v>
      </c>
      <c r="FR53" s="279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113"/>
      <c r="GG53" s="113"/>
      <c r="GH53" s="90">
        <f>+GR53+GW53+HD53+HX53+HI53</f>
        <v>6236911</v>
      </c>
      <c r="GI53" s="64">
        <f t="shared" si="116"/>
        <v>6236911</v>
      </c>
      <c r="GJ53" s="10">
        <f t="shared" si="132"/>
        <v>0</v>
      </c>
      <c r="GK53" s="46">
        <f t="shared" si="106"/>
        <v>3338.263457349155</v>
      </c>
      <c r="GL53" s="46">
        <f t="shared" si="107"/>
        <v>62369.11</v>
      </c>
      <c r="GM53" s="90"/>
      <c r="GN53" s="64"/>
      <c r="GO53" s="10">
        <f t="shared" si="108"/>
        <v>0</v>
      </c>
      <c r="GP53" s="128">
        <f t="shared" si="115"/>
        <v>0</v>
      </c>
      <c r="GQ53" s="129">
        <v>0.4</v>
      </c>
      <c r="GR53" s="90">
        <v>1736993</v>
      </c>
      <c r="GS53" s="9">
        <v>1736993</v>
      </c>
      <c r="GT53" s="654">
        <v>1736993</v>
      </c>
      <c r="GU53" s="19">
        <f t="shared" si="109"/>
        <v>17369.93</v>
      </c>
      <c r="GV53" s="33"/>
      <c r="GW53" s="804">
        <v>3189669</v>
      </c>
      <c r="GX53" s="9">
        <v>3189669</v>
      </c>
      <c r="GY53" s="390"/>
      <c r="GZ53" s="391"/>
      <c r="HA53" s="33">
        <f t="shared" si="130"/>
        <v>0</v>
      </c>
      <c r="HB53" s="640">
        <f t="shared" si="110"/>
        <v>31896.69</v>
      </c>
      <c r="HC53" s="390"/>
      <c r="HD53" s="90"/>
      <c r="HE53" s="391"/>
      <c r="HF53" s="64"/>
      <c r="HG53" s="392">
        <f t="shared" si="111"/>
        <v>0</v>
      </c>
      <c r="HH53" s="396"/>
      <c r="HI53" s="64">
        <v>1310249</v>
      </c>
      <c r="HJ53" s="20">
        <f t="shared" si="67"/>
        <v>0</v>
      </c>
      <c r="HK53" s="19">
        <f t="shared" si="112"/>
        <v>0</v>
      </c>
      <c r="HL53" s="78">
        <f t="shared" si="113"/>
        <v>17369.93</v>
      </c>
      <c r="HM53" s="20">
        <f t="shared" si="133"/>
        <v>0</v>
      </c>
      <c r="HN53" s="87">
        <v>6.31</v>
      </c>
      <c r="HO53" s="87"/>
      <c r="HP53" s="35"/>
      <c r="HQ53" s="35"/>
      <c r="HR53" s="19">
        <f t="shared" si="142"/>
        <v>17369.93</v>
      </c>
      <c r="HS53" s="35"/>
      <c r="HT53" s="19">
        <f t="shared" si="126"/>
        <v>17369.93</v>
      </c>
      <c r="HU53" s="47">
        <f t="shared" si="143"/>
        <v>0.27850213030136234</v>
      </c>
      <c r="HV53" s="35"/>
      <c r="HW53" s="35"/>
      <c r="HX53" s="391"/>
      <c r="HY53" s="37">
        <f t="shared" ref="HY53:HY69" si="145">GH53+HP53</f>
        <v>6236911</v>
      </c>
      <c r="HZ53" s="276">
        <v>196296</v>
      </c>
      <c r="IA53" s="276">
        <f>II53+IK53+IS53</f>
        <v>98148</v>
      </c>
      <c r="IB53" s="317"/>
      <c r="IC53" s="315"/>
      <c r="ID53" s="315"/>
      <c r="IE53" s="317"/>
      <c r="IF53" s="317"/>
      <c r="IG53" s="315"/>
      <c r="IH53" s="317">
        <v>42735</v>
      </c>
      <c r="II53" s="315">
        <v>46179</v>
      </c>
      <c r="IJ53" s="317">
        <v>43074</v>
      </c>
      <c r="IK53" s="315">
        <v>22525</v>
      </c>
      <c r="IL53" s="324"/>
      <c r="IM53" s="632"/>
      <c r="IN53" s="633"/>
      <c r="IO53" s="633"/>
      <c r="IP53" s="316"/>
      <c r="IQ53" s="315"/>
      <c r="IR53" s="316">
        <v>43167</v>
      </c>
      <c r="IS53" s="315">
        <v>29444</v>
      </c>
      <c r="IT53" s="299"/>
      <c r="IU53" s="299"/>
      <c r="IV53" s="299"/>
      <c r="IW53" s="299"/>
      <c r="IX53" s="268"/>
      <c r="IY53" s="268"/>
      <c r="IZ53" s="268"/>
      <c r="JA53" s="268"/>
      <c r="JB53" s="268"/>
      <c r="JC53" s="268"/>
      <c r="JD53" s="327"/>
      <c r="JE53" s="118"/>
      <c r="JF53" s="278"/>
      <c r="JG53" s="118"/>
      <c r="JH53" s="118"/>
      <c r="JI53" s="278"/>
    </row>
    <row r="54" spans="1:269" ht="15" customHeight="1">
      <c r="A54" s="83" t="s">
        <v>326</v>
      </c>
      <c r="B54" s="50" t="s">
        <v>28</v>
      </c>
      <c r="C54" s="50" t="s">
        <v>110</v>
      </c>
      <c r="D54" s="50">
        <v>2016</v>
      </c>
      <c r="E54" s="50" t="s">
        <v>271</v>
      </c>
      <c r="F54" s="50" t="s">
        <v>30</v>
      </c>
      <c r="G54" s="50" t="s">
        <v>176</v>
      </c>
      <c r="H54" s="50" t="s">
        <v>172</v>
      </c>
      <c r="I54" s="50"/>
      <c r="J54" s="50" t="s">
        <v>353</v>
      </c>
      <c r="K54" s="256" t="s">
        <v>646</v>
      </c>
      <c r="L54" s="166"/>
      <c r="M54" s="167"/>
      <c r="N54" s="168"/>
      <c r="O54" s="207">
        <v>2872</v>
      </c>
      <c r="P54" s="207">
        <v>516960</v>
      </c>
      <c r="Q54" s="207">
        <f>P54</f>
        <v>516960</v>
      </c>
      <c r="R54" s="207">
        <f t="shared" si="137"/>
        <v>12924</v>
      </c>
      <c r="S54" s="207">
        <f t="shared" si="73"/>
        <v>180</v>
      </c>
      <c r="T54" s="213">
        <f t="shared" si="74"/>
        <v>180</v>
      </c>
      <c r="U54" s="213">
        <f t="shared" si="75"/>
        <v>216.90750717486529</v>
      </c>
      <c r="V54" s="213">
        <f t="shared" si="76"/>
        <v>12924</v>
      </c>
      <c r="W54" s="207">
        <f t="shared" si="77"/>
        <v>71.8</v>
      </c>
      <c r="X54" s="208"/>
      <c r="Y54" s="216">
        <f t="shared" si="78"/>
        <v>0.8298467966573817</v>
      </c>
      <c r="Z54" s="208"/>
      <c r="AA54" s="208"/>
      <c r="AB54" s="209"/>
      <c r="AC54" s="50" t="s">
        <v>16</v>
      </c>
      <c r="AD54" s="318">
        <f t="shared" si="81"/>
        <v>40</v>
      </c>
      <c r="AE54" s="61"/>
      <c r="AF54" s="50">
        <v>40</v>
      </c>
      <c r="AG54" s="50"/>
      <c r="AH54" s="50"/>
      <c r="AI54" s="268"/>
      <c r="AJ54" s="54">
        <v>2383.79</v>
      </c>
      <c r="AK54" s="54"/>
      <c r="AL54" s="89">
        <v>2383.3200000000002</v>
      </c>
      <c r="AM54" s="54">
        <f t="shared" si="127"/>
        <v>59.583000000000006</v>
      </c>
      <c r="AN54" s="75"/>
      <c r="AO54" s="75">
        <f>37/AD54</f>
        <v>0.92500000000000004</v>
      </c>
      <c r="AP54" s="75">
        <f>2/AD54</f>
        <v>0.05</v>
      </c>
      <c r="AQ54" s="75">
        <f>1/AD54</f>
        <v>2.5000000000000001E-2</v>
      </c>
      <c r="AR54" s="75"/>
      <c r="AS54" s="54"/>
      <c r="AT54" s="73"/>
      <c r="AU54" s="75"/>
      <c r="AV54" s="54">
        <v>3</v>
      </c>
      <c r="AW54" s="53" t="s">
        <v>561</v>
      </c>
      <c r="AX54" s="50"/>
      <c r="AY54" s="785"/>
      <c r="AZ54" s="50"/>
      <c r="BA54" s="238">
        <v>42314</v>
      </c>
      <c r="BB54" s="238">
        <v>42475</v>
      </c>
      <c r="BC54" s="110"/>
      <c r="BD54" s="110"/>
      <c r="BE54" s="94"/>
      <c r="BF54" s="204">
        <v>42629</v>
      </c>
      <c r="BG54" s="96">
        <v>42657</v>
      </c>
      <c r="BH54" s="96" t="s">
        <v>165</v>
      </c>
      <c r="BI54" s="204" t="s">
        <v>165</v>
      </c>
      <c r="BJ54" s="96" t="s">
        <v>165</v>
      </c>
      <c r="BK54" s="160">
        <v>43241</v>
      </c>
      <c r="BL54" s="202">
        <v>43309</v>
      </c>
      <c r="BM54" s="160">
        <f>DATE(YEAR(BL54),MONTH(BL54)+3,DAY(BL54))</f>
        <v>43401</v>
      </c>
      <c r="BN54" s="160"/>
      <c r="BO54" s="298">
        <f t="shared" si="135"/>
        <v>43309</v>
      </c>
      <c r="BP54" s="297">
        <f t="shared" si="136"/>
        <v>44040</v>
      </c>
      <c r="BQ54" s="297">
        <f t="shared" si="144"/>
        <v>44405</v>
      </c>
      <c r="BR54" s="686">
        <f>14168+62195</f>
        <v>76363</v>
      </c>
      <c r="BS54" s="297" t="str">
        <f>IF(EU54&gt;BQ54,"oui","non")</f>
        <v>non</v>
      </c>
      <c r="BT54" s="686">
        <f t="shared" si="82"/>
        <v>13</v>
      </c>
      <c r="BU54" s="686">
        <f t="shared" si="83"/>
        <v>176618</v>
      </c>
      <c r="BV54" s="686">
        <f t="shared" si="84"/>
        <v>0</v>
      </c>
      <c r="BW54" s="160"/>
      <c r="BX54" s="165"/>
      <c r="BY54" s="97"/>
      <c r="BZ54" s="98"/>
      <c r="CA54" s="98"/>
      <c r="CB54" s="98"/>
      <c r="CC54" s="738"/>
      <c r="CD54" s="387"/>
      <c r="CE54" s="387"/>
      <c r="CF54" s="739"/>
      <c r="CG54" s="387"/>
      <c r="CH54" s="387"/>
      <c r="CI54" s="251"/>
      <c r="CJ54" s="387" t="s">
        <v>165</v>
      </c>
      <c r="CK54" s="604"/>
      <c r="CL54" s="123">
        <v>42164</v>
      </c>
      <c r="CM54" s="123">
        <v>42179</v>
      </c>
      <c r="CN54" s="123">
        <v>42170</v>
      </c>
      <c r="CO54" s="529">
        <f t="shared" si="85"/>
        <v>-9</v>
      </c>
      <c r="CP54" s="123">
        <v>42415</v>
      </c>
      <c r="CQ54" s="123">
        <v>42415</v>
      </c>
      <c r="CR54" s="529">
        <f t="shared" si="86"/>
        <v>0</v>
      </c>
      <c r="CS54" s="123">
        <v>42405</v>
      </c>
      <c r="CT54" s="123">
        <v>42669</v>
      </c>
      <c r="CU54" s="529">
        <f t="shared" si="87"/>
        <v>264</v>
      </c>
      <c r="CV54" s="123">
        <v>42475</v>
      </c>
      <c r="CW54" s="123">
        <v>42991</v>
      </c>
      <c r="CX54" s="529">
        <f t="shared" si="88"/>
        <v>516</v>
      </c>
      <c r="CY54" s="123">
        <v>42965</v>
      </c>
      <c r="CZ54" s="123">
        <v>43070</v>
      </c>
      <c r="DA54" s="529">
        <f t="shared" si="89"/>
        <v>105</v>
      </c>
      <c r="DB54" s="457"/>
      <c r="DC54" s="555"/>
      <c r="DD54" s="533">
        <v>43214</v>
      </c>
      <c r="DE54" s="539">
        <f ca="1">IF(DD54&lt;TODAY(),TODAY(),DD54)</f>
        <v>43332</v>
      </c>
      <c r="DF54" s="535">
        <f t="shared" ca="1" si="90"/>
        <v>118</v>
      </c>
      <c r="DG54" s="533">
        <v>43486</v>
      </c>
      <c r="DH54" s="703">
        <v>43486</v>
      </c>
      <c r="DI54" s="348"/>
      <c r="DJ54" s="446">
        <f t="shared" si="91"/>
        <v>28.566666666666666</v>
      </c>
      <c r="DK54" s="535">
        <f t="shared" si="92"/>
        <v>0</v>
      </c>
      <c r="DL54" s="704">
        <v>16</v>
      </c>
      <c r="DM54" s="243">
        <f t="shared" si="93"/>
        <v>17</v>
      </c>
      <c r="DN54" s="533"/>
      <c r="DO54" s="539">
        <f t="shared" ca="1" si="138"/>
        <v>43332</v>
      </c>
      <c r="DP54" s="535" t="str">
        <f t="shared" ca="1" si="94"/>
        <v>0</v>
      </c>
      <c r="DQ54" s="533"/>
      <c r="DR54" s="557">
        <f t="shared" ca="1" si="139"/>
        <v>43332</v>
      </c>
      <c r="DS54" s="536" t="str">
        <f t="shared" ca="1" si="95"/>
        <v>0</v>
      </c>
      <c r="DT54" s="539"/>
      <c r="DU54" s="557">
        <f t="shared" ca="1" si="140"/>
        <v>43332</v>
      </c>
      <c r="DV54" s="535" t="str">
        <f t="shared" ca="1" si="96"/>
        <v>0</v>
      </c>
      <c r="DW54" s="539"/>
      <c r="DX54" s="539">
        <f t="shared" ca="1" si="141"/>
        <v>43332</v>
      </c>
      <c r="DY54" s="535" t="str">
        <f t="shared" ca="1" si="97"/>
        <v>0</v>
      </c>
      <c r="DZ54" s="539"/>
      <c r="EA54" s="539"/>
      <c r="EB54" s="535" t="str">
        <f t="shared" si="98"/>
        <v>0</v>
      </c>
      <c r="EC54" s="539"/>
      <c r="ED54" s="539"/>
      <c r="EE54" s="535" t="str">
        <f t="shared" si="99"/>
        <v>0</v>
      </c>
      <c r="EF54" s="539"/>
      <c r="EG54" s="539">
        <f t="shared" ca="1" si="131"/>
        <v>43332</v>
      </c>
      <c r="EH54" s="535" t="str">
        <f t="shared" ca="1" si="100"/>
        <v>0</v>
      </c>
      <c r="EI54" s="539"/>
      <c r="EJ54" s="539"/>
      <c r="EK54" s="539"/>
      <c r="EL54" s="760">
        <f t="shared" si="101"/>
        <v>43972</v>
      </c>
      <c r="EM54" s="759">
        <f>DATE(YEAR(EL54),MONTH(EL54)+1,DAY(EL54))</f>
        <v>44003</v>
      </c>
      <c r="EN54" s="756">
        <f t="shared" si="102"/>
        <v>1.0333333333333334</v>
      </c>
      <c r="EO54" s="580">
        <f t="shared" si="128"/>
        <v>731</v>
      </c>
      <c r="EP54" s="244"/>
      <c r="EQ54" s="244"/>
      <c r="ER54" s="186">
        <f>DATE(YEAR(EM54),MONTH(EM54),DAY(EM54))</f>
        <v>44003</v>
      </c>
      <c r="ES54" s="467"/>
      <c r="ET54" s="578">
        <f t="shared" si="103"/>
        <v>44003</v>
      </c>
      <c r="EU54" s="759">
        <f>DATE(YEAR(ER54),MONTH(ER54),DAY(ER54))</f>
        <v>44003</v>
      </c>
      <c r="EV54" s="581"/>
      <c r="EW54" s="753">
        <f t="shared" ref="EW54:EW62" si="146">(DATEDIF(ET54,EU54,"d"))/30</f>
        <v>0</v>
      </c>
      <c r="EX54" s="722">
        <v>13586</v>
      </c>
      <c r="EY54" s="247">
        <f t="shared" si="105"/>
        <v>0</v>
      </c>
      <c r="EZ54" s="118"/>
      <c r="FA54" s="562">
        <v>0</v>
      </c>
      <c r="FB54" s="562">
        <v>0</v>
      </c>
      <c r="FC54" s="562"/>
      <c r="FD54" s="562"/>
      <c r="FE54" s="562"/>
      <c r="FF54" s="787">
        <f t="shared" si="129"/>
        <v>0</v>
      </c>
      <c r="FG54" s="559"/>
      <c r="FH54" s="571"/>
      <c r="FI54" s="571"/>
      <c r="FJ54" s="559" t="s">
        <v>770</v>
      </c>
      <c r="FK54" s="122"/>
      <c r="FL54" s="122"/>
      <c r="FM54" s="122"/>
      <c r="FN54" s="122"/>
      <c r="FO54" s="122"/>
      <c r="FP54" s="50"/>
      <c r="FQ54" s="279">
        <f t="shared" si="70"/>
        <v>44368</v>
      </c>
      <c r="FR54" s="279"/>
      <c r="FS54" s="50"/>
      <c r="FT54" s="50"/>
      <c r="FU54" s="50"/>
      <c r="FV54" s="50"/>
      <c r="FW54" s="50"/>
      <c r="FX54" s="50"/>
      <c r="FY54" s="50"/>
      <c r="FZ54" s="50"/>
      <c r="GA54" s="50"/>
      <c r="GB54" s="50"/>
      <c r="GC54" s="50"/>
      <c r="GD54" s="50"/>
      <c r="GE54" s="50"/>
      <c r="GF54" s="113"/>
      <c r="GG54" s="113"/>
      <c r="GH54" s="90">
        <f>+GR54+GW54+HD54+HX54</f>
        <v>5086671</v>
      </c>
      <c r="GI54" s="64">
        <f t="shared" si="116"/>
        <v>5196925</v>
      </c>
      <c r="GJ54" s="91">
        <f t="shared" si="132"/>
        <v>110254</v>
      </c>
      <c r="GK54" s="46">
        <f t="shared" si="106"/>
        <v>2180.1102446104733</v>
      </c>
      <c r="GL54" s="46">
        <f t="shared" si="107"/>
        <v>129923.125</v>
      </c>
      <c r="GM54" s="90">
        <v>4519361.7020000005</v>
      </c>
      <c r="GN54" s="64">
        <v>4649415</v>
      </c>
      <c r="GO54" s="91">
        <f t="shared" si="108"/>
        <v>130053.29799999949</v>
      </c>
      <c r="GP54" s="129">
        <f t="shared" si="115"/>
        <v>0.91343490910490333</v>
      </c>
      <c r="GQ54" s="130">
        <v>0.4</v>
      </c>
      <c r="GR54" s="90">
        <v>1517885</v>
      </c>
      <c r="GS54" s="64">
        <v>1640996</v>
      </c>
      <c r="GT54" s="654"/>
      <c r="GU54" s="46">
        <f t="shared" si="109"/>
        <v>41024.9</v>
      </c>
      <c r="GV54" s="92">
        <f t="shared" ref="GV54:GV66" si="147">GS54-GR54</f>
        <v>123111</v>
      </c>
      <c r="GW54" s="90">
        <f>1944434+824352</f>
        <v>2768786</v>
      </c>
      <c r="GX54" s="64">
        <f>GY54+GZ54</f>
        <v>2755929</v>
      </c>
      <c r="GY54" s="84">
        <v>601956</v>
      </c>
      <c r="GZ54" s="11">
        <v>2153973</v>
      </c>
      <c r="HA54" s="92">
        <f t="shared" si="130"/>
        <v>-12857</v>
      </c>
      <c r="HB54" s="641">
        <f t="shared" si="110"/>
        <v>68898.225000000006</v>
      </c>
      <c r="HC54" s="64"/>
      <c r="HD54" s="90">
        <v>800000</v>
      </c>
      <c r="HE54" s="64">
        <f>HD54</f>
        <v>800000</v>
      </c>
      <c r="HF54" s="64"/>
      <c r="HG54" s="85">
        <f t="shared" si="111"/>
        <v>0.15393718400785081</v>
      </c>
      <c r="HH54" s="302"/>
      <c r="HI54" s="64"/>
      <c r="HJ54" s="86">
        <f t="shared" ref="HJ54:HJ88" si="148">HE54-HD54</f>
        <v>0</v>
      </c>
      <c r="HK54" s="46">
        <f t="shared" si="112"/>
        <v>20000</v>
      </c>
      <c r="HL54" s="78">
        <f t="shared" si="113"/>
        <v>61024.9</v>
      </c>
      <c r="HM54" s="86">
        <f t="shared" si="133"/>
        <v>0</v>
      </c>
      <c r="HN54" s="87">
        <v>5.76</v>
      </c>
      <c r="HO54" s="87">
        <v>5.7</v>
      </c>
      <c r="HP54" s="88"/>
      <c r="HQ54" s="88"/>
      <c r="HR54" s="46">
        <f t="shared" si="142"/>
        <v>57947.125</v>
      </c>
      <c r="HS54" s="88"/>
      <c r="HT54" s="46">
        <f t="shared" si="126"/>
        <v>61024.9</v>
      </c>
      <c r="HU54" s="47">
        <f t="shared" si="143"/>
        <v>0.45567818323614795</v>
      </c>
      <c r="HV54" s="88"/>
      <c r="HW54" s="88"/>
      <c r="HX54" s="64">
        <f t="shared" ref="HX54:HX59" si="149">FB54</f>
        <v>0</v>
      </c>
      <c r="HY54" s="93">
        <f t="shared" si="145"/>
        <v>5086671</v>
      </c>
      <c r="HZ54" s="276">
        <v>251153</v>
      </c>
      <c r="IA54" s="276">
        <f t="shared" ref="IA54:IA88" si="150">IC54+IE54+IG54+II54+IK54+IM54+IO54+IQ54+IS54+IU54+IW54+IY54+JA54+JC54+JE54+JG54+JI54</f>
        <v>126076</v>
      </c>
      <c r="IB54" s="114">
        <v>42180</v>
      </c>
      <c r="IC54" s="233">
        <v>21429</v>
      </c>
      <c r="ID54" s="233"/>
      <c r="IE54" s="114"/>
      <c r="IF54" s="114">
        <v>42633</v>
      </c>
      <c r="IG54" s="233">
        <v>12215</v>
      </c>
      <c r="IH54" s="114">
        <v>42429</v>
      </c>
      <c r="II54" s="233">
        <v>24930</v>
      </c>
      <c r="IJ54" s="114" t="s">
        <v>549</v>
      </c>
      <c r="IK54" s="233">
        <v>29829</v>
      </c>
      <c r="IL54" s="115">
        <v>43090</v>
      </c>
      <c r="IM54" s="322">
        <v>37673</v>
      </c>
      <c r="IN54" s="314"/>
      <c r="IO54" s="314"/>
      <c r="IP54" s="275"/>
      <c r="IQ54" s="276"/>
      <c r="IR54" s="275"/>
      <c r="IS54" s="276"/>
      <c r="IT54" s="299"/>
      <c r="IU54" s="299"/>
      <c r="IV54" s="299"/>
      <c r="IW54" s="299"/>
      <c r="IX54" s="268"/>
      <c r="IY54" s="268"/>
      <c r="IZ54" s="268"/>
      <c r="JA54" s="268"/>
      <c r="JB54" s="268"/>
      <c r="JC54" s="268"/>
      <c r="JD54" s="233">
        <v>24930</v>
      </c>
      <c r="JE54" s="123"/>
      <c r="JF54" s="115"/>
      <c r="JG54" s="123"/>
      <c r="JH54" s="123"/>
      <c r="JI54" s="115"/>
    </row>
    <row r="55" spans="1:269" ht="15" customHeight="1">
      <c r="A55" s="83" t="s">
        <v>356</v>
      </c>
      <c r="B55" s="50" t="s">
        <v>35</v>
      </c>
      <c r="C55" s="50" t="s">
        <v>110</v>
      </c>
      <c r="D55" s="50">
        <v>2016</v>
      </c>
      <c r="E55" s="50" t="s">
        <v>282</v>
      </c>
      <c r="F55" s="50" t="s">
        <v>378</v>
      </c>
      <c r="G55" s="5" t="s">
        <v>178</v>
      </c>
      <c r="H55" s="50" t="s">
        <v>247</v>
      </c>
      <c r="I55" s="50"/>
      <c r="J55" s="50" t="s">
        <v>325</v>
      </c>
      <c r="K55" s="256" t="s">
        <v>502</v>
      </c>
      <c r="L55" s="166"/>
      <c r="M55" s="167"/>
      <c r="N55" s="168"/>
      <c r="O55" s="207">
        <v>785</v>
      </c>
      <c r="P55" s="207">
        <v>550000</v>
      </c>
      <c r="Q55" s="207">
        <v>550000</v>
      </c>
      <c r="R55" s="207">
        <f t="shared" si="137"/>
        <v>25000</v>
      </c>
      <c r="S55" s="207">
        <f t="shared" si="73"/>
        <v>700.63694267515928</v>
      </c>
      <c r="T55" s="213">
        <f t="shared" si="74"/>
        <v>700.63694267515928</v>
      </c>
      <c r="U55" s="213">
        <f t="shared" si="75"/>
        <v>325.66153700403231</v>
      </c>
      <c r="V55" s="213">
        <f t="shared" si="76"/>
        <v>25000</v>
      </c>
      <c r="W55" s="207">
        <f t="shared" si="77"/>
        <v>35.68181818181818</v>
      </c>
      <c r="X55" s="208"/>
      <c r="Y55" s="216">
        <f t="shared" si="78"/>
        <v>2.1514267515923566</v>
      </c>
      <c r="Z55" s="208" t="s">
        <v>204</v>
      </c>
      <c r="AA55" s="208">
        <v>500</v>
      </c>
      <c r="AB55" s="209"/>
      <c r="AC55" s="50" t="s">
        <v>16</v>
      </c>
      <c r="AD55" s="318">
        <f t="shared" si="81"/>
        <v>22</v>
      </c>
      <c r="AE55" s="61"/>
      <c r="AF55" s="50">
        <v>22</v>
      </c>
      <c r="AG55" s="50"/>
      <c r="AH55" s="50"/>
      <c r="AI55" s="268"/>
      <c r="AJ55" s="54"/>
      <c r="AK55" s="54"/>
      <c r="AL55" s="227">
        <v>1688.87</v>
      </c>
      <c r="AM55" s="7">
        <v>1746</v>
      </c>
      <c r="AN55" s="75"/>
      <c r="AO55" s="75">
        <f>10/AD55</f>
        <v>0.45454545454545453</v>
      </c>
      <c r="AP55" s="75">
        <f>6/AD55</f>
        <v>0.27272727272727271</v>
      </c>
      <c r="AQ55" s="75">
        <f>5/AD55</f>
        <v>0.22727272727272727</v>
      </c>
      <c r="AR55" s="75">
        <f>1/AD55</f>
        <v>4.5454545454545456E-2</v>
      </c>
      <c r="AS55" s="54"/>
      <c r="AT55" s="73">
        <v>0</v>
      </c>
      <c r="AU55" s="75">
        <v>0</v>
      </c>
      <c r="AV55" s="54">
        <v>7</v>
      </c>
      <c r="AW55" s="53" t="s">
        <v>561</v>
      </c>
      <c r="AX55" s="50" t="s">
        <v>118</v>
      </c>
      <c r="AY55" s="785"/>
      <c r="AZ55" s="50"/>
      <c r="BA55" s="238">
        <v>42396</v>
      </c>
      <c r="BB55" s="238">
        <v>42475</v>
      </c>
      <c r="BC55" s="110"/>
      <c r="BD55" s="110"/>
      <c r="BE55" s="94"/>
      <c r="BF55" s="204">
        <v>42606</v>
      </c>
      <c r="BG55" s="96">
        <v>42646</v>
      </c>
      <c r="BH55" s="96" t="s">
        <v>165</v>
      </c>
      <c r="BI55" s="204" t="s">
        <v>165</v>
      </c>
      <c r="BJ55" s="96" t="s">
        <v>165</v>
      </c>
      <c r="BK55" s="160">
        <v>43284</v>
      </c>
      <c r="BL55" s="736">
        <f>DATE(YEAR(BK55),MONTH(BK55)+1,DAY(BK55))</f>
        <v>43315</v>
      </c>
      <c r="BM55" s="160">
        <f>DATE(YEAR(BL55),MONTH(BL55)+3,DAY(BL55))</f>
        <v>43407</v>
      </c>
      <c r="BN55" s="160"/>
      <c r="BO55" s="298">
        <f t="shared" si="135"/>
        <v>43315</v>
      </c>
      <c r="BP55" s="297">
        <f t="shared" si="136"/>
        <v>44046</v>
      </c>
      <c r="BQ55" s="297">
        <f t="shared" si="144"/>
        <v>44411</v>
      </c>
      <c r="BR55" s="686">
        <f>48491+8751</f>
        <v>57242</v>
      </c>
      <c r="BS55" s="297" t="str">
        <f>IF(EU55&gt;BQ55,"oui","non")</f>
        <v>non</v>
      </c>
      <c r="BT55" s="686">
        <f t="shared" si="82"/>
        <v>10</v>
      </c>
      <c r="BU55" s="686">
        <f t="shared" si="83"/>
        <v>90800</v>
      </c>
      <c r="BV55" s="686">
        <f t="shared" si="84"/>
        <v>0</v>
      </c>
      <c r="BW55" s="160"/>
      <c r="BX55" s="165"/>
      <c r="BY55" s="97"/>
      <c r="BZ55" s="98"/>
      <c r="CA55" s="98"/>
      <c r="CB55" s="98"/>
      <c r="CC55" s="158"/>
      <c r="CD55" s="162"/>
      <c r="CE55" s="251"/>
      <c r="CF55" s="157"/>
      <c r="CG55" s="162"/>
      <c r="CH55" s="251"/>
      <c r="CI55" s="251"/>
      <c r="CJ55" s="251" t="s">
        <v>165</v>
      </c>
      <c r="CK55" s="604"/>
      <c r="CL55" s="316">
        <v>42331</v>
      </c>
      <c r="CM55" s="123">
        <v>42353</v>
      </c>
      <c r="CN55" s="123">
        <v>42326</v>
      </c>
      <c r="CO55" s="529">
        <f t="shared" si="85"/>
        <v>-27</v>
      </c>
      <c r="CP55" s="123">
        <v>42415</v>
      </c>
      <c r="CQ55" s="123">
        <v>42415</v>
      </c>
      <c r="CR55" s="529">
        <f t="shared" si="86"/>
        <v>0</v>
      </c>
      <c r="CS55" s="123">
        <v>42444</v>
      </c>
      <c r="CT55" s="123">
        <v>42598</v>
      </c>
      <c r="CU55" s="529">
        <f t="shared" si="87"/>
        <v>154</v>
      </c>
      <c r="CV55" s="123">
        <v>42748</v>
      </c>
      <c r="CW55" s="123">
        <v>42772</v>
      </c>
      <c r="CX55" s="529">
        <f t="shared" si="88"/>
        <v>24</v>
      </c>
      <c r="CY55" s="123">
        <v>42808</v>
      </c>
      <c r="CZ55" s="123">
        <v>43136</v>
      </c>
      <c r="DA55" s="529">
        <f t="shared" si="89"/>
        <v>328</v>
      </c>
      <c r="DB55" s="457"/>
      <c r="DC55" s="555"/>
      <c r="DD55" s="533">
        <v>43189</v>
      </c>
      <c r="DE55" s="539">
        <f ca="1">IF(DD55&lt;TODAY(),TODAY(),DD55)</f>
        <v>43332</v>
      </c>
      <c r="DF55" s="535">
        <f t="shared" ca="1" si="90"/>
        <v>143</v>
      </c>
      <c r="DG55" s="533">
        <v>43203</v>
      </c>
      <c r="DH55" s="703">
        <v>43503</v>
      </c>
      <c r="DI55" s="348"/>
      <c r="DJ55" s="446">
        <f t="shared" si="91"/>
        <v>29.9</v>
      </c>
      <c r="DK55" s="535">
        <f t="shared" si="92"/>
        <v>300</v>
      </c>
      <c r="DL55" s="704">
        <v>16</v>
      </c>
      <c r="DM55" s="243">
        <f t="shared" si="93"/>
        <v>17</v>
      </c>
      <c r="DN55" s="533"/>
      <c r="DO55" s="539">
        <f t="shared" ca="1" si="138"/>
        <v>43332</v>
      </c>
      <c r="DP55" s="535" t="str">
        <f t="shared" ca="1" si="94"/>
        <v>0</v>
      </c>
      <c r="DQ55" s="533"/>
      <c r="DR55" s="557">
        <f t="shared" ca="1" si="139"/>
        <v>43332</v>
      </c>
      <c r="DS55" s="536" t="str">
        <f t="shared" ca="1" si="95"/>
        <v>0</v>
      </c>
      <c r="DT55" s="539"/>
      <c r="DU55" s="557">
        <f t="shared" ca="1" si="140"/>
        <v>43332</v>
      </c>
      <c r="DV55" s="535" t="str">
        <f t="shared" ca="1" si="96"/>
        <v>0</v>
      </c>
      <c r="DW55" s="539"/>
      <c r="DX55" s="539">
        <f t="shared" ca="1" si="141"/>
        <v>43332</v>
      </c>
      <c r="DY55" s="535" t="str">
        <f t="shared" ca="1" si="97"/>
        <v>0</v>
      </c>
      <c r="DZ55" s="541"/>
      <c r="EA55" s="541"/>
      <c r="EB55" s="535" t="str">
        <f t="shared" si="98"/>
        <v>0</v>
      </c>
      <c r="EC55" s="539"/>
      <c r="ED55" s="539"/>
      <c r="EE55" s="535" t="str">
        <f t="shared" si="99"/>
        <v>0</v>
      </c>
      <c r="EF55" s="539"/>
      <c r="EG55" s="539">
        <f t="shared" ca="1" si="131"/>
        <v>43332</v>
      </c>
      <c r="EH55" s="535" t="str">
        <f t="shared" ca="1" si="100"/>
        <v>0</v>
      </c>
      <c r="EI55" s="539"/>
      <c r="EJ55" s="539"/>
      <c r="EK55" s="539"/>
      <c r="EL55" s="625">
        <f t="shared" si="101"/>
        <v>43989</v>
      </c>
      <c r="EM55" s="404">
        <f>DATE(YEAR(EL55),MONTH(EL55)+1,DAY(EL55))</f>
        <v>44019</v>
      </c>
      <c r="EN55" s="756">
        <f t="shared" si="102"/>
        <v>1</v>
      </c>
      <c r="EO55" s="580">
        <f t="shared" si="128"/>
        <v>731</v>
      </c>
      <c r="EP55" s="244"/>
      <c r="EQ55" s="244"/>
      <c r="ER55" s="186">
        <f>DATE(YEAR(EM55),MONTH(EM55)+1,DAY(EM55))</f>
        <v>44050</v>
      </c>
      <c r="ES55" s="467"/>
      <c r="ET55" s="578">
        <f t="shared" si="103"/>
        <v>44019</v>
      </c>
      <c r="EU55" s="455">
        <f>DATE(YEAR(ER55),MONTH(ER55)+1,DAY(ER55))</f>
        <v>44081</v>
      </c>
      <c r="EV55" s="581"/>
      <c r="EW55" s="753">
        <f t="shared" si="146"/>
        <v>2.0666666666666669</v>
      </c>
      <c r="EX55" s="722">
        <v>9080</v>
      </c>
      <c r="EY55" s="247">
        <f t="shared" si="105"/>
        <v>18765.333333333336</v>
      </c>
      <c r="EZ55" s="272"/>
      <c r="FA55" s="562">
        <v>46700</v>
      </c>
      <c r="FB55" s="562">
        <v>0</v>
      </c>
      <c r="FC55" s="562"/>
      <c r="FD55" s="562"/>
      <c r="FE55" s="562"/>
      <c r="FF55" s="562"/>
      <c r="FG55" s="559"/>
      <c r="FH55" s="571"/>
      <c r="FI55" s="571"/>
      <c r="FJ55" s="571" t="s">
        <v>771</v>
      </c>
      <c r="FK55" s="122"/>
      <c r="FL55" s="122"/>
      <c r="FM55" s="122"/>
      <c r="FN55" s="122"/>
      <c r="FO55" s="122"/>
      <c r="FP55" s="50"/>
      <c r="FQ55" s="279">
        <f t="shared" si="70"/>
        <v>44384</v>
      </c>
      <c r="FR55" s="279"/>
      <c r="FS55" s="50"/>
      <c r="FT55" s="50"/>
      <c r="FU55" s="50"/>
      <c r="FV55" s="50"/>
      <c r="FW55" s="50"/>
      <c r="FX55" s="50"/>
      <c r="FY55" s="50"/>
      <c r="FZ55" s="50"/>
      <c r="GA55" s="50"/>
      <c r="GB55" s="50"/>
      <c r="GC55" s="50"/>
      <c r="GD55" s="50"/>
      <c r="GE55" s="50"/>
      <c r="GF55" s="113"/>
      <c r="GG55" s="113"/>
      <c r="GH55" s="90">
        <f>+GR55+GW55+HD55+HX55</f>
        <v>3709176.2725294223</v>
      </c>
      <c r="GI55" s="64">
        <f t="shared" si="116"/>
        <v>3661369</v>
      </c>
      <c r="GJ55" s="813">
        <f t="shared" si="132"/>
        <v>-47807.272529422306</v>
      </c>
      <c r="GK55" s="814" t="e">
        <f t="shared" si="106"/>
        <v>#DIV/0!</v>
      </c>
      <c r="GL55" s="19">
        <f t="shared" si="107"/>
        <v>166425.86363636365</v>
      </c>
      <c r="GM55" s="8">
        <v>3142057.6116279075</v>
      </c>
      <c r="GN55" s="9">
        <v>3087171</v>
      </c>
      <c r="GO55" s="10">
        <f t="shared" si="108"/>
        <v>-54886.611627907492</v>
      </c>
      <c r="GP55" s="128">
        <f t="shared" si="115"/>
        <v>0.86088061350822587</v>
      </c>
      <c r="GQ55" s="130">
        <v>0.4</v>
      </c>
      <c r="GR55" s="778">
        <v>1117146.8818248713</v>
      </c>
      <c r="GS55" s="650">
        <v>1211134</v>
      </c>
      <c r="GT55" s="654"/>
      <c r="GU55" s="19">
        <f t="shared" si="109"/>
        <v>55051.545454545456</v>
      </c>
      <c r="GV55" s="33">
        <f t="shared" si="147"/>
        <v>93987.118175128708</v>
      </c>
      <c r="GW55" s="8">
        <v>2192029.3907045508</v>
      </c>
      <c r="GX55" s="9">
        <f>GY55+GZ55</f>
        <v>2050235</v>
      </c>
      <c r="GY55" s="11">
        <v>370884</v>
      </c>
      <c r="GZ55" s="11">
        <v>1679351</v>
      </c>
      <c r="HA55" s="33">
        <f t="shared" si="130"/>
        <v>-141794.39070455078</v>
      </c>
      <c r="HB55" s="640">
        <f t="shared" si="110"/>
        <v>93192.5</v>
      </c>
      <c r="HC55" s="9"/>
      <c r="HD55" s="8">
        <v>400000</v>
      </c>
      <c r="HE55" s="9">
        <f>HD55</f>
        <v>400000</v>
      </c>
      <c r="HF55" s="9"/>
      <c r="HG55" s="36">
        <f t="shared" si="111"/>
        <v>0.10924875367656196</v>
      </c>
      <c r="HH55" s="302"/>
      <c r="HI55" s="64"/>
      <c r="HJ55" s="20">
        <f t="shared" si="148"/>
        <v>0</v>
      </c>
      <c r="HK55" s="19">
        <f t="shared" si="112"/>
        <v>18181.81818181818</v>
      </c>
      <c r="HL55" s="78">
        <f t="shared" si="113"/>
        <v>73233.363636363632</v>
      </c>
      <c r="HM55" s="20">
        <f t="shared" si="133"/>
        <v>0</v>
      </c>
      <c r="HN55" s="87">
        <v>5.32</v>
      </c>
      <c r="HO55" s="87">
        <v>5.29</v>
      </c>
      <c r="HP55" s="35"/>
      <c r="HQ55" s="35"/>
      <c r="HR55" s="19">
        <f t="shared" si="142"/>
        <v>68961.221901130513</v>
      </c>
      <c r="HS55" s="35"/>
      <c r="HT55" s="19">
        <f t="shared" si="126"/>
        <v>73233.363636363632</v>
      </c>
      <c r="HU55" s="47">
        <f t="shared" si="143"/>
        <v>0.40902528495640184</v>
      </c>
      <c r="HV55" s="35"/>
      <c r="HW55" s="35"/>
      <c r="HX55" s="9">
        <f t="shared" si="149"/>
        <v>0</v>
      </c>
      <c r="HY55" s="37">
        <f t="shared" si="145"/>
        <v>3709176.2725294223</v>
      </c>
      <c r="HZ55" s="276">
        <v>184075</v>
      </c>
      <c r="IA55" s="276">
        <f t="shared" si="150"/>
        <v>92037</v>
      </c>
      <c r="IB55" s="114">
        <v>42429</v>
      </c>
      <c r="IC55" s="233"/>
      <c r="ID55" s="233"/>
      <c r="IE55" s="114"/>
      <c r="IF55" s="114">
        <v>42605</v>
      </c>
      <c r="IG55" s="233">
        <v>8765</v>
      </c>
      <c r="IH55" s="114">
        <v>42429</v>
      </c>
      <c r="II55" s="233">
        <v>36701</v>
      </c>
      <c r="IJ55" s="114" t="s">
        <v>545</v>
      </c>
      <c r="IK55" s="233">
        <v>18328</v>
      </c>
      <c r="IL55" s="115">
        <v>42926</v>
      </c>
      <c r="IM55" s="322">
        <v>28243</v>
      </c>
      <c r="IN55" s="314"/>
      <c r="IO55" s="314"/>
      <c r="IP55" s="275"/>
      <c r="IQ55" s="276"/>
      <c r="IR55" s="275"/>
      <c r="IS55" s="276"/>
      <c r="IT55" s="299"/>
      <c r="IU55" s="299"/>
      <c r="IV55" s="299"/>
      <c r="IW55" s="299"/>
      <c r="IX55" s="268"/>
      <c r="IY55" s="268"/>
      <c r="IZ55" s="268"/>
      <c r="JA55" s="268"/>
      <c r="JB55" s="268"/>
      <c r="JC55" s="268"/>
      <c r="JD55" s="233">
        <v>36701</v>
      </c>
      <c r="JE55" s="316"/>
      <c r="JF55" s="115"/>
      <c r="JG55" s="316"/>
      <c r="JH55" s="316"/>
      <c r="JI55" s="115"/>
    </row>
    <row r="56" spans="1:269" ht="15" customHeight="1">
      <c r="A56" s="667" t="s">
        <v>43</v>
      </c>
      <c r="B56" s="50" t="s">
        <v>35</v>
      </c>
      <c r="C56" s="50" t="s">
        <v>110</v>
      </c>
      <c r="D56" s="50">
        <v>2016</v>
      </c>
      <c r="E56" s="50" t="s">
        <v>44</v>
      </c>
      <c r="F56" s="50" t="s">
        <v>55</v>
      </c>
      <c r="G56" s="75" t="s">
        <v>471</v>
      </c>
      <c r="H56" s="50" t="s">
        <v>247</v>
      </c>
      <c r="I56" s="75"/>
      <c r="J56" s="50"/>
      <c r="K56" s="256" t="s">
        <v>526</v>
      </c>
      <c r="L56" s="303" t="s">
        <v>62</v>
      </c>
      <c r="M56" s="303" t="s">
        <v>69</v>
      </c>
      <c r="N56" s="303"/>
      <c r="O56" s="207">
        <v>2433</v>
      </c>
      <c r="P56" s="207">
        <f>Q56</f>
        <v>487212</v>
      </c>
      <c r="Q56" s="207">
        <v>487212</v>
      </c>
      <c r="R56" s="207">
        <f t="shared" si="137"/>
        <v>16240.4</v>
      </c>
      <c r="S56" s="207">
        <f t="shared" si="73"/>
        <v>200.25154130702836</v>
      </c>
      <c r="T56" s="207">
        <f t="shared" si="74"/>
        <v>200.25154130702836</v>
      </c>
      <c r="U56" s="207">
        <f t="shared" si="75"/>
        <v>190.87340453038934</v>
      </c>
      <c r="V56" s="207">
        <f t="shared" si="76"/>
        <v>16240.4</v>
      </c>
      <c r="W56" s="207">
        <f t="shared" si="77"/>
        <v>81.099999999999994</v>
      </c>
      <c r="X56" s="208">
        <v>782</v>
      </c>
      <c r="Y56" s="209">
        <f t="shared" si="78"/>
        <v>1.0491327579120426</v>
      </c>
      <c r="Z56" s="208" t="s">
        <v>191</v>
      </c>
      <c r="AA56" s="208">
        <v>528</v>
      </c>
      <c r="AB56" s="209">
        <v>0.05</v>
      </c>
      <c r="AC56" s="50" t="s">
        <v>15</v>
      </c>
      <c r="AD56" s="318">
        <f t="shared" si="81"/>
        <v>30</v>
      </c>
      <c r="AE56" s="50">
        <v>30</v>
      </c>
      <c r="AF56" s="61"/>
      <c r="AG56" s="61"/>
      <c r="AH56" s="6"/>
      <c r="AI56" s="268"/>
      <c r="AJ56" s="54">
        <v>2526.1</v>
      </c>
      <c r="AK56" s="54"/>
      <c r="AL56" s="227">
        <v>2552.54</v>
      </c>
      <c r="AM56" s="7">
        <f>AL56/AD56</f>
        <v>85.084666666666664</v>
      </c>
      <c r="AN56" s="75">
        <f>4/AD56</f>
        <v>0.13333333333333333</v>
      </c>
      <c r="AO56" s="75">
        <f>7/AD56</f>
        <v>0.23333333333333334</v>
      </c>
      <c r="AP56" s="75">
        <f>9/AD56</f>
        <v>0.3</v>
      </c>
      <c r="AQ56" s="75">
        <f>8/AD56</f>
        <v>0.26666666666666666</v>
      </c>
      <c r="AR56" s="75">
        <f>2/AD56</f>
        <v>6.6666666666666666E-2</v>
      </c>
      <c r="AS56" s="54"/>
      <c r="AT56" s="73">
        <v>0</v>
      </c>
      <c r="AU56" s="75">
        <f>AT56/O56</f>
        <v>0</v>
      </c>
      <c r="AV56" s="54">
        <v>4.5</v>
      </c>
      <c r="AW56" s="53" t="s">
        <v>561</v>
      </c>
      <c r="AX56" s="50" t="s">
        <v>118</v>
      </c>
      <c r="AY56" s="785"/>
      <c r="AZ56" s="50"/>
      <c r="BA56" s="291" t="s">
        <v>327</v>
      </c>
      <c r="BB56" s="240">
        <v>40816</v>
      </c>
      <c r="BC56" s="110"/>
      <c r="BD56" s="110" t="s">
        <v>145</v>
      </c>
      <c r="BE56" s="285"/>
      <c r="BF56" s="204">
        <v>42618</v>
      </c>
      <c r="BG56" s="96">
        <v>42646</v>
      </c>
      <c r="BH56" s="96">
        <v>41807</v>
      </c>
      <c r="BI56" s="204">
        <v>41831</v>
      </c>
      <c r="BJ56" s="96"/>
      <c r="BK56" s="707">
        <v>43306</v>
      </c>
      <c r="BL56" s="706">
        <f>DATE(YEAR(BK56),MONTH(BK56)+1,DAY(BK56))</f>
        <v>43337</v>
      </c>
      <c r="BM56" s="160">
        <f>DATE(YEAR(BL56),MONTH(BL56)+3,DAY(BL56))</f>
        <v>43429</v>
      </c>
      <c r="BN56" s="165"/>
      <c r="BO56" s="298">
        <f t="shared" si="135"/>
        <v>43337</v>
      </c>
      <c r="BP56" s="297">
        <f t="shared" si="136"/>
        <v>44068</v>
      </c>
      <c r="BQ56" s="297">
        <f t="shared" si="144"/>
        <v>44433</v>
      </c>
      <c r="BR56" s="686">
        <f>77942+17361</f>
        <v>95303</v>
      </c>
      <c r="BS56" s="297" t="str">
        <f>IF(EU56&gt;BQ56,"oui","non")</f>
        <v>non</v>
      </c>
      <c r="BT56" s="686">
        <f t="shared" si="82"/>
        <v>12</v>
      </c>
      <c r="BU56" s="686">
        <f t="shared" si="83"/>
        <v>198180</v>
      </c>
      <c r="BV56" s="686">
        <f t="shared" si="84"/>
        <v>0</v>
      </c>
      <c r="BW56" s="163"/>
      <c r="BX56" s="165"/>
      <c r="BY56" s="97"/>
      <c r="BZ56" s="98"/>
      <c r="CA56" s="98"/>
      <c r="CB56" s="101"/>
      <c r="CC56" s="158" t="s">
        <v>69</v>
      </c>
      <c r="CD56" s="162"/>
      <c r="CE56" s="251"/>
      <c r="CF56" s="157"/>
      <c r="CG56" s="162"/>
      <c r="CH56" s="251"/>
      <c r="CI56" s="251"/>
      <c r="CJ56" s="251" t="s">
        <v>165</v>
      </c>
      <c r="CK56" s="604"/>
      <c r="CL56" s="123">
        <v>40734</v>
      </c>
      <c r="CM56" s="123">
        <v>40754</v>
      </c>
      <c r="CN56" s="123">
        <v>40735</v>
      </c>
      <c r="CO56" s="529">
        <f t="shared" si="85"/>
        <v>-19</v>
      </c>
      <c r="CP56" s="123">
        <v>40885</v>
      </c>
      <c r="CQ56" s="123">
        <v>42404</v>
      </c>
      <c r="CR56" s="529">
        <f t="shared" si="86"/>
        <v>1519</v>
      </c>
      <c r="CS56" s="123">
        <v>40865</v>
      </c>
      <c r="CT56" s="123">
        <v>40911</v>
      </c>
      <c r="CU56" s="529">
        <f t="shared" si="87"/>
        <v>46</v>
      </c>
      <c r="CV56" s="123">
        <v>40949</v>
      </c>
      <c r="CW56" s="123">
        <v>41416</v>
      </c>
      <c r="CX56" s="529">
        <f t="shared" si="88"/>
        <v>467</v>
      </c>
      <c r="CY56" s="123"/>
      <c r="CZ56" s="123"/>
      <c r="DA56" s="551" t="str">
        <f t="shared" si="89"/>
        <v>0</v>
      </c>
      <c r="DB56" s="457"/>
      <c r="DC56" s="555"/>
      <c r="DD56" s="539">
        <v>43276</v>
      </c>
      <c r="DE56" s="539">
        <f ca="1">IF(DD56&lt;TODAY(),TODAY(),DD56)</f>
        <v>43332</v>
      </c>
      <c r="DF56" s="535">
        <f t="shared" ca="1" si="90"/>
        <v>56</v>
      </c>
      <c r="DG56" s="543">
        <v>43291</v>
      </c>
      <c r="DH56" s="703">
        <v>43511</v>
      </c>
      <c r="DI56" s="349"/>
      <c r="DJ56" s="452">
        <f t="shared" si="91"/>
        <v>29.766666666666666</v>
      </c>
      <c r="DK56" s="535">
        <f t="shared" si="92"/>
        <v>220</v>
      </c>
      <c r="DL56" s="705">
        <v>15</v>
      </c>
      <c r="DM56" s="243">
        <f t="shared" si="93"/>
        <v>16</v>
      </c>
      <c r="DN56" s="533"/>
      <c r="DO56" s="539">
        <f t="shared" ca="1" si="138"/>
        <v>43332</v>
      </c>
      <c r="DP56" s="535" t="str">
        <f t="shared" ca="1" si="94"/>
        <v>0</v>
      </c>
      <c r="DQ56" s="533"/>
      <c r="DR56" s="557">
        <f t="shared" ca="1" si="139"/>
        <v>43332</v>
      </c>
      <c r="DS56" s="536" t="str">
        <f t="shared" ca="1" si="95"/>
        <v>0</v>
      </c>
      <c r="DT56" s="539"/>
      <c r="DU56" s="539">
        <f t="shared" ca="1" si="140"/>
        <v>43332</v>
      </c>
      <c r="DV56" s="535" t="str">
        <f t="shared" ca="1" si="96"/>
        <v>0</v>
      </c>
      <c r="DW56" s="539"/>
      <c r="DX56" s="539">
        <f t="shared" ca="1" si="141"/>
        <v>43332</v>
      </c>
      <c r="DY56" s="535" t="str">
        <f t="shared" ca="1" si="97"/>
        <v>0</v>
      </c>
      <c r="DZ56" s="539"/>
      <c r="EA56" s="539"/>
      <c r="EB56" s="535" t="str">
        <f t="shared" si="98"/>
        <v>0</v>
      </c>
      <c r="EC56" s="539"/>
      <c r="ED56" s="539"/>
      <c r="EE56" s="535" t="str">
        <f t="shared" si="99"/>
        <v>0</v>
      </c>
      <c r="EF56" s="539"/>
      <c r="EG56" s="539">
        <f t="shared" ca="1" si="131"/>
        <v>43332</v>
      </c>
      <c r="EH56" s="535" t="str">
        <f t="shared" ca="1" si="100"/>
        <v>0</v>
      </c>
      <c r="EI56" s="539"/>
      <c r="EJ56" s="539"/>
      <c r="EK56" s="539"/>
      <c r="EL56" s="760">
        <f t="shared" si="101"/>
        <v>43966</v>
      </c>
      <c r="EM56" s="759">
        <f>DATE(YEAR(EL56),MONTH(EL56)+1,DAY(EL56))</f>
        <v>43997</v>
      </c>
      <c r="EN56" s="756">
        <f t="shared" si="102"/>
        <v>1.0333333333333334</v>
      </c>
      <c r="EO56" s="580">
        <f t="shared" si="128"/>
        <v>731</v>
      </c>
      <c r="EP56" s="244"/>
      <c r="EQ56" s="244"/>
      <c r="ER56" s="186">
        <f>DATE(YEAR(EM56),MONTH(EM56)+1,DAY(EM56))</f>
        <v>44027</v>
      </c>
      <c r="ES56" s="467"/>
      <c r="ET56" s="578">
        <f t="shared" si="103"/>
        <v>43997</v>
      </c>
      <c r="EU56" s="759">
        <f>DATE(YEAR(ER56),MONTH(ER56)+1,DAY(ER56))</f>
        <v>44058</v>
      </c>
      <c r="EV56" s="581"/>
      <c r="EW56" s="753">
        <f t="shared" si="146"/>
        <v>2.0333333333333332</v>
      </c>
      <c r="EX56" s="722">
        <v>16515</v>
      </c>
      <c r="EY56" s="247">
        <f t="shared" si="105"/>
        <v>33580.5</v>
      </c>
      <c r="EZ56" s="272"/>
      <c r="FA56" s="562">
        <v>0</v>
      </c>
      <c r="FB56" s="562">
        <v>0</v>
      </c>
      <c r="FC56" s="562"/>
      <c r="FD56" s="562"/>
      <c r="FE56" s="562"/>
      <c r="FF56" s="562"/>
      <c r="FG56" s="559"/>
      <c r="FH56" s="571"/>
      <c r="FI56" s="571" t="s">
        <v>774</v>
      </c>
      <c r="FJ56" s="571" t="s">
        <v>780</v>
      </c>
      <c r="FK56" s="187"/>
      <c r="FL56" s="187"/>
      <c r="FM56" s="187"/>
      <c r="FN56" s="187"/>
      <c r="FO56" s="187"/>
      <c r="FP56" s="75"/>
      <c r="FQ56" s="279">
        <f t="shared" si="70"/>
        <v>44362</v>
      </c>
      <c r="FR56" s="279"/>
      <c r="FS56" s="75"/>
      <c r="FT56" s="75"/>
      <c r="FU56" s="75"/>
      <c r="FV56" s="75"/>
      <c r="FW56" s="75"/>
      <c r="FX56" s="75"/>
      <c r="FY56" s="75"/>
      <c r="FZ56" s="75"/>
      <c r="GA56" s="75"/>
      <c r="GB56" s="75"/>
      <c r="GC56" s="75"/>
      <c r="GD56" s="75"/>
      <c r="GE56" s="75"/>
      <c r="GF56" s="113" t="s">
        <v>118</v>
      </c>
      <c r="GG56" s="113"/>
      <c r="GH56" s="90">
        <f>+GR56+GW56+HD56+HX56</f>
        <v>4943384.7071162229</v>
      </c>
      <c r="GI56" s="64">
        <f t="shared" si="116"/>
        <v>5371395</v>
      </c>
      <c r="GJ56" s="10">
        <f t="shared" si="132"/>
        <v>428010.29288377706</v>
      </c>
      <c r="GK56" s="46">
        <f t="shared" si="106"/>
        <v>2126.3588139820276</v>
      </c>
      <c r="GL56" s="46">
        <f t="shared" si="107"/>
        <v>179046.5</v>
      </c>
      <c r="GM56" s="90">
        <v>4257022.3269400001</v>
      </c>
      <c r="GN56" s="64">
        <v>4316430</v>
      </c>
      <c r="GO56" s="10">
        <f t="shared" si="108"/>
        <v>59407.673059999943</v>
      </c>
      <c r="GP56" s="128">
        <f t="shared" si="115"/>
        <v>0.82047122395578787</v>
      </c>
      <c r="GQ56" s="130">
        <v>0.37030000000000002</v>
      </c>
      <c r="GR56" s="90">
        <v>1487646.5617181344</v>
      </c>
      <c r="GS56" s="650">
        <v>1695164</v>
      </c>
      <c r="GT56" s="654"/>
      <c r="GU56" s="19">
        <f t="shared" si="109"/>
        <v>56505.466666666667</v>
      </c>
      <c r="GV56" s="33">
        <f t="shared" si="147"/>
        <v>207517.43828186556</v>
      </c>
      <c r="GW56" s="8">
        <v>3185738.1453980887</v>
      </c>
      <c r="GX56" s="9">
        <f>GY56+GZ56</f>
        <v>3406231</v>
      </c>
      <c r="GY56" s="84">
        <v>749753</v>
      </c>
      <c r="GZ56" s="84">
        <v>2656478</v>
      </c>
      <c r="HA56" s="33">
        <f t="shared" si="130"/>
        <v>220492.85460191127</v>
      </c>
      <c r="HB56" s="640">
        <f t="shared" si="110"/>
        <v>113541.03333333334</v>
      </c>
      <c r="HC56" s="64">
        <v>0</v>
      </c>
      <c r="HD56" s="90">
        <v>270000</v>
      </c>
      <c r="HE56" s="9">
        <v>270000</v>
      </c>
      <c r="HF56" s="64"/>
      <c r="HG56" s="36">
        <f t="shared" si="111"/>
        <v>5.026627161100608E-2</v>
      </c>
      <c r="HH56" s="302"/>
      <c r="HI56" s="64">
        <v>0</v>
      </c>
      <c r="HJ56" s="20">
        <f t="shared" si="148"/>
        <v>0</v>
      </c>
      <c r="HK56" s="43">
        <f t="shared" si="112"/>
        <v>9000</v>
      </c>
      <c r="HL56" s="78">
        <f t="shared" si="113"/>
        <v>65505.466666666667</v>
      </c>
      <c r="HM56" s="20">
        <f t="shared" si="133"/>
        <v>0</v>
      </c>
      <c r="HN56" s="87">
        <v>6.47</v>
      </c>
      <c r="HO56" s="87">
        <v>5.76</v>
      </c>
      <c r="HP56" s="35">
        <v>0</v>
      </c>
      <c r="HQ56" s="35">
        <v>0</v>
      </c>
      <c r="HR56" s="19">
        <f t="shared" si="142"/>
        <v>58588.218723937818</v>
      </c>
      <c r="HS56" s="35">
        <v>0</v>
      </c>
      <c r="HT56" s="19">
        <f t="shared" si="126"/>
        <v>65505.466666666667</v>
      </c>
      <c r="HU56" s="47">
        <f t="shared" si="143"/>
        <v>0.3555552856705495</v>
      </c>
      <c r="HV56" s="35"/>
      <c r="HW56" s="35"/>
      <c r="HX56" s="9">
        <f t="shared" si="149"/>
        <v>0</v>
      </c>
      <c r="HY56" s="37">
        <f t="shared" si="145"/>
        <v>4943384.7071162229</v>
      </c>
      <c r="HZ56" s="276">
        <v>236430</v>
      </c>
      <c r="IA56" s="276">
        <f t="shared" si="150"/>
        <v>184131.89400921657</v>
      </c>
      <c r="IB56" s="114">
        <v>40779</v>
      </c>
      <c r="IC56" s="233">
        <v>3705</v>
      </c>
      <c r="ID56" s="233"/>
      <c r="IE56" s="114"/>
      <c r="IF56" s="114">
        <v>40892</v>
      </c>
      <c r="IG56" s="233">
        <v>11608</v>
      </c>
      <c r="IH56" s="114">
        <v>40892</v>
      </c>
      <c r="II56" s="233">
        <v>42727</v>
      </c>
      <c r="IJ56" s="114">
        <v>41193</v>
      </c>
      <c r="IK56" s="233">
        <v>25155</v>
      </c>
      <c r="IL56" s="115">
        <v>42615</v>
      </c>
      <c r="IM56" s="322">
        <v>35020</v>
      </c>
      <c r="IN56" s="314"/>
      <c r="IO56" s="314"/>
      <c r="IP56" s="275">
        <v>42719</v>
      </c>
      <c r="IQ56" s="276">
        <v>65916.894009216587</v>
      </c>
      <c r="IR56" s="275"/>
      <c r="IS56" s="276"/>
      <c r="IT56" s="300"/>
      <c r="IU56" s="300"/>
      <c r="IV56" s="300"/>
      <c r="IW56" s="300"/>
      <c r="IX56" s="268"/>
      <c r="IY56" s="268"/>
      <c r="IZ56" s="268"/>
      <c r="JA56" s="268"/>
      <c r="JB56" s="268"/>
      <c r="JC56" s="268"/>
      <c r="JD56" s="233">
        <v>42727</v>
      </c>
      <c r="JE56" s="123"/>
      <c r="JF56" s="115"/>
      <c r="JG56" s="123"/>
      <c r="JH56" s="194"/>
      <c r="JI56" s="290"/>
    </row>
    <row r="57" spans="1:269" ht="30" customHeight="1">
      <c r="A57" s="83" t="s">
        <v>579</v>
      </c>
      <c r="B57" s="50" t="s">
        <v>46</v>
      </c>
      <c r="C57" s="50" t="s">
        <v>110</v>
      </c>
      <c r="D57" s="50">
        <v>2016</v>
      </c>
      <c r="E57" s="50" t="s">
        <v>306</v>
      </c>
      <c r="F57" s="50" t="s">
        <v>318</v>
      </c>
      <c r="G57" s="50" t="s">
        <v>471</v>
      </c>
      <c r="H57" s="50" t="s">
        <v>247</v>
      </c>
      <c r="I57" s="50"/>
      <c r="J57" s="50" t="s">
        <v>352</v>
      </c>
      <c r="K57" s="256" t="s">
        <v>645</v>
      </c>
      <c r="L57" s="166"/>
      <c r="M57" s="167"/>
      <c r="N57" s="168"/>
      <c r="O57" s="207">
        <v>2307</v>
      </c>
      <c r="P57" s="207">
        <v>184560</v>
      </c>
      <c r="Q57" s="207">
        <v>184560</v>
      </c>
      <c r="R57" s="207">
        <f t="shared" si="137"/>
        <v>10253.333333333334</v>
      </c>
      <c r="S57" s="207">
        <f t="shared" si="73"/>
        <v>80</v>
      </c>
      <c r="T57" s="213">
        <f t="shared" si="74"/>
        <v>80</v>
      </c>
      <c r="U57" s="213">
        <f t="shared" si="75"/>
        <v>136.34953235124632</v>
      </c>
      <c r="V57" s="213">
        <f t="shared" si="76"/>
        <v>10253.333333333334</v>
      </c>
      <c r="W57" s="207">
        <f t="shared" si="77"/>
        <v>128.16666666666666</v>
      </c>
      <c r="X57" s="208"/>
      <c r="Y57" s="216">
        <f t="shared" si="78"/>
        <v>0.58672735153879496</v>
      </c>
      <c r="Z57" s="208"/>
      <c r="AA57" s="208">
        <v>380</v>
      </c>
      <c r="AB57" s="209"/>
      <c r="AC57" s="50" t="s">
        <v>16</v>
      </c>
      <c r="AD57" s="318">
        <f t="shared" si="81"/>
        <v>18</v>
      </c>
      <c r="AE57" s="61"/>
      <c r="AF57" s="50">
        <v>18</v>
      </c>
      <c r="AG57" s="50"/>
      <c r="AH57" s="5"/>
      <c r="AI57" s="268"/>
      <c r="AJ57" s="54">
        <v>1427.7</v>
      </c>
      <c r="AK57" s="54"/>
      <c r="AL57" s="227">
        <v>1353.58</v>
      </c>
      <c r="AM57" s="54">
        <f>AL57/AD57</f>
        <v>75.198888888888888</v>
      </c>
      <c r="AN57" s="75">
        <f>2/AD57</f>
        <v>0.1111111111111111</v>
      </c>
      <c r="AO57" s="75">
        <f>6/AD57</f>
        <v>0.33333333333333331</v>
      </c>
      <c r="AP57" s="75">
        <f>7/AD57</f>
        <v>0.3888888888888889</v>
      </c>
      <c r="AQ57" s="75">
        <f>3/AD57</f>
        <v>0.16666666666666666</v>
      </c>
      <c r="AR57" s="75"/>
      <c r="AS57" s="54"/>
      <c r="AT57" s="73"/>
      <c r="AU57" s="75"/>
      <c r="AV57" s="54"/>
      <c r="AW57" s="53" t="s">
        <v>561</v>
      </c>
      <c r="AX57" s="50"/>
      <c r="AY57" s="785"/>
      <c r="AZ57" s="50"/>
      <c r="BA57" s="238">
        <v>42396</v>
      </c>
      <c r="BB57" s="238">
        <v>42475</v>
      </c>
      <c r="BC57" s="110"/>
      <c r="BD57" s="110"/>
      <c r="BE57" s="94"/>
      <c r="BF57" s="204">
        <v>42620</v>
      </c>
      <c r="BG57" s="96">
        <v>42646</v>
      </c>
      <c r="BH57" s="96"/>
      <c r="BI57" s="204"/>
      <c r="BJ57" s="96"/>
      <c r="BK57" s="160">
        <v>43434</v>
      </c>
      <c r="BL57" s="203">
        <f>DATE(YEAR(BK57),MONTH(BK57)+1,DAY(BK57))</f>
        <v>43464</v>
      </c>
      <c r="BM57" s="160">
        <f>DATE(YEAR(BL57),MONTH(BL57)+3,DAY(BL57))</f>
        <v>43554</v>
      </c>
      <c r="BN57" s="160"/>
      <c r="BO57" s="298">
        <f t="shared" si="135"/>
        <v>43464</v>
      </c>
      <c r="BP57" s="297">
        <f t="shared" si="136"/>
        <v>44195</v>
      </c>
      <c r="BQ57" s="297">
        <f t="shared" si="144"/>
        <v>44560</v>
      </c>
      <c r="BR57" s="686">
        <f>7537+37313</f>
        <v>44850</v>
      </c>
      <c r="BS57" s="297" t="str">
        <f>IF(EU57&gt;BQ57,"oui","non")</f>
        <v>non</v>
      </c>
      <c r="BT57" s="686">
        <f t="shared" si="82"/>
        <v>10</v>
      </c>
      <c r="BU57" s="686">
        <f t="shared" si="83"/>
        <v>72870</v>
      </c>
      <c r="BV57" s="686">
        <f t="shared" si="84"/>
        <v>0</v>
      </c>
      <c r="BW57" s="159"/>
      <c r="BX57" s="165"/>
      <c r="BY57" s="97"/>
      <c r="BZ57" s="98"/>
      <c r="CA57" s="98"/>
      <c r="CB57" s="98"/>
      <c r="CC57" s="158"/>
      <c r="CD57" s="162"/>
      <c r="CE57" s="251"/>
      <c r="CF57" s="157"/>
      <c r="CG57" s="162"/>
      <c r="CH57" s="251"/>
      <c r="CI57" s="251"/>
      <c r="CJ57" s="251" t="s">
        <v>165</v>
      </c>
      <c r="CK57" s="604"/>
      <c r="CL57" s="123">
        <v>42292</v>
      </c>
      <c r="CM57" s="123">
        <v>42307</v>
      </c>
      <c r="CN57" s="123">
        <v>42292</v>
      </c>
      <c r="CO57" s="529">
        <f t="shared" si="85"/>
        <v>-15</v>
      </c>
      <c r="CP57" s="123">
        <v>42412</v>
      </c>
      <c r="CQ57" s="123">
        <v>42412</v>
      </c>
      <c r="CR57" s="529">
        <f t="shared" si="86"/>
        <v>0</v>
      </c>
      <c r="CS57" s="123">
        <v>42454</v>
      </c>
      <c r="CT57" s="316">
        <v>42593</v>
      </c>
      <c r="CU57" s="529">
        <f t="shared" si="87"/>
        <v>139</v>
      </c>
      <c r="CV57" s="123">
        <v>42472</v>
      </c>
      <c r="CW57" s="316">
        <v>42690</v>
      </c>
      <c r="CX57" s="529">
        <f t="shared" si="88"/>
        <v>218</v>
      </c>
      <c r="CY57" s="123">
        <v>42727</v>
      </c>
      <c r="CZ57" s="123">
        <v>42905</v>
      </c>
      <c r="DA57" s="529">
        <f t="shared" si="89"/>
        <v>178</v>
      </c>
      <c r="DB57" s="457"/>
      <c r="DC57" s="555"/>
      <c r="DD57" s="543">
        <v>43136</v>
      </c>
      <c r="DE57" s="539">
        <f ca="1">IF(DD57&lt;TODAY(),TODAY(),DD57)</f>
        <v>43332</v>
      </c>
      <c r="DF57" s="535">
        <f t="shared" ca="1" si="90"/>
        <v>196</v>
      </c>
      <c r="DG57" s="543">
        <v>43151</v>
      </c>
      <c r="DH57" s="703">
        <v>43661</v>
      </c>
      <c r="DI57" s="348"/>
      <c r="DJ57" s="446">
        <f t="shared" si="91"/>
        <v>34.700000000000003</v>
      </c>
      <c r="DK57" s="535">
        <f t="shared" si="92"/>
        <v>510</v>
      </c>
      <c r="DL57" s="704">
        <v>14</v>
      </c>
      <c r="DM57" s="243">
        <f t="shared" si="93"/>
        <v>17</v>
      </c>
      <c r="DN57" s="533"/>
      <c r="DO57" s="539">
        <f t="shared" ca="1" si="138"/>
        <v>43332</v>
      </c>
      <c r="DP57" s="535" t="str">
        <f t="shared" ca="1" si="94"/>
        <v>0</v>
      </c>
      <c r="DQ57" s="533"/>
      <c r="DR57" s="557">
        <f t="shared" ca="1" si="139"/>
        <v>43332</v>
      </c>
      <c r="DS57" s="536" t="str">
        <f t="shared" ca="1" si="95"/>
        <v>0</v>
      </c>
      <c r="DT57" s="539"/>
      <c r="DU57" s="539">
        <f t="shared" ca="1" si="140"/>
        <v>43332</v>
      </c>
      <c r="DV57" s="535" t="str">
        <f t="shared" ca="1" si="96"/>
        <v>0</v>
      </c>
      <c r="DW57" s="539"/>
      <c r="DX57" s="539">
        <f t="shared" ca="1" si="141"/>
        <v>43332</v>
      </c>
      <c r="DY57" s="535" t="str">
        <f t="shared" ca="1" si="97"/>
        <v>0</v>
      </c>
      <c r="DZ57" s="541"/>
      <c r="EA57" s="541"/>
      <c r="EB57" s="535" t="str">
        <f t="shared" si="98"/>
        <v>0</v>
      </c>
      <c r="EC57" s="539"/>
      <c r="ED57" s="539"/>
      <c r="EE57" s="535" t="str">
        <f t="shared" si="99"/>
        <v>0</v>
      </c>
      <c r="EF57" s="541"/>
      <c r="EG57" s="539">
        <f t="shared" ca="1" si="131"/>
        <v>43332</v>
      </c>
      <c r="EH57" s="535" t="str">
        <f t="shared" ca="1" si="100"/>
        <v>0</v>
      </c>
      <c r="EI57" s="539"/>
      <c r="EJ57" s="539"/>
      <c r="EK57" s="539"/>
      <c r="EL57" s="625">
        <f t="shared" si="101"/>
        <v>44089</v>
      </c>
      <c r="EM57" s="404">
        <f>DATE(YEAR(EL57),MONTH(EL57)+3,DAY(EL57))</f>
        <v>44180</v>
      </c>
      <c r="EN57" s="756">
        <f t="shared" si="102"/>
        <v>3.0333333333333332</v>
      </c>
      <c r="EO57" s="580">
        <f t="shared" si="128"/>
        <v>731</v>
      </c>
      <c r="EP57" s="244"/>
      <c r="EQ57" s="244"/>
      <c r="ER57" s="186">
        <f>DATE(YEAR(EM57),MONTH(EM57)+1,DAY(EM57))</f>
        <v>44211</v>
      </c>
      <c r="ES57" s="467"/>
      <c r="ET57" s="578">
        <f t="shared" si="103"/>
        <v>44119</v>
      </c>
      <c r="EU57" s="455">
        <f>DATE(YEAR(ER57),MONTH(ER57)+1,DAY(ER57))</f>
        <v>44242</v>
      </c>
      <c r="EV57" s="581"/>
      <c r="EW57" s="753">
        <f t="shared" si="146"/>
        <v>4.0999999999999996</v>
      </c>
      <c r="EX57" s="722">
        <v>7287</v>
      </c>
      <c r="EY57" s="247">
        <f t="shared" si="105"/>
        <v>29876.699999999997</v>
      </c>
      <c r="EZ57" s="118"/>
      <c r="FA57" s="562">
        <v>0</v>
      </c>
      <c r="FB57" s="562">
        <v>0</v>
      </c>
      <c r="FC57" s="562"/>
      <c r="FD57" s="562"/>
      <c r="FE57" s="562"/>
      <c r="FF57" s="562"/>
      <c r="FG57" s="559"/>
      <c r="FH57" s="571"/>
      <c r="FI57" s="571" t="s">
        <v>168</v>
      </c>
      <c r="FJ57" s="559"/>
      <c r="FK57" s="122"/>
      <c r="FL57" s="122"/>
      <c r="FM57" s="122"/>
      <c r="FN57" s="122"/>
      <c r="FO57" s="122"/>
      <c r="FP57" s="50"/>
      <c r="FQ57" s="279">
        <f t="shared" si="70"/>
        <v>44545</v>
      </c>
      <c r="FR57" s="279"/>
      <c r="FS57" s="50"/>
      <c r="FT57" s="50"/>
      <c r="FU57" s="50"/>
      <c r="FV57" s="50"/>
      <c r="FW57" s="50"/>
      <c r="FX57" s="50"/>
      <c r="FY57" s="50"/>
      <c r="FZ57" s="50"/>
      <c r="GA57" s="50"/>
      <c r="GB57" s="50"/>
      <c r="GC57" s="50"/>
      <c r="GD57" s="50"/>
      <c r="GE57" s="50"/>
      <c r="GF57" s="113"/>
      <c r="GG57" s="113"/>
      <c r="GH57" s="90">
        <f>+GR57+GW57+HD57+HX57</f>
        <v>2835176.7292601359</v>
      </c>
      <c r="GI57" s="64">
        <f t="shared" si="116"/>
        <v>2990819</v>
      </c>
      <c r="GJ57" s="10">
        <f t="shared" si="132"/>
        <v>155642.27073986409</v>
      </c>
      <c r="GK57" s="46">
        <f t="shared" si="106"/>
        <v>2094.8511592071163</v>
      </c>
      <c r="GL57" s="46">
        <f t="shared" si="107"/>
        <v>166156.61111111112</v>
      </c>
      <c r="GM57" s="90">
        <v>2485795.7500000005</v>
      </c>
      <c r="GN57" s="64">
        <v>2579834.0699999998</v>
      </c>
      <c r="GO57" s="91">
        <f t="shared" si="108"/>
        <v>94038.319999999367</v>
      </c>
      <c r="GP57" s="129">
        <f t="shared" si="115"/>
        <v>0.88069876026265714</v>
      </c>
      <c r="GQ57" s="130">
        <v>0.4</v>
      </c>
      <c r="GR57" s="90">
        <v>896735</v>
      </c>
      <c r="GS57" s="650">
        <v>1097604</v>
      </c>
      <c r="GT57" s="654"/>
      <c r="GU57" s="46">
        <f t="shared" si="109"/>
        <v>60978</v>
      </c>
      <c r="GV57" s="92">
        <f t="shared" si="147"/>
        <v>200869</v>
      </c>
      <c r="GW57" s="90">
        <v>1668441.7292601359</v>
      </c>
      <c r="GX57" s="9">
        <f>GY57+GZ57</f>
        <v>1611685</v>
      </c>
      <c r="GY57" s="84">
        <v>319456</v>
      </c>
      <c r="GZ57" s="84">
        <v>1292229</v>
      </c>
      <c r="HA57" s="92">
        <f t="shared" si="130"/>
        <v>-56756.729260135908</v>
      </c>
      <c r="HB57" s="640">
        <f t="shared" si="110"/>
        <v>89538.055555555562</v>
      </c>
      <c r="HC57" s="9"/>
      <c r="HD57" s="90">
        <v>270000</v>
      </c>
      <c r="HE57" s="9">
        <f>HD57</f>
        <v>270000</v>
      </c>
      <c r="HF57" s="64"/>
      <c r="HG57" s="36">
        <f t="shared" si="111"/>
        <v>9.0276275495106861E-2</v>
      </c>
      <c r="HH57" s="302"/>
      <c r="HI57" s="64">
        <v>11530</v>
      </c>
      <c r="HJ57" s="86">
        <f t="shared" si="148"/>
        <v>0</v>
      </c>
      <c r="HK57" s="19">
        <f t="shared" si="112"/>
        <v>15000</v>
      </c>
      <c r="HL57" s="78">
        <f t="shared" si="113"/>
        <v>75978</v>
      </c>
      <c r="HM57" s="86">
        <f t="shared" si="133"/>
        <v>0</v>
      </c>
      <c r="HN57" s="87">
        <v>5.36</v>
      </c>
      <c r="HO57" s="87">
        <v>5.36</v>
      </c>
      <c r="HP57" s="88"/>
      <c r="HQ57" s="88"/>
      <c r="HR57" s="46">
        <f t="shared" si="142"/>
        <v>64818.611111111109</v>
      </c>
      <c r="HS57" s="88"/>
      <c r="HT57" s="46">
        <f t="shared" si="126"/>
        <v>75978</v>
      </c>
      <c r="HU57" s="47">
        <f t="shared" si="143"/>
        <v>0.41152108366255874</v>
      </c>
      <c r="HV57" s="88"/>
      <c r="HW57" s="88"/>
      <c r="HX57" s="64">
        <f t="shared" si="149"/>
        <v>0</v>
      </c>
      <c r="HY57" s="37">
        <f t="shared" si="145"/>
        <v>2835176.7292601359</v>
      </c>
      <c r="HZ57" s="276">
        <v>140149</v>
      </c>
      <c r="IA57" s="276">
        <f t="shared" si="150"/>
        <v>70074</v>
      </c>
      <c r="IB57" s="114">
        <v>42430</v>
      </c>
      <c r="IC57" s="233"/>
      <c r="ID57" s="233"/>
      <c r="IE57" s="114"/>
      <c r="IF57" s="114">
        <v>42501</v>
      </c>
      <c r="IG57" s="233">
        <v>7875</v>
      </c>
      <c r="IH57" s="317">
        <v>42430</v>
      </c>
      <c r="II57" s="233">
        <v>27162</v>
      </c>
      <c r="IJ57" s="114">
        <v>42669</v>
      </c>
      <c r="IK57" s="233">
        <v>14015</v>
      </c>
      <c r="IL57" s="115" t="s">
        <v>541</v>
      </c>
      <c r="IM57" s="322">
        <v>21022</v>
      </c>
      <c r="IN57" s="314"/>
      <c r="IO57" s="314"/>
      <c r="IP57" s="275"/>
      <c r="IQ57" s="276"/>
      <c r="IR57" s="275"/>
      <c r="IS57" s="276"/>
      <c r="IT57" s="299"/>
      <c r="IU57" s="299"/>
      <c r="IV57" s="299"/>
      <c r="IW57" s="299"/>
      <c r="IX57" s="268"/>
      <c r="IY57" s="268"/>
      <c r="IZ57" s="268"/>
      <c r="JA57" s="268"/>
      <c r="JB57" s="268"/>
      <c r="JC57" s="268"/>
      <c r="JD57" s="233">
        <v>27162</v>
      </c>
      <c r="JE57" s="316"/>
      <c r="JF57" s="115"/>
      <c r="JG57" s="316"/>
      <c r="JH57" s="316"/>
      <c r="JI57" s="115"/>
    </row>
    <row r="58" spans="1:269" ht="28.5" customHeight="1">
      <c r="A58" s="791" t="s">
        <v>828</v>
      </c>
      <c r="B58" s="50" t="s">
        <v>100</v>
      </c>
      <c r="C58" s="50" t="s">
        <v>112</v>
      </c>
      <c r="D58" s="50">
        <v>2017</v>
      </c>
      <c r="E58" s="50" t="s">
        <v>558</v>
      </c>
      <c r="F58" s="50" t="s">
        <v>55</v>
      </c>
      <c r="G58" s="50" t="s">
        <v>471</v>
      </c>
      <c r="H58" s="50" t="s">
        <v>170</v>
      </c>
      <c r="I58" s="50"/>
      <c r="J58" s="50" t="s">
        <v>421</v>
      </c>
      <c r="K58" s="309"/>
      <c r="L58" s="166"/>
      <c r="M58" s="167"/>
      <c r="N58" s="168"/>
      <c r="O58" s="207">
        <v>4801</v>
      </c>
      <c r="P58" s="207">
        <v>473822</v>
      </c>
      <c r="Q58" s="207">
        <v>473822</v>
      </c>
      <c r="R58" s="207">
        <f t="shared" si="137"/>
        <v>15794.066666666668</v>
      </c>
      <c r="S58" s="207">
        <f t="shared" si="73"/>
        <v>98.692355759216824</v>
      </c>
      <c r="T58" s="213">
        <f t="shared" si="74"/>
        <v>98.692355759216824</v>
      </c>
      <c r="U58" s="213">
        <f t="shared" si="75"/>
        <v>277.36300788498573</v>
      </c>
      <c r="V58" s="213">
        <f t="shared" si="76"/>
        <v>15794.066666666668</v>
      </c>
      <c r="W58" s="207">
        <f t="shared" si="77"/>
        <v>160.03333333333333</v>
      </c>
      <c r="X58" s="208"/>
      <c r="Y58" s="209">
        <f t="shared" si="78"/>
        <v>0.35582378671110182</v>
      </c>
      <c r="Z58" s="208"/>
      <c r="AA58" s="208"/>
      <c r="AB58" s="209"/>
      <c r="AC58" s="50" t="s">
        <v>16</v>
      </c>
      <c r="AD58" s="318">
        <f t="shared" si="81"/>
        <v>30</v>
      </c>
      <c r="AE58" s="61"/>
      <c r="AF58" s="50">
        <v>30</v>
      </c>
      <c r="AG58" s="50"/>
      <c r="AH58" s="5"/>
      <c r="AI58" s="268">
        <v>1699.31</v>
      </c>
      <c r="AJ58" s="54">
        <v>1708.31</v>
      </c>
      <c r="AK58" s="54">
        <v>1708.31</v>
      </c>
      <c r="AL58" s="227">
        <v>1708.31</v>
      </c>
      <c r="AM58" s="54"/>
      <c r="AN58" s="75"/>
      <c r="AO58" s="75"/>
      <c r="AP58" s="75"/>
      <c r="AQ58" s="75"/>
      <c r="AR58" s="75"/>
      <c r="AS58" s="54"/>
      <c r="AT58" s="73"/>
      <c r="AU58" s="75"/>
      <c r="AV58" s="54"/>
      <c r="AW58" s="53" t="s">
        <v>561</v>
      </c>
      <c r="AX58" s="50"/>
      <c r="AY58" s="785">
        <v>3564776</v>
      </c>
      <c r="AZ58" s="50"/>
      <c r="BA58" s="50"/>
      <c r="BB58" s="50"/>
      <c r="BC58" s="110"/>
      <c r="BD58" s="110"/>
      <c r="BE58" s="94" t="s">
        <v>165</v>
      </c>
      <c r="BF58" s="204">
        <v>42909</v>
      </c>
      <c r="BG58" s="96"/>
      <c r="BH58" s="96"/>
      <c r="BI58" s="204"/>
      <c r="BJ58" s="96"/>
      <c r="BK58" s="160">
        <v>42967</v>
      </c>
      <c r="BL58" s="203"/>
      <c r="BM58" s="160"/>
      <c r="BN58" s="160"/>
      <c r="BO58" s="298">
        <f t="shared" si="135"/>
        <v>0</v>
      </c>
      <c r="BP58" s="297">
        <f t="shared" si="136"/>
        <v>731</v>
      </c>
      <c r="BQ58" s="297">
        <f t="shared" si="144"/>
        <v>1096</v>
      </c>
      <c r="BR58" s="297"/>
      <c r="BS58" s="297" t="str">
        <f t="shared" ref="BS58:BS66" si="151">IF(EU58&gt;BP58,"oui","non")</f>
        <v>oui</v>
      </c>
      <c r="BT58" s="686" t="e">
        <f t="shared" si="82"/>
        <v>#NUM!</v>
      </c>
      <c r="BU58" s="686" t="e">
        <f t="shared" si="83"/>
        <v>#NUM!</v>
      </c>
      <c r="BV58" s="686" t="e">
        <f t="shared" si="84"/>
        <v>#NUM!</v>
      </c>
      <c r="BW58" s="160"/>
      <c r="BX58" s="165"/>
      <c r="BY58" s="97"/>
      <c r="BZ58" s="98"/>
      <c r="CA58" s="98"/>
      <c r="CB58" s="98"/>
      <c r="CC58" s="158"/>
      <c r="CD58" s="162"/>
      <c r="CE58" s="251"/>
      <c r="CF58" s="157">
        <v>3443980.72</v>
      </c>
      <c r="CG58" s="162"/>
      <c r="CH58" s="251"/>
      <c r="CI58" s="408">
        <f>DR58</f>
        <v>43145</v>
      </c>
      <c r="CJ58" s="251">
        <v>43768</v>
      </c>
      <c r="CK58" s="603">
        <f>(EU58-CJ58)/30</f>
        <v>-6.5666666666666664</v>
      </c>
      <c r="CL58" s="438"/>
      <c r="CM58" s="123"/>
      <c r="CN58" s="123"/>
      <c r="CO58" s="529" t="str">
        <f t="shared" si="85"/>
        <v>0</v>
      </c>
      <c r="CP58" s="123">
        <v>42772</v>
      </c>
      <c r="CQ58" s="123">
        <v>42731</v>
      </c>
      <c r="CR58" s="529">
        <f t="shared" si="86"/>
        <v>-41</v>
      </c>
      <c r="CS58" s="316"/>
      <c r="CT58" s="316"/>
      <c r="CU58" s="529" t="str">
        <f t="shared" si="87"/>
        <v>0</v>
      </c>
      <c r="CV58" s="123"/>
      <c r="CW58" s="123"/>
      <c r="CX58" s="529" t="str">
        <f t="shared" si="88"/>
        <v>0</v>
      </c>
      <c r="CY58" s="123"/>
      <c r="CZ58" s="123"/>
      <c r="DA58" s="529" t="str">
        <f t="shared" si="89"/>
        <v>0</v>
      </c>
      <c r="DB58" s="457"/>
      <c r="DC58" s="439"/>
      <c r="DD58" s="316">
        <v>43069</v>
      </c>
      <c r="DE58" s="123">
        <v>43073</v>
      </c>
      <c r="DF58" s="529">
        <f t="shared" si="90"/>
        <v>4</v>
      </c>
      <c r="DG58" s="316">
        <v>43080</v>
      </c>
      <c r="DH58" s="444">
        <v>43070</v>
      </c>
      <c r="DI58" s="445">
        <v>2017</v>
      </c>
      <c r="DJ58" s="451">
        <f t="shared" si="91"/>
        <v>5.3666666666666663</v>
      </c>
      <c r="DK58" s="529">
        <f t="shared" si="92"/>
        <v>-10</v>
      </c>
      <c r="DL58" s="255">
        <v>15</v>
      </c>
      <c r="DM58" s="117">
        <f t="shared" si="93"/>
        <v>15</v>
      </c>
      <c r="DN58" s="533"/>
      <c r="DO58" s="539">
        <f t="shared" ca="1" si="138"/>
        <v>43332</v>
      </c>
      <c r="DP58" s="529" t="str">
        <f t="shared" ca="1" si="94"/>
        <v>0</v>
      </c>
      <c r="DQ58" s="438"/>
      <c r="DR58" s="573">
        <v>43145</v>
      </c>
      <c r="DS58" s="532" t="str">
        <f t="shared" si="95"/>
        <v>0</v>
      </c>
      <c r="DT58" s="539"/>
      <c r="DU58" s="539">
        <f t="shared" ca="1" si="140"/>
        <v>43332</v>
      </c>
      <c r="DV58" s="535" t="str">
        <f t="shared" ca="1" si="96"/>
        <v>0</v>
      </c>
      <c r="DW58" s="539"/>
      <c r="DX58" s="539">
        <f t="shared" ca="1" si="141"/>
        <v>43332</v>
      </c>
      <c r="DY58" s="535" t="str">
        <f t="shared" ca="1" si="97"/>
        <v>0</v>
      </c>
      <c r="DZ58" s="539"/>
      <c r="EA58" s="539">
        <f ca="1">IF(DZ58&lt;TODAY(),TODAY(),DZ58)</f>
        <v>43332</v>
      </c>
      <c r="EB58" s="535" t="str">
        <f t="shared" ca="1" si="98"/>
        <v>0</v>
      </c>
      <c r="EC58" s="539"/>
      <c r="ED58" s="539">
        <f t="shared" ref="ED58:ED76" ca="1" si="152">IF(EC58&lt;TODAY(),TODAY(),EC58)</f>
        <v>43332</v>
      </c>
      <c r="EE58" s="535" t="str">
        <f t="shared" ca="1" si="99"/>
        <v>0</v>
      </c>
      <c r="EF58" s="539"/>
      <c r="EG58" s="539">
        <f t="shared" ca="1" si="131"/>
        <v>43332</v>
      </c>
      <c r="EH58" s="535" t="str">
        <f t="shared" ca="1" si="100"/>
        <v>0</v>
      </c>
      <c r="EI58" s="539"/>
      <c r="EJ58" s="539"/>
      <c r="EK58" s="539"/>
      <c r="EL58" s="760">
        <f t="shared" si="101"/>
        <v>43525</v>
      </c>
      <c r="EM58" s="759">
        <f t="shared" ref="EM58:EM65" si="153">DATE(YEAR(DH58),MONTH(DH58)+DL58,DAY(DH58))</f>
        <v>43525</v>
      </c>
      <c r="EN58" s="755">
        <f t="shared" si="102"/>
        <v>0</v>
      </c>
      <c r="EO58" s="580">
        <f t="shared" si="128"/>
        <v>43875</v>
      </c>
      <c r="EP58" s="244"/>
      <c r="EQ58" s="244"/>
      <c r="ER58" s="186">
        <f>DATE(YEAR(EM58),MONTH(EM58)+1,DAY(EM58))</f>
        <v>43556</v>
      </c>
      <c r="ES58" s="467"/>
      <c r="ET58" s="578">
        <f t="shared" si="103"/>
        <v>43556</v>
      </c>
      <c r="EU58" s="759">
        <f>DATE(YEAR(ER58),MONTH(ER58),DAY(ER58)+15)</f>
        <v>43571</v>
      </c>
      <c r="EV58" s="581"/>
      <c r="EW58" s="752">
        <f t="shared" si="146"/>
        <v>0.5</v>
      </c>
      <c r="EX58" s="722"/>
      <c r="EY58" s="247">
        <f t="shared" si="105"/>
        <v>0</v>
      </c>
      <c r="EZ58" s="118"/>
      <c r="FA58" s="562">
        <v>0</v>
      </c>
      <c r="FB58" s="562">
        <v>0</v>
      </c>
      <c r="FC58" s="562">
        <v>0</v>
      </c>
      <c r="FD58" s="562"/>
      <c r="FE58" s="562">
        <v>0</v>
      </c>
      <c r="FF58" s="787">
        <f t="shared" ref="FF58:FF77" si="154">FE58/GI58</f>
        <v>0</v>
      </c>
      <c r="FG58" s="559"/>
      <c r="FH58" s="571"/>
      <c r="FI58" s="559"/>
      <c r="FJ58" s="663"/>
      <c r="FK58" s="122"/>
      <c r="FL58" s="122"/>
      <c r="FM58" s="122"/>
      <c r="FN58" s="122"/>
      <c r="FO58" s="122"/>
      <c r="FP58" s="50"/>
      <c r="FQ58" s="279">
        <f t="shared" si="70"/>
        <v>43891</v>
      </c>
      <c r="FR58" s="279"/>
      <c r="FS58" s="50"/>
      <c r="FT58" s="50"/>
      <c r="FU58" s="50"/>
      <c r="FV58" s="50"/>
      <c r="FW58" s="50"/>
      <c r="FX58" s="50"/>
      <c r="FY58" s="50"/>
      <c r="FZ58" s="50"/>
      <c r="GA58" s="50"/>
      <c r="GB58" s="50"/>
      <c r="GC58" s="50"/>
      <c r="GD58" s="50"/>
      <c r="GE58" s="50"/>
      <c r="GF58" s="113"/>
      <c r="GG58" s="113"/>
      <c r="GH58" s="90">
        <f>+GR58+GW58+HD58+HX58+HI58</f>
        <v>3803779.2429890437</v>
      </c>
      <c r="GI58" s="64">
        <f t="shared" si="116"/>
        <v>3855387</v>
      </c>
      <c r="GJ58" s="90">
        <f t="shared" si="132"/>
        <v>51607.757010956295</v>
      </c>
      <c r="GK58" s="46">
        <f t="shared" si="106"/>
        <v>2256.8427276079869</v>
      </c>
      <c r="GL58" s="46">
        <f t="shared" si="107"/>
        <v>128512.9</v>
      </c>
      <c r="GM58" s="90"/>
      <c r="GN58" s="90"/>
      <c r="GO58" s="90">
        <f t="shared" si="108"/>
        <v>0</v>
      </c>
      <c r="GP58" s="90">
        <f t="shared" si="115"/>
        <v>0</v>
      </c>
      <c r="GQ58" s="302">
        <v>0.4</v>
      </c>
      <c r="GR58" s="90">
        <v>1081657</v>
      </c>
      <c r="GS58" s="650">
        <v>1181624</v>
      </c>
      <c r="GT58" s="654">
        <v>1181624</v>
      </c>
      <c r="GU58" s="822">
        <f t="shared" si="109"/>
        <v>39387.466666666667</v>
      </c>
      <c r="GV58" s="90">
        <f t="shared" si="147"/>
        <v>99967</v>
      </c>
      <c r="GW58" s="406">
        <v>2022122.2429890437</v>
      </c>
      <c r="GX58" s="9">
        <f>GY58+GZ58</f>
        <v>1973763</v>
      </c>
      <c r="GY58" s="84">
        <v>459254</v>
      </c>
      <c r="GZ58" s="84">
        <f>1641033-126524</f>
        <v>1514509</v>
      </c>
      <c r="HA58" s="92">
        <f t="shared" si="130"/>
        <v>-48359.242989043705</v>
      </c>
      <c r="HB58" s="641">
        <f t="shared" si="110"/>
        <v>65792.100000000006</v>
      </c>
      <c r="HC58" s="64"/>
      <c r="HD58" s="90">
        <v>700000</v>
      </c>
      <c r="HE58" s="9">
        <v>700000</v>
      </c>
      <c r="HF58" s="64"/>
      <c r="HG58" s="85">
        <f t="shared" si="111"/>
        <v>0.18156413350981368</v>
      </c>
      <c r="HH58" s="302"/>
      <c r="HI58" s="64"/>
      <c r="HJ58" s="86">
        <f t="shared" si="148"/>
        <v>0</v>
      </c>
      <c r="HK58" s="19">
        <f t="shared" si="112"/>
        <v>23333.333333333332</v>
      </c>
      <c r="HL58" s="78">
        <f t="shared" si="113"/>
        <v>62720.800000000003</v>
      </c>
      <c r="HM58" s="86">
        <f t="shared" si="133"/>
        <v>0</v>
      </c>
      <c r="HN58" s="260"/>
      <c r="HO58" s="260"/>
      <c r="HP58" s="88"/>
      <c r="HQ58" s="88"/>
      <c r="HR58" s="46">
        <f t="shared" si="142"/>
        <v>59388.566666666666</v>
      </c>
      <c r="HS58" s="88"/>
      <c r="HT58" s="46">
        <f t="shared" si="126"/>
        <v>62720.800000000003</v>
      </c>
      <c r="HU58" s="47">
        <f t="shared" si="143"/>
        <v>0.46839127251768636</v>
      </c>
      <c r="HV58" s="88"/>
      <c r="HW58" s="88"/>
      <c r="HX58" s="64">
        <f t="shared" si="149"/>
        <v>0</v>
      </c>
      <c r="HY58" s="37">
        <f t="shared" si="145"/>
        <v>3803779.2429890437</v>
      </c>
      <c r="HZ58" s="276">
        <v>178239</v>
      </c>
      <c r="IA58" s="276">
        <f t="shared" si="150"/>
        <v>124768</v>
      </c>
      <c r="IB58" s="238"/>
      <c r="IC58" s="331"/>
      <c r="ID58" s="331"/>
      <c r="IE58" s="328"/>
      <c r="IF58" s="328"/>
      <c r="IG58" s="331"/>
      <c r="IH58" s="328">
        <v>42829</v>
      </c>
      <c r="II58" s="332">
        <v>43954</v>
      </c>
      <c r="IJ58" s="328"/>
      <c r="IK58" s="332"/>
      <c r="IL58" s="290"/>
      <c r="IM58" s="333"/>
      <c r="IN58" s="329"/>
      <c r="IO58" s="329"/>
      <c r="IP58" s="123">
        <v>43074</v>
      </c>
      <c r="IQ58" s="315">
        <v>54078</v>
      </c>
      <c r="IR58" s="123">
        <v>43092</v>
      </c>
      <c r="IS58" s="315">
        <v>17824</v>
      </c>
      <c r="IT58" s="123">
        <v>43153</v>
      </c>
      <c r="IU58" s="315">
        <v>8912</v>
      </c>
      <c r="IV58" s="299"/>
      <c r="IW58" s="299"/>
      <c r="IX58" s="268"/>
      <c r="IY58" s="268"/>
      <c r="IZ58" s="268"/>
      <c r="JA58" s="268"/>
      <c r="JB58" s="268"/>
      <c r="JC58" s="268"/>
      <c r="JD58" s="327">
        <v>43954</v>
      </c>
      <c r="JE58" s="438"/>
      <c r="JF58" s="115"/>
      <c r="JG58" s="438"/>
      <c r="JH58" s="438"/>
      <c r="JI58" s="115"/>
    </row>
    <row r="59" spans="1:269" ht="15" customHeight="1">
      <c r="A59" s="83" t="s">
        <v>605</v>
      </c>
      <c r="B59" s="50" t="s">
        <v>100</v>
      </c>
      <c r="C59" s="50" t="s">
        <v>112</v>
      </c>
      <c r="D59" s="50">
        <v>2017</v>
      </c>
      <c r="E59" s="50" t="s">
        <v>556</v>
      </c>
      <c r="F59" s="50" t="s">
        <v>382</v>
      </c>
      <c r="G59" s="5" t="s">
        <v>624</v>
      </c>
      <c r="H59" s="50" t="s">
        <v>170</v>
      </c>
      <c r="I59" s="50"/>
      <c r="J59" s="50" t="s">
        <v>434</v>
      </c>
      <c r="K59" s="256"/>
      <c r="L59" s="166"/>
      <c r="M59" s="167"/>
      <c r="N59" s="168"/>
      <c r="O59" s="207">
        <v>3474</v>
      </c>
      <c r="P59" s="207">
        <v>1</v>
      </c>
      <c r="Q59" s="207"/>
      <c r="R59" s="207">
        <f t="shared" si="137"/>
        <v>5.0000000000000001E-3</v>
      </c>
      <c r="S59" s="207">
        <f t="shared" si="73"/>
        <v>2.878526194588371E-4</v>
      </c>
      <c r="T59" s="213">
        <f t="shared" si="74"/>
        <v>0</v>
      </c>
      <c r="U59" s="213">
        <f t="shared" si="75"/>
        <v>0</v>
      </c>
      <c r="V59" s="213">
        <f t="shared" si="76"/>
        <v>0</v>
      </c>
      <c r="W59" s="207">
        <f t="shared" si="77"/>
        <v>17.37</v>
      </c>
      <c r="X59" s="208"/>
      <c r="Y59" s="209">
        <f t="shared" si="78"/>
        <v>1.166076568796776</v>
      </c>
      <c r="Z59" s="208"/>
      <c r="AA59" s="208">
        <v>70</v>
      </c>
      <c r="AB59" s="209"/>
      <c r="AC59" s="50" t="s">
        <v>433</v>
      </c>
      <c r="AD59" s="318">
        <f t="shared" si="81"/>
        <v>200</v>
      </c>
      <c r="AE59" s="61"/>
      <c r="AF59" s="115"/>
      <c r="AG59" s="50">
        <v>200</v>
      </c>
      <c r="AH59" s="811"/>
      <c r="AI59" s="268">
        <v>3391.22</v>
      </c>
      <c r="AJ59" s="54">
        <v>4327.3599999999997</v>
      </c>
      <c r="AK59" s="54">
        <v>4050.95</v>
      </c>
      <c r="AL59" s="227">
        <v>4050.95</v>
      </c>
      <c r="AM59" s="54" t="s">
        <v>580</v>
      </c>
      <c r="AN59" s="75"/>
      <c r="AO59" s="75"/>
      <c r="AP59" s="75"/>
      <c r="AQ59" s="75"/>
      <c r="AR59" s="75"/>
      <c r="AS59" s="54"/>
      <c r="AT59" s="182"/>
      <c r="AU59" s="107"/>
      <c r="AV59" s="54"/>
      <c r="AW59" s="53" t="s">
        <v>561</v>
      </c>
      <c r="AX59" s="50" t="s">
        <v>118</v>
      </c>
      <c r="AY59" s="806">
        <v>10739152</v>
      </c>
      <c r="AZ59" s="50"/>
      <c r="BA59" s="50"/>
      <c r="BB59" s="50"/>
      <c r="BC59" s="110"/>
      <c r="BD59" s="110"/>
      <c r="BE59" s="94"/>
      <c r="BF59" s="204">
        <v>43024</v>
      </c>
      <c r="BG59" s="96"/>
      <c r="BH59" s="96"/>
      <c r="BI59" s="204"/>
      <c r="BJ59" s="96"/>
      <c r="BK59" s="160"/>
      <c r="BL59" s="203"/>
      <c r="BM59" s="160"/>
      <c r="BN59" s="160"/>
      <c r="BO59" s="298">
        <f t="shared" si="135"/>
        <v>0</v>
      </c>
      <c r="BP59" s="297">
        <f t="shared" si="136"/>
        <v>731</v>
      </c>
      <c r="BQ59" s="297">
        <f t="shared" si="144"/>
        <v>1096</v>
      </c>
      <c r="BR59" s="297"/>
      <c r="BS59" s="297" t="str">
        <f t="shared" si="151"/>
        <v>oui</v>
      </c>
      <c r="BT59" s="686" t="e">
        <f t="shared" si="82"/>
        <v>#NUM!</v>
      </c>
      <c r="BU59" s="686" t="e">
        <f t="shared" si="83"/>
        <v>#NUM!</v>
      </c>
      <c r="BV59" s="686" t="e">
        <f t="shared" si="84"/>
        <v>#NUM!</v>
      </c>
      <c r="BW59" s="160"/>
      <c r="BX59" s="165"/>
      <c r="BY59" s="97"/>
      <c r="BZ59" s="98"/>
      <c r="CA59" s="98"/>
      <c r="CB59" s="98"/>
      <c r="CC59" s="158"/>
      <c r="CD59" s="588">
        <v>43182</v>
      </c>
      <c r="CE59" s="251"/>
      <c r="CF59" s="157"/>
      <c r="CG59" s="162"/>
      <c r="CH59" s="251"/>
      <c r="CI59" s="251"/>
      <c r="CJ59" s="251">
        <v>43693</v>
      </c>
      <c r="CK59" s="603">
        <f>(EU59-CJ59)/30</f>
        <v>0</v>
      </c>
      <c r="CL59" s="438"/>
      <c r="CM59" s="123"/>
      <c r="CN59" s="123"/>
      <c r="CO59" s="529" t="str">
        <f t="shared" si="85"/>
        <v>0</v>
      </c>
      <c r="CP59" s="123">
        <v>42772</v>
      </c>
      <c r="CQ59" s="123">
        <v>42871</v>
      </c>
      <c r="CR59" s="529">
        <f t="shared" si="86"/>
        <v>99</v>
      </c>
      <c r="CS59" s="316"/>
      <c r="CT59" s="316"/>
      <c r="CU59" s="529" t="str">
        <f t="shared" si="87"/>
        <v>0</v>
      </c>
      <c r="CV59" s="123"/>
      <c r="CW59" s="123"/>
      <c r="CX59" s="529" t="str">
        <f t="shared" si="88"/>
        <v>0</v>
      </c>
      <c r="CY59" s="123"/>
      <c r="CZ59" s="123"/>
      <c r="DA59" s="529" t="str">
        <f t="shared" si="89"/>
        <v>0</v>
      </c>
      <c r="DB59" s="457"/>
      <c r="DC59" s="439"/>
      <c r="DD59" s="316">
        <v>42887</v>
      </c>
      <c r="DE59" s="123">
        <v>43096</v>
      </c>
      <c r="DF59" s="529">
        <f t="shared" si="90"/>
        <v>209</v>
      </c>
      <c r="DG59" s="316">
        <v>42901</v>
      </c>
      <c r="DH59" s="444">
        <v>43091</v>
      </c>
      <c r="DI59" s="445">
        <v>2017</v>
      </c>
      <c r="DJ59" s="451">
        <f t="shared" si="91"/>
        <v>2.2333333333333334</v>
      </c>
      <c r="DK59" s="529">
        <f t="shared" si="92"/>
        <v>190</v>
      </c>
      <c r="DL59" s="255">
        <v>18</v>
      </c>
      <c r="DM59" s="117">
        <f t="shared" si="93"/>
        <v>18</v>
      </c>
      <c r="DN59" s="438"/>
      <c r="DO59" s="123">
        <v>43167</v>
      </c>
      <c r="DP59" s="529" t="str">
        <f t="shared" si="94"/>
        <v>0</v>
      </c>
      <c r="DQ59" s="438"/>
      <c r="DR59" s="573">
        <v>39599</v>
      </c>
      <c r="DS59" s="532" t="str">
        <f t="shared" si="95"/>
        <v>0</v>
      </c>
      <c r="DT59" s="539"/>
      <c r="DU59" s="539">
        <f t="shared" ca="1" si="140"/>
        <v>43332</v>
      </c>
      <c r="DV59" s="535" t="str">
        <f t="shared" ca="1" si="96"/>
        <v>0</v>
      </c>
      <c r="DW59" s="539"/>
      <c r="DX59" s="539">
        <f t="shared" ca="1" si="141"/>
        <v>43332</v>
      </c>
      <c r="DY59" s="535" t="str">
        <f t="shared" ca="1" si="97"/>
        <v>0</v>
      </c>
      <c r="DZ59" s="539"/>
      <c r="EA59" s="539">
        <f ca="1">IF(DZ59&lt;TODAY(),TODAY(),DZ59)</f>
        <v>43332</v>
      </c>
      <c r="EB59" s="535" t="str">
        <f t="shared" ca="1" si="98"/>
        <v>0</v>
      </c>
      <c r="EC59" s="539"/>
      <c r="ED59" s="539">
        <f t="shared" ca="1" si="152"/>
        <v>43332</v>
      </c>
      <c r="EE59" s="535" t="str">
        <f t="shared" ca="1" si="99"/>
        <v>0</v>
      </c>
      <c r="EF59" s="539"/>
      <c r="EG59" s="539">
        <f t="shared" ca="1" si="131"/>
        <v>43332</v>
      </c>
      <c r="EH59" s="535" t="str">
        <f t="shared" ca="1" si="100"/>
        <v>0</v>
      </c>
      <c r="EI59" s="539"/>
      <c r="EJ59" s="539"/>
      <c r="EK59" s="539"/>
      <c r="EL59" s="760">
        <f t="shared" si="101"/>
        <v>43638</v>
      </c>
      <c r="EM59" s="759">
        <f t="shared" si="153"/>
        <v>43638</v>
      </c>
      <c r="EN59" s="755">
        <f t="shared" si="102"/>
        <v>0</v>
      </c>
      <c r="EO59" s="580">
        <f t="shared" si="128"/>
        <v>731</v>
      </c>
      <c r="EP59" s="244"/>
      <c r="EQ59" s="244"/>
      <c r="ER59" s="186">
        <f>DATE(YEAR(EM59),MONTH(EM59)+1,DAY(EM59))</f>
        <v>43668</v>
      </c>
      <c r="ES59" s="467"/>
      <c r="ET59" s="578">
        <f t="shared" si="103"/>
        <v>43668</v>
      </c>
      <c r="EU59" s="759">
        <v>43693</v>
      </c>
      <c r="EV59" s="581"/>
      <c r="EW59" s="752">
        <f t="shared" si="146"/>
        <v>0.83333333333333337</v>
      </c>
      <c r="EX59" s="722"/>
      <c r="EY59" s="247">
        <f t="shared" si="105"/>
        <v>0</v>
      </c>
      <c r="EZ59" s="118"/>
      <c r="FA59" s="562">
        <v>0</v>
      </c>
      <c r="FB59" s="562">
        <v>0</v>
      </c>
      <c r="FC59" s="562"/>
      <c r="FD59" s="562"/>
      <c r="FE59" s="562"/>
      <c r="FF59" s="787">
        <f t="shared" si="154"/>
        <v>0</v>
      </c>
      <c r="FG59" s="559"/>
      <c r="FH59" s="571"/>
      <c r="FI59" s="559"/>
      <c r="FJ59" s="559"/>
      <c r="FK59" s="122"/>
      <c r="FL59" s="122"/>
      <c r="FM59" s="122"/>
      <c r="FN59" s="122"/>
      <c r="FO59" s="122"/>
      <c r="FP59" s="50"/>
      <c r="FQ59" s="279">
        <f t="shared" si="70"/>
        <v>44004</v>
      </c>
      <c r="FR59" s="279"/>
      <c r="FS59" s="50"/>
      <c r="FT59" s="50"/>
      <c r="FU59" s="50"/>
      <c r="FV59" s="50"/>
      <c r="FW59" s="50"/>
      <c r="FX59" s="50"/>
      <c r="FY59" s="50"/>
      <c r="FZ59" s="50"/>
      <c r="GA59" s="50"/>
      <c r="GB59" s="50"/>
      <c r="GC59" s="50"/>
      <c r="GD59" s="50"/>
      <c r="GE59" s="50"/>
      <c r="GF59" s="113"/>
      <c r="GG59" s="113"/>
      <c r="GH59" s="286">
        <f>+GR59+GW59+HD59+HX59+HI59</f>
        <v>15377280.710000001</v>
      </c>
      <c r="GI59" s="64">
        <f t="shared" si="116"/>
        <v>11616559.710000001</v>
      </c>
      <c r="GJ59" s="10">
        <f t="shared" si="132"/>
        <v>-3760721</v>
      </c>
      <c r="GK59" s="46">
        <f t="shared" si="106"/>
        <v>2684.4449525807886</v>
      </c>
      <c r="GL59" s="46">
        <f t="shared" si="107"/>
        <v>58082.798550000007</v>
      </c>
      <c r="GM59" s="90"/>
      <c r="GN59" s="64"/>
      <c r="GO59" s="91">
        <f t="shared" si="108"/>
        <v>0</v>
      </c>
      <c r="GP59" s="129">
        <f t="shared" si="115"/>
        <v>0</v>
      </c>
      <c r="GQ59" s="129"/>
      <c r="GR59" s="90">
        <v>0</v>
      </c>
      <c r="GS59" s="650">
        <v>3306813</v>
      </c>
      <c r="GT59" s="654">
        <v>3306813</v>
      </c>
      <c r="GU59" s="46">
        <f t="shared" si="109"/>
        <v>16534.064999999999</v>
      </c>
      <c r="GV59" s="92">
        <f t="shared" si="147"/>
        <v>3306813</v>
      </c>
      <c r="GW59" s="747">
        <v>10921593</v>
      </c>
      <c r="GX59" s="9">
        <v>5854059</v>
      </c>
      <c r="GY59" s="390"/>
      <c r="GZ59" s="390"/>
      <c r="HA59" s="92">
        <f t="shared" si="130"/>
        <v>-5067534</v>
      </c>
      <c r="HB59" s="641">
        <f t="shared" si="110"/>
        <v>29270.294999999998</v>
      </c>
      <c r="HC59" s="390"/>
      <c r="HD59" s="90">
        <v>2000000</v>
      </c>
      <c r="HE59" s="391"/>
      <c r="HF59" s="64"/>
      <c r="HG59" s="85">
        <f t="shared" si="111"/>
        <v>0</v>
      </c>
      <c r="HH59" s="390"/>
      <c r="HI59" s="64">
        <v>2455687.71</v>
      </c>
      <c r="HJ59" s="86">
        <f t="shared" si="148"/>
        <v>-2000000</v>
      </c>
      <c r="HK59" s="19">
        <f t="shared" si="112"/>
        <v>0</v>
      </c>
      <c r="HL59" s="78">
        <f t="shared" si="113"/>
        <v>16534.064999999999</v>
      </c>
      <c r="HM59" s="86">
        <f t="shared" si="133"/>
        <v>-10000</v>
      </c>
      <c r="HN59" s="87"/>
      <c r="HO59" s="87"/>
      <c r="HP59" s="88"/>
      <c r="HQ59" s="88"/>
      <c r="HR59" s="46">
        <f t="shared" si="142"/>
        <v>10000</v>
      </c>
      <c r="HS59" s="88"/>
      <c r="HT59" s="46">
        <f t="shared" si="126"/>
        <v>16534.064999999999</v>
      </c>
      <c r="HU59" s="47">
        <f t="shared" si="143"/>
        <v>0.13006200756284431</v>
      </c>
      <c r="HV59" s="88"/>
      <c r="HW59" s="88"/>
      <c r="HX59" s="390">
        <f t="shared" si="149"/>
        <v>0</v>
      </c>
      <c r="HY59" s="37">
        <f t="shared" si="145"/>
        <v>15377280.710000001</v>
      </c>
      <c r="HZ59" s="276">
        <v>364819</v>
      </c>
      <c r="IA59" s="276">
        <f t="shared" si="150"/>
        <v>280911</v>
      </c>
      <c r="IB59" s="238"/>
      <c r="IC59" s="331"/>
      <c r="ID59" s="331"/>
      <c r="IE59" s="328"/>
      <c r="IF59" s="114">
        <v>42727</v>
      </c>
      <c r="IG59" s="233">
        <v>51495</v>
      </c>
      <c r="IH59" s="114">
        <v>42895</v>
      </c>
      <c r="II59" s="233">
        <v>34330</v>
      </c>
      <c r="IJ59" s="114">
        <v>43074</v>
      </c>
      <c r="IK59" s="233">
        <v>41862</v>
      </c>
      <c r="IL59" s="115"/>
      <c r="IM59" s="322"/>
      <c r="IN59" s="314"/>
      <c r="IO59" s="314"/>
      <c r="IP59" s="123"/>
      <c r="IQ59" s="233"/>
      <c r="IR59" s="123">
        <v>43092</v>
      </c>
      <c r="IS59" s="233">
        <v>54723</v>
      </c>
      <c r="IT59" s="629" t="s">
        <v>829</v>
      </c>
      <c r="IU59" s="115">
        <f>36482+43778</f>
        <v>80260</v>
      </c>
      <c r="IV59" s="184">
        <v>43291</v>
      </c>
      <c r="IW59" s="50">
        <v>18241</v>
      </c>
      <c r="IX59" s="268"/>
      <c r="IY59" s="268"/>
      <c r="IZ59" s="268"/>
      <c r="JA59" s="268"/>
      <c r="JB59" s="268"/>
      <c r="JC59" s="268"/>
      <c r="JD59" s="327">
        <v>34330</v>
      </c>
      <c r="JE59" s="118"/>
      <c r="JF59" s="278"/>
      <c r="JG59" s="118"/>
      <c r="JH59" s="118"/>
      <c r="JI59" s="278"/>
    </row>
    <row r="60" spans="1:269" ht="15" customHeight="1">
      <c r="A60" s="667" t="s">
        <v>347</v>
      </c>
      <c r="B60" s="50" t="s">
        <v>79</v>
      </c>
      <c r="C60" s="50" t="s">
        <v>112</v>
      </c>
      <c r="D60" s="50">
        <v>2016</v>
      </c>
      <c r="E60" s="50" t="s">
        <v>283</v>
      </c>
      <c r="F60" s="50" t="s">
        <v>30</v>
      </c>
      <c r="G60" s="5" t="s">
        <v>279</v>
      </c>
      <c r="H60" s="50" t="s">
        <v>170</v>
      </c>
      <c r="I60" s="50"/>
      <c r="J60" s="50" t="s">
        <v>355</v>
      </c>
      <c r="K60" s="256" t="s">
        <v>644</v>
      </c>
      <c r="L60" s="166"/>
      <c r="M60" s="167"/>
      <c r="N60" s="168"/>
      <c r="O60" s="207">
        <v>5130</v>
      </c>
      <c r="P60" s="207">
        <v>425624</v>
      </c>
      <c r="Q60" s="207">
        <v>271768</v>
      </c>
      <c r="R60" s="207">
        <f t="shared" si="137"/>
        <v>15200.857142857143</v>
      </c>
      <c r="S60" s="207">
        <f t="shared" si="73"/>
        <v>82.967641325536064</v>
      </c>
      <c r="T60" s="213">
        <f t="shared" si="74"/>
        <v>52.976218323586743</v>
      </c>
      <c r="U60" s="213">
        <f t="shared" si="75"/>
        <v>144.10749415389185</v>
      </c>
      <c r="V60" s="213">
        <f t="shared" si="76"/>
        <v>9706</v>
      </c>
      <c r="W60" s="207">
        <f t="shared" si="77"/>
        <v>183.21428571428572</v>
      </c>
      <c r="X60" s="208"/>
      <c r="Y60" s="216">
        <f t="shared" si="78"/>
        <v>0.36761598440545806</v>
      </c>
      <c r="Z60" s="208" t="s">
        <v>208</v>
      </c>
      <c r="AA60" s="208">
        <v>675</v>
      </c>
      <c r="AB60" s="209"/>
      <c r="AC60" s="50" t="s">
        <v>16</v>
      </c>
      <c r="AD60" s="318">
        <f t="shared" si="81"/>
        <v>28</v>
      </c>
      <c r="AE60" s="61"/>
      <c r="AF60" s="50">
        <v>28</v>
      </c>
      <c r="AG60" s="50"/>
      <c r="AH60" s="5"/>
      <c r="AI60" s="268"/>
      <c r="AJ60" s="54">
        <v>1812.35</v>
      </c>
      <c r="AK60" s="54"/>
      <c r="AL60" s="227">
        <v>1885.87</v>
      </c>
      <c r="AM60" s="7">
        <f>AL60/AD60</f>
        <v>67.352499999999992</v>
      </c>
      <c r="AN60" s="75">
        <f>4/AD60</f>
        <v>0.14285714285714285</v>
      </c>
      <c r="AO60" s="75">
        <f>7/AD60</f>
        <v>0.25</v>
      </c>
      <c r="AP60" s="75">
        <f>10/AD60</f>
        <v>0.35714285714285715</v>
      </c>
      <c r="AQ60" s="75">
        <f>7/AD60</f>
        <v>0.25</v>
      </c>
      <c r="AR60" s="75"/>
      <c r="AS60" s="54"/>
      <c r="AT60" s="73"/>
      <c r="AU60" s="75"/>
      <c r="AV60" s="54">
        <v>2.5</v>
      </c>
      <c r="AW60" s="53" t="s">
        <v>561</v>
      </c>
      <c r="AX60" s="50"/>
      <c r="AY60" s="785"/>
      <c r="AZ60" s="50"/>
      <c r="BA60" s="238">
        <v>42488</v>
      </c>
      <c r="BB60" s="238">
        <v>42475</v>
      </c>
      <c r="BC60" s="110"/>
      <c r="BD60" s="110"/>
      <c r="BE60" s="94"/>
      <c r="BF60" s="204">
        <v>42604</v>
      </c>
      <c r="BG60" s="96">
        <v>42646</v>
      </c>
      <c r="BH60" s="96"/>
      <c r="BI60" s="204"/>
      <c r="BJ60" s="96"/>
      <c r="BK60" s="160">
        <v>42877</v>
      </c>
      <c r="BL60" s="202">
        <v>42929</v>
      </c>
      <c r="BM60" s="160">
        <v>43013</v>
      </c>
      <c r="BN60" s="160">
        <v>42942</v>
      </c>
      <c r="BO60" s="298">
        <f t="shared" si="135"/>
        <v>42929</v>
      </c>
      <c r="BP60" s="297">
        <f t="shared" si="136"/>
        <v>43659</v>
      </c>
      <c r="BQ60" s="297">
        <f t="shared" si="144"/>
        <v>44025</v>
      </c>
      <c r="BR60" s="297"/>
      <c r="BS60" s="297" t="str">
        <f t="shared" si="151"/>
        <v>oui</v>
      </c>
      <c r="BT60" s="686">
        <f t="shared" si="82"/>
        <v>7</v>
      </c>
      <c r="BU60" s="686">
        <f t="shared" si="83"/>
        <v>0</v>
      </c>
      <c r="BV60" s="686">
        <f t="shared" si="84"/>
        <v>0</v>
      </c>
      <c r="BW60" s="160">
        <v>42920</v>
      </c>
      <c r="BX60" s="111" t="s">
        <v>620</v>
      </c>
      <c r="BY60" s="97">
        <v>43026</v>
      </c>
      <c r="BZ60" s="98"/>
      <c r="CA60" s="98"/>
      <c r="CB60" s="98"/>
      <c r="CC60" s="158"/>
      <c r="CD60" s="162"/>
      <c r="CE60" s="251"/>
      <c r="CF60" s="157"/>
      <c r="CG60" s="162"/>
      <c r="CH60" s="251"/>
      <c r="CI60" s="251"/>
      <c r="CJ60" s="251" t="s">
        <v>165</v>
      </c>
      <c r="CK60" s="604"/>
      <c r="CL60" s="123">
        <v>42327</v>
      </c>
      <c r="CM60" s="123">
        <v>42353</v>
      </c>
      <c r="CN60" s="123">
        <v>42327</v>
      </c>
      <c r="CO60" s="529">
        <f t="shared" si="85"/>
        <v>-26</v>
      </c>
      <c r="CP60" s="123">
        <v>42412</v>
      </c>
      <c r="CQ60" s="123">
        <v>42412</v>
      </c>
      <c r="CR60" s="529">
        <f t="shared" si="86"/>
        <v>0</v>
      </c>
      <c r="CS60" s="123">
        <v>42436</v>
      </c>
      <c r="CT60" s="123">
        <v>42439</v>
      </c>
      <c r="CU60" s="529">
        <f t="shared" si="87"/>
        <v>3</v>
      </c>
      <c r="CV60" s="123">
        <v>42472</v>
      </c>
      <c r="CW60" s="123">
        <v>42633</v>
      </c>
      <c r="CX60" s="529">
        <f t="shared" si="88"/>
        <v>161</v>
      </c>
      <c r="CY60" s="123">
        <v>42692</v>
      </c>
      <c r="CZ60" s="123">
        <v>42845</v>
      </c>
      <c r="DA60" s="556">
        <f t="shared" si="89"/>
        <v>153</v>
      </c>
      <c r="DB60" s="457"/>
      <c r="DC60" s="316">
        <v>43074</v>
      </c>
      <c r="DD60" s="543">
        <v>43137</v>
      </c>
      <c r="DE60" s="543">
        <f t="shared" ref="DE60:DE76" ca="1" si="155">IF(DD60&lt;TODAY(),TODAY(),DD60)</f>
        <v>43332</v>
      </c>
      <c r="DF60" s="535">
        <f t="shared" ca="1" si="90"/>
        <v>195</v>
      </c>
      <c r="DG60" s="543">
        <v>43152</v>
      </c>
      <c r="DH60" s="444">
        <v>43263</v>
      </c>
      <c r="DI60" s="345">
        <v>2018</v>
      </c>
      <c r="DJ60" s="446">
        <f t="shared" si="91"/>
        <v>21.966666666666665</v>
      </c>
      <c r="DK60" s="529">
        <f t="shared" si="92"/>
        <v>111</v>
      </c>
      <c r="DL60" s="255">
        <v>16</v>
      </c>
      <c r="DM60" s="117">
        <f t="shared" si="93"/>
        <v>16</v>
      </c>
      <c r="DN60" s="543"/>
      <c r="DO60" s="539">
        <f t="shared" ref="DO60:DO76" ca="1" si="156">IF(DN60&lt;TODAY(),TODAY(),DN60)</f>
        <v>43332</v>
      </c>
      <c r="DP60" s="535" t="str">
        <f t="shared" ca="1" si="94"/>
        <v>0</v>
      </c>
      <c r="DQ60" s="533"/>
      <c r="DR60" s="539">
        <f t="shared" ref="DR60:DR76" ca="1" si="157">IF(DQ60&lt;TODAY(),TODAY(),DQ60)</f>
        <v>43332</v>
      </c>
      <c r="DS60" s="536" t="str">
        <f t="shared" ca="1" si="95"/>
        <v>0</v>
      </c>
      <c r="DT60" s="539"/>
      <c r="DU60" s="539">
        <f t="shared" ca="1" si="140"/>
        <v>43332</v>
      </c>
      <c r="DV60" s="535" t="str">
        <f t="shared" ca="1" si="96"/>
        <v>0</v>
      </c>
      <c r="DW60" s="543"/>
      <c r="DX60" s="539">
        <f t="shared" ca="1" si="141"/>
        <v>43332</v>
      </c>
      <c r="DY60" s="535" t="str">
        <f t="shared" ca="1" si="97"/>
        <v>0</v>
      </c>
      <c r="DZ60" s="541"/>
      <c r="EA60" s="541"/>
      <c r="EB60" s="535" t="str">
        <f t="shared" si="98"/>
        <v>0</v>
      </c>
      <c r="EC60" s="539"/>
      <c r="ED60" s="539">
        <f t="shared" ca="1" si="152"/>
        <v>43332</v>
      </c>
      <c r="EE60" s="535" t="str">
        <f t="shared" ca="1" si="99"/>
        <v>0</v>
      </c>
      <c r="EF60" s="539"/>
      <c r="EG60" s="539">
        <f t="shared" ca="1" si="131"/>
        <v>43332</v>
      </c>
      <c r="EH60" s="535" t="str">
        <f t="shared" ca="1" si="100"/>
        <v>0</v>
      </c>
      <c r="EI60" s="539"/>
      <c r="EJ60" s="539"/>
      <c r="EK60" s="539"/>
      <c r="EL60" s="760">
        <f t="shared" si="101"/>
        <v>43750</v>
      </c>
      <c r="EM60" s="759">
        <f t="shared" si="153"/>
        <v>43750</v>
      </c>
      <c r="EN60" s="755">
        <f t="shared" si="102"/>
        <v>0</v>
      </c>
      <c r="EO60" s="580">
        <f t="shared" si="128"/>
        <v>731</v>
      </c>
      <c r="EP60" s="244"/>
      <c r="EQ60" s="244"/>
      <c r="ER60" s="186">
        <f>DATE(YEAR(EM60),MONTH(EM60)+2,DAY(EM60))</f>
        <v>43811</v>
      </c>
      <c r="ES60" s="467"/>
      <c r="ET60" s="578">
        <f t="shared" si="103"/>
        <v>43781</v>
      </c>
      <c r="EU60" s="759">
        <f t="shared" ref="EU60:EU65" si="158">ER60</f>
        <v>43811</v>
      </c>
      <c r="EV60" s="581"/>
      <c r="EW60" s="752">
        <f t="shared" si="146"/>
        <v>1</v>
      </c>
      <c r="EX60" s="722"/>
      <c r="EY60" s="247">
        <f t="shared" si="105"/>
        <v>0</v>
      </c>
      <c r="EZ60" s="118"/>
      <c r="FA60" s="562">
        <v>0</v>
      </c>
      <c r="FB60" s="562">
        <v>0</v>
      </c>
      <c r="FC60" s="562">
        <f>131635.37*1.021</f>
        <v>134399.71276999998</v>
      </c>
      <c r="FD60" s="562">
        <v>131635.37</v>
      </c>
      <c r="FE60" s="562">
        <v>0</v>
      </c>
      <c r="FF60" s="787">
        <f t="shared" si="154"/>
        <v>0</v>
      </c>
      <c r="FG60" s="559"/>
      <c r="FH60" s="571"/>
      <c r="FI60" s="571" t="s">
        <v>729</v>
      </c>
      <c r="FJ60" s="559"/>
      <c r="FK60" s="122"/>
      <c r="FL60" s="122"/>
      <c r="FM60" s="122"/>
      <c r="FN60" s="122"/>
      <c r="FO60" s="122"/>
      <c r="FP60" s="50"/>
      <c r="FQ60" s="279">
        <f t="shared" si="70"/>
        <v>44116</v>
      </c>
      <c r="FR60" s="279"/>
      <c r="FS60" s="50"/>
      <c r="FT60" s="50"/>
      <c r="FU60" s="50"/>
      <c r="FV60" s="50"/>
      <c r="FW60" s="50"/>
      <c r="FX60" s="50"/>
      <c r="FY60" s="50"/>
      <c r="FZ60" s="50"/>
      <c r="GA60" s="50"/>
      <c r="GB60" s="50"/>
      <c r="GC60" s="50"/>
      <c r="GD60" s="50"/>
      <c r="GE60" s="50"/>
      <c r="GF60" s="113"/>
      <c r="GG60" s="113"/>
      <c r="GH60" s="8">
        <f>+GR60+GW60+HD60+HX60</f>
        <v>3901188</v>
      </c>
      <c r="GI60" s="64">
        <f t="shared" si="116"/>
        <v>3944664</v>
      </c>
      <c r="GJ60" s="8">
        <f t="shared" si="132"/>
        <v>43476</v>
      </c>
      <c r="GK60" s="46">
        <f t="shared" si="106"/>
        <v>2176.546472811543</v>
      </c>
      <c r="GL60" s="46">
        <f t="shared" si="107"/>
        <v>140880.85714285713</v>
      </c>
      <c r="GM60" s="90">
        <v>3532430.6948800003</v>
      </c>
      <c r="GN60" s="90">
        <v>3790547.2600000002</v>
      </c>
      <c r="GO60" s="8">
        <f t="shared" si="108"/>
        <v>258116.56511999993</v>
      </c>
      <c r="GP60" s="8">
        <f t="shared" si="115"/>
        <v>0.98110986194514926</v>
      </c>
      <c r="GQ60" s="302">
        <v>0.4</v>
      </c>
      <c r="GR60" s="90">
        <v>1168119</v>
      </c>
      <c r="GS60" s="650">
        <v>1183082</v>
      </c>
      <c r="GT60" s="654">
        <v>1263947</v>
      </c>
      <c r="GU60" s="90">
        <f t="shared" si="109"/>
        <v>42252.928571428572</v>
      </c>
      <c r="GV60" s="90">
        <f t="shared" si="147"/>
        <v>14963</v>
      </c>
      <c r="GW60" s="302">
        <f>1677074+399995</f>
        <v>2077069</v>
      </c>
      <c r="GX60" s="782">
        <f>GY60+GZ60</f>
        <v>2105582</v>
      </c>
      <c r="GY60" s="799">
        <v>405627</v>
      </c>
      <c r="GZ60" s="799">
        <v>1699955</v>
      </c>
      <c r="HA60" s="9">
        <f t="shared" si="130"/>
        <v>28513</v>
      </c>
      <c r="HB60" s="9">
        <f t="shared" si="110"/>
        <v>75199.357142857145</v>
      </c>
      <c r="HC60" s="798"/>
      <c r="HD60" s="799">
        <v>656000</v>
      </c>
      <c r="HE60" s="9">
        <v>656000</v>
      </c>
      <c r="HF60" s="64"/>
      <c r="HG60" s="64">
        <f t="shared" si="111"/>
        <v>0.16630060253547577</v>
      </c>
      <c r="HH60" s="90"/>
      <c r="HI60" s="64"/>
      <c r="HJ60" s="20">
        <f t="shared" si="148"/>
        <v>0</v>
      </c>
      <c r="HK60" s="19">
        <f t="shared" si="112"/>
        <v>23428.571428571428</v>
      </c>
      <c r="HL60" s="78">
        <f t="shared" si="113"/>
        <v>65681.5</v>
      </c>
      <c r="HM60" s="20">
        <f t="shared" si="133"/>
        <v>0</v>
      </c>
      <c r="HN60" s="87">
        <v>5.54</v>
      </c>
      <c r="HO60" s="87"/>
      <c r="HP60" s="88">
        <v>878080.00034999999</v>
      </c>
      <c r="HQ60" s="88">
        <v>560000</v>
      </c>
      <c r="HR60" s="19">
        <f t="shared" si="142"/>
        <v>85147.107142857145</v>
      </c>
      <c r="HS60" s="88">
        <v>84831.933350000065</v>
      </c>
      <c r="HT60" s="19">
        <f t="shared" si="126"/>
        <v>88711.211905357151</v>
      </c>
      <c r="HU60" s="47">
        <f t="shared" si="143"/>
        <v>0.53838599033842116</v>
      </c>
      <c r="HV60" s="88">
        <v>193430</v>
      </c>
      <c r="HW60" s="88"/>
      <c r="HX60" s="64"/>
      <c r="HY60" s="37">
        <f t="shared" si="145"/>
        <v>4779268.0003500003</v>
      </c>
      <c r="HZ60" s="276">
        <v>195171</v>
      </c>
      <c r="IA60" s="276">
        <f t="shared" si="150"/>
        <v>126877</v>
      </c>
      <c r="IB60" s="114">
        <v>42333</v>
      </c>
      <c r="IC60" s="233">
        <v>23317</v>
      </c>
      <c r="ID60" s="233"/>
      <c r="IE60" s="114"/>
      <c r="IF60" s="114"/>
      <c r="IG60" s="233"/>
      <c r="IH60" s="114">
        <v>42429</v>
      </c>
      <c r="II60" s="233">
        <v>23306</v>
      </c>
      <c r="IJ60" s="114">
        <v>42657</v>
      </c>
      <c r="IK60" s="233">
        <v>23065</v>
      </c>
      <c r="IL60" s="115" t="s">
        <v>534</v>
      </c>
      <c r="IM60" s="322">
        <v>29869</v>
      </c>
      <c r="IN60" s="314"/>
      <c r="IO60" s="314"/>
      <c r="IP60" s="316">
        <v>43090</v>
      </c>
      <c r="IQ60" s="315">
        <v>7787</v>
      </c>
      <c r="IR60" s="316">
        <v>43290</v>
      </c>
      <c r="IS60" s="315">
        <v>19533</v>
      </c>
      <c r="IT60" s="299"/>
      <c r="IU60" s="299"/>
      <c r="IV60" s="299"/>
      <c r="IW60" s="299"/>
      <c r="IX60" s="268"/>
      <c r="IY60" s="268"/>
      <c r="IZ60" s="268"/>
      <c r="JA60" s="268"/>
      <c r="JB60" s="268"/>
      <c r="JC60" s="268"/>
      <c r="JD60" s="233">
        <v>23306</v>
      </c>
      <c r="JE60" s="123"/>
      <c r="JF60" s="115"/>
      <c r="JG60" s="123"/>
      <c r="JH60" s="123"/>
      <c r="JI60" s="115"/>
    </row>
    <row r="61" spans="1:269" ht="15" customHeight="1">
      <c r="A61" s="456" t="s">
        <v>449</v>
      </c>
      <c r="B61" s="50" t="s">
        <v>35</v>
      </c>
      <c r="C61" s="50" t="s">
        <v>110</v>
      </c>
      <c r="D61" s="50">
        <v>2017</v>
      </c>
      <c r="E61" s="50"/>
      <c r="F61" s="50" t="s">
        <v>441</v>
      </c>
      <c r="G61" s="50" t="s">
        <v>177</v>
      </c>
      <c r="H61" s="50" t="s">
        <v>172</v>
      </c>
      <c r="I61" s="50"/>
      <c r="J61" s="50" t="s">
        <v>450</v>
      </c>
      <c r="K61" s="256" t="s">
        <v>472</v>
      </c>
      <c r="L61" s="166" t="s">
        <v>61</v>
      </c>
      <c r="M61" s="167" t="s">
        <v>477</v>
      </c>
      <c r="N61" s="168">
        <v>34008</v>
      </c>
      <c r="O61" s="233"/>
      <c r="P61" s="233"/>
      <c r="Q61" s="233"/>
      <c r="R61" s="233"/>
      <c r="S61" s="233"/>
      <c r="T61" s="613"/>
      <c r="U61" s="613"/>
      <c r="V61" s="613"/>
      <c r="W61" s="233"/>
      <c r="X61" s="208"/>
      <c r="Y61" s="216" t="e">
        <f t="shared" si="78"/>
        <v>#DIV/0!</v>
      </c>
      <c r="Z61" s="208"/>
      <c r="AA61" s="208"/>
      <c r="AB61" s="209"/>
      <c r="AC61" s="50" t="s">
        <v>440</v>
      </c>
      <c r="AD61" s="318">
        <f t="shared" si="81"/>
        <v>45</v>
      </c>
      <c r="AE61" s="61"/>
      <c r="AF61" s="115"/>
      <c r="AG61" s="115"/>
      <c r="AH61" s="318">
        <v>45</v>
      </c>
      <c r="AI61" s="268"/>
      <c r="AJ61" s="54"/>
      <c r="AK61" s="54"/>
      <c r="AL61" s="89"/>
      <c r="AM61" s="7"/>
      <c r="AN61" s="75"/>
      <c r="AO61" s="75"/>
      <c r="AP61" s="75"/>
      <c r="AQ61" s="75"/>
      <c r="AR61" s="75"/>
      <c r="AS61" s="54"/>
      <c r="AT61" s="73"/>
      <c r="AU61" s="75"/>
      <c r="AV61" s="54"/>
      <c r="AW61" s="50"/>
      <c r="AX61" s="50"/>
      <c r="AY61" s="806"/>
      <c r="AZ61" s="50"/>
      <c r="BA61" s="50"/>
      <c r="BB61" s="50"/>
      <c r="BC61" s="110"/>
      <c r="BD61" s="110"/>
      <c r="BE61" s="94"/>
      <c r="BF61" s="204">
        <v>43032</v>
      </c>
      <c r="BG61" s="96"/>
      <c r="BH61" s="96"/>
      <c r="BI61" s="204"/>
      <c r="BJ61" s="96"/>
      <c r="BK61" s="160">
        <v>43081</v>
      </c>
      <c r="BL61" s="202">
        <v>43235</v>
      </c>
      <c r="BM61" s="160">
        <f t="shared" ref="BM61:BM82" si="159">DATE(YEAR(BL61),MONTH(BL61)+3,DAY(BL61))</f>
        <v>43327</v>
      </c>
      <c r="BN61" s="160"/>
      <c r="BO61" s="298">
        <f t="shared" si="135"/>
        <v>43235</v>
      </c>
      <c r="BP61" s="297">
        <f t="shared" si="136"/>
        <v>43966</v>
      </c>
      <c r="BQ61" s="297">
        <f t="shared" si="144"/>
        <v>44331</v>
      </c>
      <c r="BR61" s="297"/>
      <c r="BS61" s="297" t="str">
        <f t="shared" si="151"/>
        <v>non</v>
      </c>
      <c r="BT61" s="686">
        <f t="shared" si="82"/>
        <v>20</v>
      </c>
      <c r="BU61" s="686">
        <f t="shared" si="83"/>
        <v>0</v>
      </c>
      <c r="BV61" s="686">
        <f t="shared" si="84"/>
        <v>0</v>
      </c>
      <c r="BW61" s="160"/>
      <c r="BX61" s="165"/>
      <c r="BY61" s="97"/>
      <c r="BZ61" s="98"/>
      <c r="CA61" s="98"/>
      <c r="CB61" s="98"/>
      <c r="CC61" s="158"/>
      <c r="CD61" s="251"/>
      <c r="CE61" s="251"/>
      <c r="CF61" s="157"/>
      <c r="CG61" s="251"/>
      <c r="CH61" s="251"/>
      <c r="CI61" s="251"/>
      <c r="CJ61" s="408"/>
      <c r="CK61" s="604"/>
      <c r="CL61" s="316">
        <v>42649</v>
      </c>
      <c r="CM61" s="123"/>
      <c r="CN61" s="123"/>
      <c r="CO61" s="529" t="str">
        <f t="shared" si="85"/>
        <v>0</v>
      </c>
      <c r="CP61" s="123">
        <v>42872</v>
      </c>
      <c r="CQ61" s="123">
        <v>42880</v>
      </c>
      <c r="CR61" s="529">
        <f t="shared" si="86"/>
        <v>8</v>
      </c>
      <c r="CS61" s="316">
        <v>42814</v>
      </c>
      <c r="CT61" s="316">
        <v>42853</v>
      </c>
      <c r="CU61" s="529">
        <f t="shared" si="87"/>
        <v>39</v>
      </c>
      <c r="CV61" s="549">
        <v>42877</v>
      </c>
      <c r="CW61" s="546">
        <f ca="1">IF(CV61&lt;TODAY(),TODAY(),CV61)</f>
        <v>43332</v>
      </c>
      <c r="CX61" s="551">
        <f t="shared" ca="1" si="88"/>
        <v>455</v>
      </c>
      <c r="CY61" s="549">
        <v>42962</v>
      </c>
      <c r="CZ61" s="549">
        <f ca="1">IF(CY61&lt;TODAY(),TODAY(),CY61)</f>
        <v>43332</v>
      </c>
      <c r="DA61" s="551">
        <f t="shared" ca="1" si="89"/>
        <v>370</v>
      </c>
      <c r="DB61" s="457"/>
      <c r="DC61" s="555">
        <v>43270</v>
      </c>
      <c r="DD61" s="543">
        <v>43074</v>
      </c>
      <c r="DE61" s="539">
        <f t="shared" ca="1" si="155"/>
        <v>43332</v>
      </c>
      <c r="DF61" s="535">
        <f t="shared" ca="1" si="90"/>
        <v>258</v>
      </c>
      <c r="DG61" s="543">
        <v>43081</v>
      </c>
      <c r="DH61" s="703">
        <v>43318</v>
      </c>
      <c r="DI61" s="348"/>
      <c r="DJ61" s="446">
        <f t="shared" si="91"/>
        <v>9.5333333333333332</v>
      </c>
      <c r="DK61" s="535">
        <f t="shared" si="92"/>
        <v>237</v>
      </c>
      <c r="DL61" s="704">
        <v>12</v>
      </c>
      <c r="DM61" s="243">
        <f t="shared" si="93"/>
        <v>12</v>
      </c>
      <c r="DN61" s="533"/>
      <c r="DO61" s="539">
        <f t="shared" ca="1" si="156"/>
        <v>43332</v>
      </c>
      <c r="DP61" s="535" t="str">
        <f t="shared" ca="1" si="94"/>
        <v>0</v>
      </c>
      <c r="DQ61" s="533"/>
      <c r="DR61" s="557">
        <f t="shared" ca="1" si="157"/>
        <v>43332</v>
      </c>
      <c r="DS61" s="536" t="str">
        <f t="shared" ca="1" si="95"/>
        <v>0</v>
      </c>
      <c r="DT61" s="539"/>
      <c r="DU61" s="539">
        <f t="shared" ca="1" si="140"/>
        <v>43332</v>
      </c>
      <c r="DV61" s="535" t="str">
        <f t="shared" ca="1" si="96"/>
        <v>0</v>
      </c>
      <c r="DW61" s="539"/>
      <c r="DX61" s="539">
        <f t="shared" ca="1" si="141"/>
        <v>43332</v>
      </c>
      <c r="DY61" s="535" t="str">
        <f t="shared" ca="1" si="97"/>
        <v>0</v>
      </c>
      <c r="DZ61" s="539"/>
      <c r="EA61" s="539">
        <f t="shared" ref="EA61:EA76" ca="1" si="160">IF(DZ61&lt;TODAY(),TODAY(),DZ61)</f>
        <v>43332</v>
      </c>
      <c r="EB61" s="535" t="str">
        <f t="shared" ca="1" si="98"/>
        <v>0</v>
      </c>
      <c r="EC61" s="539"/>
      <c r="ED61" s="539">
        <f t="shared" ca="1" si="152"/>
        <v>43332</v>
      </c>
      <c r="EE61" s="535" t="str">
        <f t="shared" ca="1" si="99"/>
        <v>0</v>
      </c>
      <c r="EF61" s="539"/>
      <c r="EG61" s="539">
        <f t="shared" ca="1" si="131"/>
        <v>43332</v>
      </c>
      <c r="EH61" s="535" t="str">
        <f t="shared" ca="1" si="100"/>
        <v>0</v>
      </c>
      <c r="EI61" s="539"/>
      <c r="EJ61" s="539"/>
      <c r="EK61" s="539"/>
      <c r="EL61" s="625">
        <f t="shared" si="101"/>
        <v>43683</v>
      </c>
      <c r="EM61" s="404">
        <f t="shared" si="153"/>
        <v>43683</v>
      </c>
      <c r="EN61" s="756">
        <f t="shared" si="102"/>
        <v>0</v>
      </c>
      <c r="EO61" s="580">
        <f t="shared" si="128"/>
        <v>731</v>
      </c>
      <c r="EP61" s="244"/>
      <c r="EQ61" s="244"/>
      <c r="ER61" s="121">
        <f>DATE(YEAR(EM61),MONTH(EM61)+1,DAY(EM61))</f>
        <v>43714</v>
      </c>
      <c r="ES61" s="580"/>
      <c r="ET61" s="578">
        <f t="shared" si="103"/>
        <v>43714</v>
      </c>
      <c r="EU61" s="455">
        <f t="shared" si="158"/>
        <v>43714</v>
      </c>
      <c r="EV61" s="581"/>
      <c r="EW61" s="753">
        <f t="shared" si="146"/>
        <v>0</v>
      </c>
      <c r="EX61" s="722"/>
      <c r="EY61" s="247">
        <f t="shared" si="105"/>
        <v>0</v>
      </c>
      <c r="EZ61" s="118"/>
      <c r="FA61" s="562">
        <v>0</v>
      </c>
      <c r="FB61" s="562">
        <v>0</v>
      </c>
      <c r="FC61" s="562"/>
      <c r="FD61" s="562"/>
      <c r="FE61" s="786"/>
      <c r="FF61" s="787" t="e">
        <f t="shared" si="154"/>
        <v>#DIV/0!</v>
      </c>
      <c r="FG61" s="564"/>
      <c r="FH61" s="584"/>
      <c r="FI61" s="820" t="s">
        <v>764</v>
      </c>
      <c r="FJ61" s="821"/>
      <c r="FK61" s="122"/>
      <c r="FL61" s="122"/>
      <c r="FM61" s="122"/>
      <c r="FN61" s="122"/>
      <c r="FO61" s="122"/>
      <c r="FP61" s="50"/>
      <c r="FQ61" s="279">
        <f t="shared" si="70"/>
        <v>44049</v>
      </c>
      <c r="FR61" s="279"/>
      <c r="FS61" s="50"/>
      <c r="FT61" s="50"/>
      <c r="FU61" s="50"/>
      <c r="FV61" s="50"/>
      <c r="FW61" s="50"/>
      <c r="FX61" s="50"/>
      <c r="FY61" s="50"/>
      <c r="FZ61" s="50"/>
      <c r="GA61" s="50"/>
      <c r="GB61" s="50"/>
      <c r="GC61" s="50"/>
      <c r="GD61" s="50"/>
      <c r="GE61" s="50"/>
      <c r="GF61" s="113"/>
      <c r="GG61" s="113"/>
      <c r="GH61" s="390">
        <f>+GR61+GW61+HD61+HX61+HI61+HH61</f>
        <v>0</v>
      </c>
      <c r="GI61" s="390">
        <f>GS61+GX61+HC61+HE61+HI61</f>
        <v>0</v>
      </c>
      <c r="GJ61" s="390"/>
      <c r="GK61" s="390"/>
      <c r="GL61" s="390"/>
      <c r="GM61" s="390"/>
      <c r="GN61" s="390"/>
      <c r="GO61" s="391"/>
      <c r="GP61" s="199"/>
      <c r="GQ61" s="107"/>
      <c r="GR61" s="779"/>
      <c r="GS61" s="689"/>
      <c r="GT61" s="745"/>
      <c r="GU61" s="391">
        <f>GR61/AD61</f>
        <v>0</v>
      </c>
      <c r="GV61" s="391">
        <f t="shared" si="147"/>
        <v>0</v>
      </c>
      <c r="GW61" s="781"/>
      <c r="GX61" s="390"/>
      <c r="GY61" s="390"/>
      <c r="GZ61" s="390"/>
      <c r="HA61" s="391"/>
      <c r="HB61" s="805">
        <f>GW61/AD61</f>
        <v>0</v>
      </c>
      <c r="HC61" s="390"/>
      <c r="HD61" s="390"/>
      <c r="HE61" s="390"/>
      <c r="HF61" s="390"/>
      <c r="HG61" s="392" t="e">
        <f t="shared" si="111"/>
        <v>#DIV/0!</v>
      </c>
      <c r="HH61" s="390"/>
      <c r="HI61" s="390"/>
      <c r="HJ61" s="391">
        <f t="shared" si="148"/>
        <v>0</v>
      </c>
      <c r="HK61" s="391">
        <f t="shared" si="112"/>
        <v>0</v>
      </c>
      <c r="HL61" s="393">
        <f t="shared" si="113"/>
        <v>0</v>
      </c>
      <c r="HM61" s="391">
        <f t="shared" si="133"/>
        <v>0</v>
      </c>
      <c r="HN61" s="394"/>
      <c r="HO61" s="394"/>
      <c r="HP61" s="390"/>
      <c r="HQ61" s="390"/>
      <c r="HR61" s="391">
        <f t="shared" si="142"/>
        <v>0</v>
      </c>
      <c r="HS61" s="390"/>
      <c r="HT61" s="391">
        <f>(GS61+HD61+HQ61+HS61)/AD61</f>
        <v>0</v>
      </c>
      <c r="HU61" s="107" t="e">
        <f t="shared" si="143"/>
        <v>#DIV/0!</v>
      </c>
      <c r="HV61" s="390"/>
      <c r="HW61" s="390"/>
      <c r="HX61" s="390">
        <f t="shared" ref="HX61:HX107" si="161">FB61</f>
        <v>0</v>
      </c>
      <c r="HY61" s="397">
        <f t="shared" si="145"/>
        <v>0</v>
      </c>
      <c r="HZ61" s="276"/>
      <c r="IA61" s="276">
        <f t="shared" si="150"/>
        <v>0</v>
      </c>
      <c r="IB61" s="277"/>
      <c r="IC61" s="280">
        <v>0</v>
      </c>
      <c r="ID61" s="280"/>
      <c r="IE61" s="267"/>
      <c r="IF61" s="267"/>
      <c r="IG61" s="463">
        <v>0</v>
      </c>
      <c r="IH61" s="267"/>
      <c r="II61" s="273">
        <v>0</v>
      </c>
      <c r="IJ61" s="267"/>
      <c r="IK61" s="466"/>
      <c r="IL61" s="278"/>
      <c r="IM61" s="283"/>
      <c r="IN61" s="281"/>
      <c r="IO61" s="281"/>
      <c r="IP61" s="275"/>
      <c r="IQ61" s="276"/>
      <c r="IR61" s="275"/>
      <c r="IS61" s="276"/>
      <c r="IT61" s="299"/>
      <c r="IU61" s="299"/>
      <c r="IV61" s="299"/>
      <c r="IW61" s="299"/>
      <c r="IX61" s="268"/>
      <c r="IY61" s="268"/>
      <c r="IZ61" s="268"/>
      <c r="JA61" s="268"/>
      <c r="JB61" s="268"/>
      <c r="JC61" s="268"/>
      <c r="JD61" s="280" t="e">
        <f>$JD$1*HZ61</f>
        <v>#VALUE!</v>
      </c>
      <c r="JE61" s="118"/>
      <c r="JF61" s="278"/>
      <c r="JG61" s="118"/>
      <c r="JH61" s="118"/>
      <c r="JI61" s="278"/>
    </row>
    <row r="62" spans="1:269" ht="15" customHeight="1">
      <c r="A62" s="456" t="s">
        <v>447</v>
      </c>
      <c r="B62" s="50" t="s">
        <v>35</v>
      </c>
      <c r="C62" s="50" t="s">
        <v>110</v>
      </c>
      <c r="D62" s="50">
        <v>2017</v>
      </c>
      <c r="E62" s="50"/>
      <c r="F62" s="50" t="s">
        <v>441</v>
      </c>
      <c r="G62" s="50" t="s">
        <v>663</v>
      </c>
      <c r="H62" s="50" t="s">
        <v>172</v>
      </c>
      <c r="I62" s="50"/>
      <c r="J62" s="50" t="s">
        <v>448</v>
      </c>
      <c r="K62" s="256" t="s">
        <v>506</v>
      </c>
      <c r="L62" s="166"/>
      <c r="M62" s="167"/>
      <c r="N62" s="168"/>
      <c r="O62" s="233"/>
      <c r="P62" s="233"/>
      <c r="Q62" s="233"/>
      <c r="R62" s="233"/>
      <c r="S62" s="233"/>
      <c r="T62" s="613"/>
      <c r="U62" s="613"/>
      <c r="V62" s="613"/>
      <c r="W62" s="233"/>
      <c r="X62" s="208"/>
      <c r="Y62" s="216" t="e">
        <f t="shared" si="78"/>
        <v>#DIV/0!</v>
      </c>
      <c r="Z62" s="208"/>
      <c r="AA62" s="208"/>
      <c r="AB62" s="209"/>
      <c r="AC62" s="50" t="s">
        <v>440</v>
      </c>
      <c r="AD62" s="318">
        <f t="shared" si="81"/>
        <v>74</v>
      </c>
      <c r="AE62" s="61"/>
      <c r="AF62" s="115"/>
      <c r="AG62" s="115"/>
      <c r="AH62" s="193">
        <v>74</v>
      </c>
      <c r="AI62" s="268"/>
      <c r="AJ62" s="54"/>
      <c r="AK62" s="54"/>
      <c r="AL62" s="89"/>
      <c r="AM62" s="7"/>
      <c r="AN62" s="75"/>
      <c r="AO62" s="75"/>
      <c r="AP62" s="75"/>
      <c r="AQ62" s="75"/>
      <c r="AR62" s="75"/>
      <c r="AS62" s="54"/>
      <c r="AT62" s="73"/>
      <c r="AU62" s="75"/>
      <c r="AV62" s="54"/>
      <c r="AW62" s="50"/>
      <c r="AX62" s="50"/>
      <c r="AY62" s="806"/>
      <c r="AZ62" s="50"/>
      <c r="BA62" s="50"/>
      <c r="BB62" s="50"/>
      <c r="BC62" s="110"/>
      <c r="BD62" s="110"/>
      <c r="BE62" s="94"/>
      <c r="BF62" s="204">
        <v>43039</v>
      </c>
      <c r="BG62" s="96"/>
      <c r="BH62" s="96"/>
      <c r="BI62" s="204"/>
      <c r="BJ62" s="96"/>
      <c r="BK62" s="160">
        <v>43081</v>
      </c>
      <c r="BL62" s="202">
        <v>43235</v>
      </c>
      <c r="BM62" s="160">
        <f t="shared" si="159"/>
        <v>43327</v>
      </c>
      <c r="BN62" s="160"/>
      <c r="BO62" s="298">
        <f t="shared" si="135"/>
        <v>43235</v>
      </c>
      <c r="BP62" s="297">
        <f t="shared" si="136"/>
        <v>43966</v>
      </c>
      <c r="BQ62" s="297">
        <f t="shared" si="144"/>
        <v>44331</v>
      </c>
      <c r="BR62" s="297"/>
      <c r="BS62" s="297" t="str">
        <f t="shared" si="151"/>
        <v>non</v>
      </c>
      <c r="BT62" s="686">
        <f t="shared" si="82"/>
        <v>20</v>
      </c>
      <c r="BU62" s="686">
        <f t="shared" si="83"/>
        <v>0</v>
      </c>
      <c r="BV62" s="686">
        <f t="shared" si="84"/>
        <v>0</v>
      </c>
      <c r="BW62" s="160"/>
      <c r="BX62" s="165"/>
      <c r="BY62" s="97"/>
      <c r="BZ62" s="98"/>
      <c r="CA62" s="98"/>
      <c r="CB62" s="98"/>
      <c r="CC62" s="158"/>
      <c r="CD62" s="251"/>
      <c r="CE62" s="251"/>
      <c r="CF62" s="157"/>
      <c r="CG62" s="251"/>
      <c r="CH62" s="251"/>
      <c r="CI62" s="251"/>
      <c r="CJ62" s="408"/>
      <c r="CK62" s="604"/>
      <c r="CL62" s="316">
        <v>42632</v>
      </c>
      <c r="CM62" s="123"/>
      <c r="CN62" s="123"/>
      <c r="CO62" s="529" t="str">
        <f t="shared" si="85"/>
        <v>0</v>
      </c>
      <c r="CP62" s="123">
        <v>42870</v>
      </c>
      <c r="CQ62" s="123">
        <v>42879</v>
      </c>
      <c r="CR62" s="529">
        <f t="shared" si="86"/>
        <v>9</v>
      </c>
      <c r="CS62" s="316">
        <v>42814</v>
      </c>
      <c r="CT62" s="316">
        <v>42851</v>
      </c>
      <c r="CU62" s="529">
        <f t="shared" si="87"/>
        <v>37</v>
      </c>
      <c r="CV62" s="123">
        <v>42874</v>
      </c>
      <c r="CW62" s="123">
        <v>42935</v>
      </c>
      <c r="CX62" s="529">
        <f t="shared" si="88"/>
        <v>61</v>
      </c>
      <c r="CY62" s="123">
        <v>42936</v>
      </c>
      <c r="CZ62" s="123">
        <v>42935</v>
      </c>
      <c r="DA62" s="529">
        <f t="shared" si="89"/>
        <v>-1</v>
      </c>
      <c r="DB62" s="457"/>
      <c r="DC62" s="555">
        <v>43249</v>
      </c>
      <c r="DD62" s="543">
        <v>43074</v>
      </c>
      <c r="DE62" s="539">
        <f t="shared" ca="1" si="155"/>
        <v>43332</v>
      </c>
      <c r="DF62" s="535">
        <f t="shared" ca="1" si="90"/>
        <v>258</v>
      </c>
      <c r="DG62" s="543">
        <v>43081</v>
      </c>
      <c r="DH62" s="703">
        <v>43318</v>
      </c>
      <c r="DI62" s="348"/>
      <c r="DJ62" s="446">
        <f t="shared" si="91"/>
        <v>9.3000000000000007</v>
      </c>
      <c r="DK62" s="535">
        <f t="shared" si="92"/>
        <v>237</v>
      </c>
      <c r="DL62" s="704">
        <v>12</v>
      </c>
      <c r="DM62" s="243">
        <f t="shared" si="93"/>
        <v>12</v>
      </c>
      <c r="DN62" s="533"/>
      <c r="DO62" s="539">
        <f t="shared" ca="1" si="156"/>
        <v>43332</v>
      </c>
      <c r="DP62" s="535" t="str">
        <f t="shared" ca="1" si="94"/>
        <v>0</v>
      </c>
      <c r="DQ62" s="533"/>
      <c r="DR62" s="557">
        <f t="shared" ca="1" si="157"/>
        <v>43332</v>
      </c>
      <c r="DS62" s="536" t="str">
        <f t="shared" ca="1" si="95"/>
        <v>0</v>
      </c>
      <c r="DT62" s="539"/>
      <c r="DU62" s="539">
        <f t="shared" ca="1" si="140"/>
        <v>43332</v>
      </c>
      <c r="DV62" s="535" t="str">
        <f t="shared" ca="1" si="96"/>
        <v>0</v>
      </c>
      <c r="DW62" s="539"/>
      <c r="DX62" s="539">
        <f t="shared" ca="1" si="141"/>
        <v>43332</v>
      </c>
      <c r="DY62" s="535" t="str">
        <f t="shared" ca="1" si="97"/>
        <v>0</v>
      </c>
      <c r="DZ62" s="539"/>
      <c r="EA62" s="539">
        <f t="shared" ca="1" si="160"/>
        <v>43332</v>
      </c>
      <c r="EB62" s="535" t="str">
        <f t="shared" ca="1" si="98"/>
        <v>0</v>
      </c>
      <c r="EC62" s="539"/>
      <c r="ED62" s="539">
        <f t="shared" ca="1" si="152"/>
        <v>43332</v>
      </c>
      <c r="EE62" s="535" t="str">
        <f t="shared" ca="1" si="99"/>
        <v>0</v>
      </c>
      <c r="EF62" s="539"/>
      <c r="EG62" s="539">
        <f t="shared" ca="1" si="131"/>
        <v>43332</v>
      </c>
      <c r="EH62" s="535" t="str">
        <f t="shared" ca="1" si="100"/>
        <v>0</v>
      </c>
      <c r="EI62" s="539"/>
      <c r="EJ62" s="539"/>
      <c r="EK62" s="539"/>
      <c r="EL62" s="625">
        <f t="shared" si="101"/>
        <v>43683</v>
      </c>
      <c r="EM62" s="404">
        <f t="shared" si="153"/>
        <v>43683</v>
      </c>
      <c r="EN62" s="756">
        <f t="shared" si="102"/>
        <v>0</v>
      </c>
      <c r="EO62" s="580">
        <f t="shared" si="128"/>
        <v>731</v>
      </c>
      <c r="EP62" s="244"/>
      <c r="EQ62" s="244"/>
      <c r="ER62" s="121">
        <f>DATE(YEAR(EM62),MONTH(EM62)+1,DAY(EM62))</f>
        <v>43714</v>
      </c>
      <c r="ES62" s="580"/>
      <c r="ET62" s="578">
        <f t="shared" si="103"/>
        <v>43714</v>
      </c>
      <c r="EU62" s="455">
        <f t="shared" si="158"/>
        <v>43714</v>
      </c>
      <c r="EV62" s="581"/>
      <c r="EW62" s="753">
        <f t="shared" si="146"/>
        <v>0</v>
      </c>
      <c r="EX62" s="722"/>
      <c r="EY62" s="247">
        <f t="shared" si="105"/>
        <v>0</v>
      </c>
      <c r="EZ62" s="118"/>
      <c r="FA62" s="562">
        <v>0</v>
      </c>
      <c r="FB62" s="562">
        <v>0</v>
      </c>
      <c r="FC62" s="562"/>
      <c r="FD62" s="562"/>
      <c r="FE62" s="562"/>
      <c r="FF62" s="787" t="e">
        <f t="shared" si="154"/>
        <v>#DIV/0!</v>
      </c>
      <c r="FG62" s="559"/>
      <c r="FH62" s="571"/>
      <c r="FI62" s="662" t="s">
        <v>765</v>
      </c>
      <c r="FJ62" s="663"/>
      <c r="FK62" s="122"/>
      <c r="FL62" s="122"/>
      <c r="FM62" s="122"/>
      <c r="FN62" s="122"/>
      <c r="FO62" s="122"/>
      <c r="FP62" s="50"/>
      <c r="FQ62" s="279">
        <f t="shared" ref="FQ62:FQ93" si="162">DATE(YEAR(EM62)+1,MONTH(EM62),DAY(EM62))</f>
        <v>44049</v>
      </c>
      <c r="FR62" s="279"/>
      <c r="FS62" s="50"/>
      <c r="FT62" s="50"/>
      <c r="FU62" s="50"/>
      <c r="FV62" s="50"/>
      <c r="FW62" s="50"/>
      <c r="FX62" s="50"/>
      <c r="FY62" s="50"/>
      <c r="FZ62" s="50"/>
      <c r="GA62" s="50"/>
      <c r="GB62" s="50"/>
      <c r="GC62" s="50"/>
      <c r="GD62" s="50"/>
      <c r="GE62" s="50"/>
      <c r="GF62" s="113"/>
      <c r="GG62" s="113"/>
      <c r="GH62" s="390">
        <f>+GR62+GW62+HD62+HX62+HI62+HH62</f>
        <v>0</v>
      </c>
      <c r="GI62" s="390">
        <f>GS62+GX62+HC62+HE62+HI62</f>
        <v>0</v>
      </c>
      <c r="GJ62" s="390"/>
      <c r="GK62" s="390"/>
      <c r="GL62" s="390"/>
      <c r="GM62" s="390"/>
      <c r="GN62" s="390"/>
      <c r="GO62" s="391"/>
      <c r="GP62" s="107"/>
      <c r="GQ62" s="107"/>
      <c r="GR62" s="779"/>
      <c r="GS62" s="689"/>
      <c r="GT62" s="745"/>
      <c r="GU62" s="391">
        <f>GR62/AD62</f>
        <v>0</v>
      </c>
      <c r="GV62" s="391">
        <f t="shared" si="147"/>
        <v>0</v>
      </c>
      <c r="GW62" s="781"/>
      <c r="GX62" s="390"/>
      <c r="GY62" s="390"/>
      <c r="GZ62" s="390"/>
      <c r="HA62" s="391"/>
      <c r="HB62" s="805">
        <f>GW62/AD62</f>
        <v>0</v>
      </c>
      <c r="HC62" s="390"/>
      <c r="HD62" s="390"/>
      <c r="HE62" s="390"/>
      <c r="HF62" s="390"/>
      <c r="HG62" s="392" t="e">
        <f t="shared" si="111"/>
        <v>#DIV/0!</v>
      </c>
      <c r="HH62" s="390"/>
      <c r="HI62" s="390"/>
      <c r="HJ62" s="391">
        <f t="shared" si="148"/>
        <v>0</v>
      </c>
      <c r="HK62" s="391">
        <f t="shared" si="112"/>
        <v>0</v>
      </c>
      <c r="HL62" s="393">
        <f t="shared" si="113"/>
        <v>0</v>
      </c>
      <c r="HM62" s="391">
        <f t="shared" si="133"/>
        <v>0</v>
      </c>
      <c r="HN62" s="394"/>
      <c r="HO62" s="394"/>
      <c r="HP62" s="390"/>
      <c r="HQ62" s="390"/>
      <c r="HR62" s="391">
        <f t="shared" si="142"/>
        <v>0</v>
      </c>
      <c r="HS62" s="390"/>
      <c r="HT62" s="391">
        <f>(GS62+HD62+HQ62+HS62)/AD62</f>
        <v>0</v>
      </c>
      <c r="HU62" s="107" t="e">
        <f t="shared" si="143"/>
        <v>#DIV/0!</v>
      </c>
      <c r="HV62" s="390"/>
      <c r="HW62" s="390"/>
      <c r="HX62" s="390">
        <f t="shared" si="161"/>
        <v>0</v>
      </c>
      <c r="HY62" s="397">
        <f t="shared" si="145"/>
        <v>0</v>
      </c>
      <c r="HZ62" s="276"/>
      <c r="IA62" s="276">
        <f t="shared" si="150"/>
        <v>0</v>
      </c>
      <c r="IB62" s="277"/>
      <c r="IC62" s="280">
        <v>0</v>
      </c>
      <c r="ID62" s="280"/>
      <c r="IE62" s="241"/>
      <c r="IF62" s="241"/>
      <c r="IG62" s="327">
        <v>0</v>
      </c>
      <c r="IH62" s="241"/>
      <c r="II62" s="332">
        <v>0</v>
      </c>
      <c r="IJ62" s="241"/>
      <c r="IK62" s="466"/>
      <c r="IL62" s="278"/>
      <c r="IM62" s="283"/>
      <c r="IN62" s="281"/>
      <c r="IO62" s="281"/>
      <c r="IP62" s="275"/>
      <c r="IQ62" s="276"/>
      <c r="IR62" s="275"/>
      <c r="IS62" s="276"/>
      <c r="IT62" s="299"/>
      <c r="IU62" s="299"/>
      <c r="IV62" s="299"/>
      <c r="IW62" s="299"/>
      <c r="IX62" s="268"/>
      <c r="IY62" s="268"/>
      <c r="IZ62" s="268"/>
      <c r="JA62" s="268"/>
      <c r="JB62" s="268"/>
      <c r="JC62" s="268"/>
      <c r="JD62" s="280" t="e">
        <f>$JD$1*HZ62</f>
        <v>#VALUE!</v>
      </c>
      <c r="JE62" s="118"/>
      <c r="JF62" s="278"/>
      <c r="JG62" s="118"/>
      <c r="JH62" s="118"/>
      <c r="JI62" s="278"/>
    </row>
    <row r="63" spans="1:269" ht="15" customHeight="1">
      <c r="A63" s="456" t="s">
        <v>443</v>
      </c>
      <c r="B63" s="50" t="s">
        <v>28</v>
      </c>
      <c r="C63" s="50" t="s">
        <v>110</v>
      </c>
      <c r="D63" s="50">
        <v>2017</v>
      </c>
      <c r="E63" s="50"/>
      <c r="F63" s="50" t="s">
        <v>441</v>
      </c>
      <c r="G63" s="50" t="s">
        <v>177</v>
      </c>
      <c r="H63" s="50" t="s">
        <v>172</v>
      </c>
      <c r="I63" s="50"/>
      <c r="J63" s="50" t="s">
        <v>444</v>
      </c>
      <c r="K63" s="256" t="s">
        <v>504</v>
      </c>
      <c r="L63" s="166" t="s">
        <v>61</v>
      </c>
      <c r="M63" s="167" t="s">
        <v>474</v>
      </c>
      <c r="N63" s="168">
        <v>34851</v>
      </c>
      <c r="O63" s="233"/>
      <c r="P63" s="233"/>
      <c r="Q63" s="233"/>
      <c r="R63" s="233"/>
      <c r="S63" s="233"/>
      <c r="T63" s="613"/>
      <c r="U63" s="613"/>
      <c r="V63" s="613"/>
      <c r="W63" s="233"/>
      <c r="X63" s="208"/>
      <c r="Y63" s="216" t="e">
        <f t="shared" si="78"/>
        <v>#DIV/0!</v>
      </c>
      <c r="Z63" s="208"/>
      <c r="AA63" s="208"/>
      <c r="AB63" s="209"/>
      <c r="AC63" s="50" t="s">
        <v>440</v>
      </c>
      <c r="AD63" s="318">
        <f t="shared" si="81"/>
        <v>10</v>
      </c>
      <c r="AE63" s="61"/>
      <c r="AF63" s="115"/>
      <c r="AG63" s="115"/>
      <c r="AH63" s="193">
        <v>10</v>
      </c>
      <c r="AI63" s="268"/>
      <c r="AJ63" s="54"/>
      <c r="AK63" s="54"/>
      <c r="AL63" s="227"/>
      <c r="AM63" s="7"/>
      <c r="AN63" s="75"/>
      <c r="AO63" s="75"/>
      <c r="AP63" s="75"/>
      <c r="AQ63" s="75"/>
      <c r="AR63" s="75"/>
      <c r="AS63" s="54"/>
      <c r="AT63" s="73"/>
      <c r="AU63" s="75"/>
      <c r="AV63" s="54"/>
      <c r="AW63" s="50"/>
      <c r="AX63" s="50"/>
      <c r="AY63" s="806"/>
      <c r="AZ63" s="50"/>
      <c r="BA63" s="50"/>
      <c r="BB63" s="50"/>
      <c r="BC63" s="110"/>
      <c r="BD63" s="110"/>
      <c r="BE63" s="94"/>
      <c r="BF63" s="204">
        <v>43005</v>
      </c>
      <c r="BG63" s="96"/>
      <c r="BH63" s="96"/>
      <c r="BI63" s="204"/>
      <c r="BJ63" s="96"/>
      <c r="BK63" s="160">
        <v>43081</v>
      </c>
      <c r="BL63" s="202">
        <v>43235</v>
      </c>
      <c r="BM63" s="160">
        <f t="shared" si="159"/>
        <v>43327</v>
      </c>
      <c r="BN63" s="160"/>
      <c r="BO63" s="298">
        <f t="shared" si="135"/>
        <v>43235</v>
      </c>
      <c r="BP63" s="297">
        <f t="shared" si="136"/>
        <v>43966</v>
      </c>
      <c r="BQ63" s="297">
        <f t="shared" si="144"/>
        <v>44331</v>
      </c>
      <c r="BR63" s="297"/>
      <c r="BS63" s="297" t="str">
        <f t="shared" si="151"/>
        <v>non</v>
      </c>
      <c r="BT63" s="686">
        <f t="shared" si="82"/>
        <v>20</v>
      </c>
      <c r="BU63" s="686">
        <f t="shared" si="83"/>
        <v>0</v>
      </c>
      <c r="BV63" s="686">
        <f t="shared" si="84"/>
        <v>0</v>
      </c>
      <c r="BW63" s="160"/>
      <c r="BX63" s="163"/>
      <c r="BY63" s="97"/>
      <c r="BZ63" s="98"/>
      <c r="CA63" s="98"/>
      <c r="CB63" s="98"/>
      <c r="CC63" s="158"/>
      <c r="CD63" s="162"/>
      <c r="CE63" s="251"/>
      <c r="CF63" s="157"/>
      <c r="CG63" s="162"/>
      <c r="CH63" s="251"/>
      <c r="CI63" s="251"/>
      <c r="CJ63" s="408"/>
      <c r="CK63" s="604"/>
      <c r="CL63" s="316">
        <v>42773</v>
      </c>
      <c r="CM63" s="123"/>
      <c r="CN63" s="123"/>
      <c r="CO63" s="529" t="str">
        <f t="shared" si="85"/>
        <v>0</v>
      </c>
      <c r="CP63" s="123">
        <v>42874</v>
      </c>
      <c r="CQ63" s="123">
        <v>42879</v>
      </c>
      <c r="CR63" s="529">
        <f t="shared" si="86"/>
        <v>5</v>
      </c>
      <c r="CS63" s="316">
        <v>42877</v>
      </c>
      <c r="CT63" s="316">
        <v>42853</v>
      </c>
      <c r="CU63" s="529">
        <f t="shared" si="87"/>
        <v>-24</v>
      </c>
      <c r="CV63" s="549">
        <v>42879</v>
      </c>
      <c r="CW63" s="546">
        <f ca="1">IF(CV63&lt;TODAY(),TODAY(),CV63)</f>
        <v>43332</v>
      </c>
      <c r="CX63" s="551">
        <f t="shared" ca="1" si="88"/>
        <v>453</v>
      </c>
      <c r="CY63" s="549">
        <v>42962</v>
      </c>
      <c r="CZ63" s="549">
        <f ca="1">IF(CY63&lt;TODAY(),TODAY(),CY63)</f>
        <v>43332</v>
      </c>
      <c r="DA63" s="551">
        <f t="shared" ca="1" si="89"/>
        <v>370</v>
      </c>
      <c r="DB63" s="457"/>
      <c r="DC63" s="555">
        <v>43249</v>
      </c>
      <c r="DD63" s="543">
        <v>43045</v>
      </c>
      <c r="DE63" s="539">
        <f t="shared" ca="1" si="155"/>
        <v>43332</v>
      </c>
      <c r="DF63" s="535">
        <f t="shared" ca="1" si="90"/>
        <v>287</v>
      </c>
      <c r="DG63" s="543">
        <v>43049</v>
      </c>
      <c r="DH63" s="703">
        <v>43344</v>
      </c>
      <c r="DI63" s="348"/>
      <c r="DJ63" s="446">
        <f t="shared" si="91"/>
        <v>11.3</v>
      </c>
      <c r="DK63" s="535">
        <f t="shared" si="92"/>
        <v>295</v>
      </c>
      <c r="DL63" s="704">
        <v>12</v>
      </c>
      <c r="DM63" s="243">
        <f t="shared" si="93"/>
        <v>12</v>
      </c>
      <c r="DN63" s="533"/>
      <c r="DO63" s="539">
        <f t="shared" ca="1" si="156"/>
        <v>43332</v>
      </c>
      <c r="DP63" s="535" t="str">
        <f t="shared" ca="1" si="94"/>
        <v>0</v>
      </c>
      <c r="DQ63" s="533"/>
      <c r="DR63" s="557">
        <f t="shared" ca="1" si="157"/>
        <v>43332</v>
      </c>
      <c r="DS63" s="536" t="str">
        <f t="shared" ca="1" si="95"/>
        <v>0</v>
      </c>
      <c r="DT63" s="539"/>
      <c r="DU63" s="539">
        <f t="shared" ca="1" si="140"/>
        <v>43332</v>
      </c>
      <c r="DV63" s="535" t="str">
        <f t="shared" ca="1" si="96"/>
        <v>0</v>
      </c>
      <c r="DW63" s="533"/>
      <c r="DX63" s="539">
        <f t="shared" ca="1" si="141"/>
        <v>43332</v>
      </c>
      <c r="DY63" s="535" t="str">
        <f t="shared" ca="1" si="97"/>
        <v>0</v>
      </c>
      <c r="DZ63" s="539"/>
      <c r="EA63" s="539">
        <f t="shared" ca="1" si="160"/>
        <v>43332</v>
      </c>
      <c r="EB63" s="535" t="str">
        <f t="shared" ca="1" si="98"/>
        <v>0</v>
      </c>
      <c r="EC63" s="539"/>
      <c r="ED63" s="539">
        <f t="shared" ca="1" si="152"/>
        <v>43332</v>
      </c>
      <c r="EE63" s="535" t="str">
        <f t="shared" ca="1" si="99"/>
        <v>0</v>
      </c>
      <c r="EF63" s="539"/>
      <c r="EG63" s="539">
        <f t="shared" ca="1" si="131"/>
        <v>43332</v>
      </c>
      <c r="EH63" s="535" t="str">
        <f t="shared" ca="1" si="100"/>
        <v>0</v>
      </c>
      <c r="EI63" s="539"/>
      <c r="EJ63" s="539"/>
      <c r="EK63" s="539"/>
      <c r="EL63" s="625">
        <f t="shared" si="101"/>
        <v>43709</v>
      </c>
      <c r="EM63" s="404">
        <f t="shared" si="153"/>
        <v>43709</v>
      </c>
      <c r="EN63" s="756">
        <f t="shared" si="102"/>
        <v>0</v>
      </c>
      <c r="EO63" s="580">
        <f t="shared" si="128"/>
        <v>731</v>
      </c>
      <c r="EP63" s="244"/>
      <c r="EQ63" s="244"/>
      <c r="ER63" s="121">
        <f>DATE(YEAR(EM63),MONTH(EM63),DAY(EM63))</f>
        <v>43709</v>
      </c>
      <c r="ES63" s="580"/>
      <c r="ET63" s="578">
        <f t="shared" si="103"/>
        <v>43739</v>
      </c>
      <c r="EU63" s="455">
        <f t="shared" si="158"/>
        <v>43709</v>
      </c>
      <c r="EV63" s="581"/>
      <c r="EW63" s="753">
        <f>(DATEDIF(EU63,ET63,"d"))/30</f>
        <v>1</v>
      </c>
      <c r="EX63" s="722"/>
      <c r="EY63" s="247">
        <f t="shared" si="105"/>
        <v>0</v>
      </c>
      <c r="EZ63" s="118"/>
      <c r="FA63" s="562">
        <v>0</v>
      </c>
      <c r="FB63" s="562">
        <v>0</v>
      </c>
      <c r="FC63" s="562"/>
      <c r="FD63" s="562"/>
      <c r="FE63" s="562"/>
      <c r="FF63" s="787" t="e">
        <f t="shared" si="154"/>
        <v>#DIV/0!</v>
      </c>
      <c r="FG63" s="559"/>
      <c r="FH63" s="571"/>
      <c r="FI63" s="662" t="s">
        <v>765</v>
      </c>
      <c r="FJ63" s="663" t="s">
        <v>732</v>
      </c>
      <c r="FK63" s="122"/>
      <c r="FL63" s="122"/>
      <c r="FM63" s="122"/>
      <c r="FN63" s="122"/>
      <c r="FO63" s="122"/>
      <c r="FP63" s="50"/>
      <c r="FQ63" s="279">
        <f t="shared" si="162"/>
        <v>44075</v>
      </c>
      <c r="FR63" s="279"/>
      <c r="FS63" s="50"/>
      <c r="FT63" s="50"/>
      <c r="FU63" s="50"/>
      <c r="FV63" s="50"/>
      <c r="FW63" s="50"/>
      <c r="FX63" s="50"/>
      <c r="FY63" s="50"/>
      <c r="FZ63" s="50"/>
      <c r="GA63" s="50"/>
      <c r="GB63" s="50"/>
      <c r="GC63" s="50"/>
      <c r="GD63" s="50"/>
      <c r="GE63" s="50"/>
      <c r="GF63" s="113"/>
      <c r="GG63" s="113"/>
      <c r="GH63" s="390">
        <f>+GR63+GW63+HD63+HX63+HI63+HH63</f>
        <v>0</v>
      </c>
      <c r="GI63" s="390">
        <f>GS63+GX63+HC63+HE63+HI63</f>
        <v>0</v>
      </c>
      <c r="GJ63" s="391"/>
      <c r="GK63" s="390"/>
      <c r="GL63" s="390"/>
      <c r="GM63" s="390"/>
      <c r="GN63" s="390"/>
      <c r="GO63" s="391"/>
      <c r="GP63" s="107"/>
      <c r="GQ63" s="107"/>
      <c r="GR63" s="779"/>
      <c r="GS63" s="689"/>
      <c r="GT63" s="745"/>
      <c r="GU63" s="391">
        <f>GR63/AD63</f>
        <v>0</v>
      </c>
      <c r="GV63" s="390">
        <f t="shared" si="147"/>
        <v>0</v>
      </c>
      <c r="GW63" s="781"/>
      <c r="GX63" s="390"/>
      <c r="GY63" s="390"/>
      <c r="GZ63" s="390"/>
      <c r="HA63" s="391"/>
      <c r="HB63" s="805">
        <f>GW63/AD63</f>
        <v>0</v>
      </c>
      <c r="HC63" s="390"/>
      <c r="HD63" s="390"/>
      <c r="HE63" s="391"/>
      <c r="HF63" s="390"/>
      <c r="HG63" s="392" t="e">
        <f t="shared" si="111"/>
        <v>#DIV/0!</v>
      </c>
      <c r="HH63" s="390"/>
      <c r="HI63" s="390"/>
      <c r="HJ63" s="391">
        <f t="shared" si="148"/>
        <v>0</v>
      </c>
      <c r="HK63" s="391">
        <f t="shared" si="112"/>
        <v>0</v>
      </c>
      <c r="HL63" s="393">
        <f t="shared" si="113"/>
        <v>0</v>
      </c>
      <c r="HM63" s="391">
        <f t="shared" si="133"/>
        <v>0</v>
      </c>
      <c r="HN63" s="394"/>
      <c r="HO63" s="394"/>
      <c r="HP63" s="390"/>
      <c r="HQ63" s="390"/>
      <c r="HR63" s="391">
        <f t="shared" si="142"/>
        <v>0</v>
      </c>
      <c r="HS63" s="390"/>
      <c r="HT63" s="391">
        <f>(GS63+HD63+HQ63+HS63)/AD63</f>
        <v>0</v>
      </c>
      <c r="HU63" s="107" t="e">
        <f t="shared" si="143"/>
        <v>#DIV/0!</v>
      </c>
      <c r="HV63" s="390"/>
      <c r="HW63" s="390"/>
      <c r="HX63" s="390">
        <f t="shared" si="161"/>
        <v>0</v>
      </c>
      <c r="HY63" s="395">
        <f t="shared" si="145"/>
        <v>0</v>
      </c>
      <c r="HZ63" s="276"/>
      <c r="IA63" s="276">
        <f t="shared" si="150"/>
        <v>0</v>
      </c>
      <c r="IB63" s="277"/>
      <c r="IC63" s="280">
        <v>0</v>
      </c>
      <c r="ID63" s="280"/>
      <c r="IE63" s="254"/>
      <c r="IF63" s="254"/>
      <c r="IG63" s="388">
        <v>0</v>
      </c>
      <c r="IH63" s="262"/>
      <c r="II63" s="273">
        <v>0</v>
      </c>
      <c r="IJ63" s="262"/>
      <c r="IK63" s="466"/>
      <c r="IL63" s="278"/>
      <c r="IM63" s="283"/>
      <c r="IN63" s="281"/>
      <c r="IO63" s="281"/>
      <c r="IP63" s="275"/>
      <c r="IQ63" s="280"/>
      <c r="IR63" s="275"/>
      <c r="IS63" s="280"/>
      <c r="IT63" s="299"/>
      <c r="IU63" s="299"/>
      <c r="IV63" s="299"/>
      <c r="IW63" s="299"/>
      <c r="IX63" s="268"/>
      <c r="IY63" s="268"/>
      <c r="IZ63" s="268"/>
      <c r="JA63" s="268"/>
      <c r="JB63" s="268"/>
      <c r="JC63" s="268"/>
      <c r="JD63" s="280" t="e">
        <f>$JD$1*HZ63</f>
        <v>#VALUE!</v>
      </c>
      <c r="JE63" s="118"/>
      <c r="JF63" s="278"/>
      <c r="JG63" s="118"/>
      <c r="JH63" s="118"/>
      <c r="JI63" s="278"/>
    </row>
    <row r="64" spans="1:269" ht="15" customHeight="1">
      <c r="A64" s="456" t="s">
        <v>445</v>
      </c>
      <c r="B64" s="50" t="s">
        <v>46</v>
      </c>
      <c r="C64" s="50" t="s">
        <v>110</v>
      </c>
      <c r="D64" s="50">
        <v>2017</v>
      </c>
      <c r="E64" s="50"/>
      <c r="F64" s="50" t="s">
        <v>441</v>
      </c>
      <c r="G64" s="401" t="s">
        <v>177</v>
      </c>
      <c r="H64" s="50" t="s">
        <v>172</v>
      </c>
      <c r="I64" s="50"/>
      <c r="J64" s="50" t="s">
        <v>446</v>
      </c>
      <c r="K64" s="256" t="s">
        <v>505</v>
      </c>
      <c r="L64" s="166" t="s">
        <v>61</v>
      </c>
      <c r="M64" s="167" t="s">
        <v>481</v>
      </c>
      <c r="N64" s="168">
        <v>35049</v>
      </c>
      <c r="O64" s="233"/>
      <c r="P64" s="233"/>
      <c r="Q64" s="233"/>
      <c r="R64" s="233"/>
      <c r="S64" s="233"/>
      <c r="T64" s="613"/>
      <c r="U64" s="613"/>
      <c r="V64" s="613"/>
      <c r="W64" s="233"/>
      <c r="X64" s="208"/>
      <c r="Y64" s="216" t="e">
        <f t="shared" si="78"/>
        <v>#DIV/0!</v>
      </c>
      <c r="Z64" s="208"/>
      <c r="AA64" s="208"/>
      <c r="AB64" s="209"/>
      <c r="AC64" s="50" t="s">
        <v>440</v>
      </c>
      <c r="AD64" s="318">
        <f t="shared" si="81"/>
        <v>6</v>
      </c>
      <c r="AE64" s="61"/>
      <c r="AF64" s="115"/>
      <c r="AG64" s="115"/>
      <c r="AH64" s="193">
        <v>6</v>
      </c>
      <c r="AI64" s="268"/>
      <c r="AJ64" s="54"/>
      <c r="AK64" s="54"/>
      <c r="AL64" s="89"/>
      <c r="AM64" s="54"/>
      <c r="AN64" s="75"/>
      <c r="AO64" s="75"/>
      <c r="AP64" s="75"/>
      <c r="AQ64" s="75"/>
      <c r="AR64" s="75"/>
      <c r="AS64" s="54"/>
      <c r="AT64" s="73"/>
      <c r="AU64" s="75"/>
      <c r="AV64" s="54"/>
      <c r="AW64" s="50"/>
      <c r="AX64" s="50"/>
      <c r="AY64" s="806"/>
      <c r="AZ64" s="50"/>
      <c r="BA64" s="50"/>
      <c r="BB64" s="50"/>
      <c r="BC64" s="110"/>
      <c r="BD64" s="110"/>
      <c r="BE64" s="94"/>
      <c r="BF64" s="204">
        <v>43005</v>
      </c>
      <c r="BG64" s="96"/>
      <c r="BH64" s="96"/>
      <c r="BI64" s="204"/>
      <c r="BJ64" s="96"/>
      <c r="BK64" s="160">
        <v>43081</v>
      </c>
      <c r="BL64" s="202">
        <v>43234</v>
      </c>
      <c r="BM64" s="160">
        <f t="shared" si="159"/>
        <v>43326</v>
      </c>
      <c r="BN64" s="160"/>
      <c r="BO64" s="298">
        <f t="shared" si="135"/>
        <v>43234</v>
      </c>
      <c r="BP64" s="297">
        <f t="shared" si="136"/>
        <v>43965</v>
      </c>
      <c r="BQ64" s="297">
        <f t="shared" si="144"/>
        <v>44330</v>
      </c>
      <c r="BR64" s="297"/>
      <c r="BS64" s="297" t="str">
        <f t="shared" si="151"/>
        <v>non</v>
      </c>
      <c r="BT64" s="686">
        <f t="shared" si="82"/>
        <v>19</v>
      </c>
      <c r="BU64" s="686">
        <f t="shared" si="83"/>
        <v>0</v>
      </c>
      <c r="BV64" s="686">
        <f t="shared" si="84"/>
        <v>0</v>
      </c>
      <c r="BW64" s="160"/>
      <c r="BX64" s="165"/>
      <c r="BY64" s="97"/>
      <c r="BZ64" s="98"/>
      <c r="CA64" s="98"/>
      <c r="CB64" s="98"/>
      <c r="CC64" s="158"/>
      <c r="CD64" s="251"/>
      <c r="CE64" s="251"/>
      <c r="CF64" s="157"/>
      <c r="CG64" s="251"/>
      <c r="CH64" s="251"/>
      <c r="CI64" s="251"/>
      <c r="CJ64" s="408"/>
      <c r="CK64" s="604"/>
      <c r="CL64" s="316">
        <v>42649</v>
      </c>
      <c r="CM64" s="123"/>
      <c r="CN64" s="123"/>
      <c r="CO64" s="529" t="str">
        <f t="shared" si="85"/>
        <v>0</v>
      </c>
      <c r="CP64" s="123">
        <v>42901</v>
      </c>
      <c r="CQ64" s="123">
        <v>42884</v>
      </c>
      <c r="CR64" s="529">
        <f t="shared" si="86"/>
        <v>-17</v>
      </c>
      <c r="CS64" s="316">
        <v>42814</v>
      </c>
      <c r="CT64" s="316">
        <v>42881</v>
      </c>
      <c r="CU64" s="529">
        <f t="shared" si="87"/>
        <v>67</v>
      </c>
      <c r="CV64" s="549">
        <v>42972</v>
      </c>
      <c r="CW64" s="546">
        <f ca="1">IF(CV64&lt;TODAY(),TODAY(),CV64)</f>
        <v>43332</v>
      </c>
      <c r="CX64" s="551">
        <f t="shared" ca="1" si="88"/>
        <v>360</v>
      </c>
      <c r="CY64" s="549">
        <v>42972</v>
      </c>
      <c r="CZ64" s="549">
        <f ca="1">IF(CY64&lt;TODAY(),TODAY(),CY64)</f>
        <v>43332</v>
      </c>
      <c r="DA64" s="551">
        <f t="shared" ca="1" si="89"/>
        <v>360</v>
      </c>
      <c r="DB64" s="457"/>
      <c r="DC64" s="546">
        <v>43296</v>
      </c>
      <c r="DD64" s="543">
        <v>43074</v>
      </c>
      <c r="DE64" s="539">
        <f t="shared" ca="1" si="155"/>
        <v>43332</v>
      </c>
      <c r="DF64" s="535">
        <f t="shared" ca="1" si="90"/>
        <v>258</v>
      </c>
      <c r="DG64" s="543">
        <v>43081</v>
      </c>
      <c r="DH64" s="703">
        <v>43344</v>
      </c>
      <c r="DI64" s="348"/>
      <c r="DJ64" s="446">
        <f t="shared" si="91"/>
        <v>11.3</v>
      </c>
      <c r="DK64" s="535">
        <f t="shared" si="92"/>
        <v>263</v>
      </c>
      <c r="DL64" s="704">
        <v>12</v>
      </c>
      <c r="DM64" s="243">
        <f t="shared" si="93"/>
        <v>12</v>
      </c>
      <c r="DN64" s="533"/>
      <c r="DO64" s="539">
        <f t="shared" ca="1" si="156"/>
        <v>43332</v>
      </c>
      <c r="DP64" s="535" t="str">
        <f t="shared" ca="1" si="94"/>
        <v>0</v>
      </c>
      <c r="DQ64" s="533"/>
      <c r="DR64" s="557">
        <f t="shared" ca="1" si="157"/>
        <v>43332</v>
      </c>
      <c r="DS64" s="536" t="str">
        <f t="shared" ca="1" si="95"/>
        <v>0</v>
      </c>
      <c r="DT64" s="539"/>
      <c r="DU64" s="539">
        <f t="shared" ca="1" si="140"/>
        <v>43332</v>
      </c>
      <c r="DV64" s="535" t="str">
        <f t="shared" ca="1" si="96"/>
        <v>0</v>
      </c>
      <c r="DW64" s="533"/>
      <c r="DX64" s="539">
        <f t="shared" ca="1" si="141"/>
        <v>43332</v>
      </c>
      <c r="DY64" s="535" t="str">
        <f t="shared" ca="1" si="97"/>
        <v>0</v>
      </c>
      <c r="DZ64" s="539"/>
      <c r="EA64" s="539">
        <f t="shared" ca="1" si="160"/>
        <v>43332</v>
      </c>
      <c r="EB64" s="535" t="str">
        <f t="shared" ca="1" si="98"/>
        <v>0</v>
      </c>
      <c r="EC64" s="539"/>
      <c r="ED64" s="539">
        <f t="shared" ca="1" si="152"/>
        <v>43332</v>
      </c>
      <c r="EE64" s="535" t="str">
        <f t="shared" ca="1" si="99"/>
        <v>0</v>
      </c>
      <c r="EF64" s="539"/>
      <c r="EG64" s="539">
        <f t="shared" ca="1" si="131"/>
        <v>43332</v>
      </c>
      <c r="EH64" s="535" t="str">
        <f t="shared" ca="1" si="100"/>
        <v>0</v>
      </c>
      <c r="EI64" s="539"/>
      <c r="EJ64" s="539"/>
      <c r="EK64" s="539"/>
      <c r="EL64" s="625">
        <f t="shared" si="101"/>
        <v>43709</v>
      </c>
      <c r="EM64" s="404">
        <f t="shared" si="153"/>
        <v>43709</v>
      </c>
      <c r="EN64" s="756">
        <f t="shared" si="102"/>
        <v>0</v>
      </c>
      <c r="EO64" s="580">
        <f t="shared" si="128"/>
        <v>731</v>
      </c>
      <c r="EP64" s="244"/>
      <c r="EQ64" s="244"/>
      <c r="ER64" s="121">
        <f>DATE(YEAR(EM64),MONTH(EM64)+1,DAY(EM64))</f>
        <v>43739</v>
      </c>
      <c r="ES64" s="580"/>
      <c r="ET64" s="578">
        <f t="shared" si="103"/>
        <v>43739</v>
      </c>
      <c r="EU64" s="455">
        <f t="shared" si="158"/>
        <v>43739</v>
      </c>
      <c r="EV64" s="581"/>
      <c r="EW64" s="753">
        <f>(DATEDIF(ET64,EU64,"d"))/30</f>
        <v>0</v>
      </c>
      <c r="EX64" s="722"/>
      <c r="EY64" s="247">
        <f t="shared" si="105"/>
        <v>0</v>
      </c>
      <c r="EZ64" s="118"/>
      <c r="FA64" s="562">
        <v>0</v>
      </c>
      <c r="FB64" s="562">
        <v>0</v>
      </c>
      <c r="FC64" s="562"/>
      <c r="FD64" s="562"/>
      <c r="FE64" s="562"/>
      <c r="FF64" s="787" t="e">
        <f t="shared" si="154"/>
        <v>#DIV/0!</v>
      </c>
      <c r="FG64" s="559"/>
      <c r="FH64" s="571"/>
      <c r="FI64" s="571" t="s">
        <v>767</v>
      </c>
      <c r="FJ64" s="559" t="s">
        <v>733</v>
      </c>
      <c r="FK64" s="122"/>
      <c r="FL64" s="122"/>
      <c r="FM64" s="122"/>
      <c r="FN64" s="122"/>
      <c r="FO64" s="122"/>
      <c r="FP64" s="50"/>
      <c r="FQ64" s="279">
        <f t="shared" si="162"/>
        <v>44075</v>
      </c>
      <c r="FR64" s="279"/>
      <c r="FS64" s="50"/>
      <c r="FT64" s="50"/>
      <c r="FU64" s="50"/>
      <c r="FV64" s="50"/>
      <c r="FW64" s="50"/>
      <c r="FX64" s="50"/>
      <c r="FY64" s="50"/>
      <c r="FZ64" s="50"/>
      <c r="GA64" s="50"/>
      <c r="GB64" s="50"/>
      <c r="GC64" s="50"/>
      <c r="GD64" s="50"/>
      <c r="GE64" s="50"/>
      <c r="GF64" s="113"/>
      <c r="GG64" s="113"/>
      <c r="GH64" s="390">
        <f>+GR64+GW64+HD64+HX64+HI64+HH64</f>
        <v>0</v>
      </c>
      <c r="GI64" s="390">
        <f>GS64+GX64+HC64+HE64+HI64</f>
        <v>0</v>
      </c>
      <c r="GJ64" s="390"/>
      <c r="GK64" s="390"/>
      <c r="GL64" s="390"/>
      <c r="GM64" s="390"/>
      <c r="GN64" s="390"/>
      <c r="GO64" s="390"/>
      <c r="GP64" s="107"/>
      <c r="GQ64" s="107"/>
      <c r="GR64" s="779"/>
      <c r="GS64" s="689"/>
      <c r="GT64" s="745"/>
      <c r="GU64" s="390">
        <f>GR64/AD64</f>
        <v>0</v>
      </c>
      <c r="GV64" s="390">
        <f t="shared" si="147"/>
        <v>0</v>
      </c>
      <c r="GW64" s="781"/>
      <c r="GX64" s="390"/>
      <c r="GY64" s="390"/>
      <c r="GZ64" s="390"/>
      <c r="HA64" s="390"/>
      <c r="HB64" s="698">
        <f>GW64/AD64</f>
        <v>0</v>
      </c>
      <c r="HC64" s="390"/>
      <c r="HD64" s="390"/>
      <c r="HE64" s="390"/>
      <c r="HF64" s="390"/>
      <c r="HG64" s="396" t="e">
        <f t="shared" si="111"/>
        <v>#DIV/0!</v>
      </c>
      <c r="HH64" s="390"/>
      <c r="HI64" s="390"/>
      <c r="HJ64" s="390">
        <f t="shared" si="148"/>
        <v>0</v>
      </c>
      <c r="HK64" s="390">
        <f t="shared" si="112"/>
        <v>0</v>
      </c>
      <c r="HL64" s="393">
        <f t="shared" si="113"/>
        <v>0</v>
      </c>
      <c r="HM64" s="390">
        <f t="shared" si="133"/>
        <v>0</v>
      </c>
      <c r="HN64" s="394"/>
      <c r="HO64" s="394"/>
      <c r="HP64" s="390"/>
      <c r="HQ64" s="390"/>
      <c r="HR64" s="390">
        <f t="shared" si="142"/>
        <v>0</v>
      </c>
      <c r="HS64" s="390"/>
      <c r="HT64" s="390">
        <f>(GS64+HD64+HQ64+HS64)/AD64</f>
        <v>0</v>
      </c>
      <c r="HU64" s="107" t="e">
        <f t="shared" si="143"/>
        <v>#DIV/0!</v>
      </c>
      <c r="HV64" s="390"/>
      <c r="HW64" s="390"/>
      <c r="HX64" s="390">
        <f t="shared" si="161"/>
        <v>0</v>
      </c>
      <c r="HY64" s="397">
        <f t="shared" si="145"/>
        <v>0</v>
      </c>
      <c r="HZ64" s="276"/>
      <c r="IA64" s="276">
        <f t="shared" si="150"/>
        <v>0</v>
      </c>
      <c r="IB64" s="277"/>
      <c r="IC64" s="280">
        <v>0</v>
      </c>
      <c r="ID64" s="280"/>
      <c r="IE64" s="267"/>
      <c r="IF64" s="267"/>
      <c r="IG64" s="463">
        <v>0</v>
      </c>
      <c r="IH64" s="267"/>
      <c r="II64" s="273">
        <v>0</v>
      </c>
      <c r="IJ64" s="262"/>
      <c r="IK64" s="466"/>
      <c r="IL64" s="278"/>
      <c r="IM64" s="283"/>
      <c r="IN64" s="281"/>
      <c r="IO64" s="281"/>
      <c r="IP64" s="275"/>
      <c r="IQ64" s="280"/>
      <c r="IR64" s="275"/>
      <c r="IS64" s="280"/>
      <c r="IT64" s="299"/>
      <c r="IU64" s="299"/>
      <c r="IV64" s="299"/>
      <c r="IW64" s="299"/>
      <c r="IX64" s="268"/>
      <c r="IY64" s="268"/>
      <c r="IZ64" s="268"/>
      <c r="JA64" s="268"/>
      <c r="JB64" s="268"/>
      <c r="JC64" s="268"/>
      <c r="JD64" s="280" t="e">
        <f>$JD$1*HZ64</f>
        <v>#VALUE!</v>
      </c>
      <c r="JE64" s="118"/>
      <c r="JF64" s="278"/>
      <c r="JG64" s="118"/>
      <c r="JH64" s="118"/>
      <c r="JI64" s="278"/>
    </row>
    <row r="65" spans="1:269" ht="15" customHeight="1">
      <c r="A65" s="456" t="s">
        <v>451</v>
      </c>
      <c r="B65" s="50" t="s">
        <v>452</v>
      </c>
      <c r="C65" s="50" t="s">
        <v>112</v>
      </c>
      <c r="D65" s="50">
        <v>2017</v>
      </c>
      <c r="E65" s="50"/>
      <c r="F65" s="50" t="s">
        <v>441</v>
      </c>
      <c r="G65" s="50" t="s">
        <v>279</v>
      </c>
      <c r="H65" s="50" t="s">
        <v>172</v>
      </c>
      <c r="I65" s="50"/>
      <c r="J65" s="50" t="s">
        <v>453</v>
      </c>
      <c r="K65" s="256" t="s">
        <v>507</v>
      </c>
      <c r="L65" s="166" t="s">
        <v>61</v>
      </c>
      <c r="M65" s="167" t="s">
        <v>478</v>
      </c>
      <c r="N65" s="168">
        <v>35569</v>
      </c>
      <c r="O65" s="233"/>
      <c r="P65" s="233"/>
      <c r="Q65" s="233"/>
      <c r="R65" s="233"/>
      <c r="S65" s="233"/>
      <c r="T65" s="613"/>
      <c r="U65" s="613"/>
      <c r="V65" s="613"/>
      <c r="W65" s="233"/>
      <c r="X65" s="208"/>
      <c r="Y65" s="216" t="e">
        <f t="shared" si="78"/>
        <v>#DIV/0!</v>
      </c>
      <c r="Z65" s="208"/>
      <c r="AA65" s="208"/>
      <c r="AB65" s="209"/>
      <c r="AC65" s="50" t="s">
        <v>440</v>
      </c>
      <c r="AD65" s="318">
        <f t="shared" si="81"/>
        <v>31</v>
      </c>
      <c r="AE65" s="61"/>
      <c r="AF65" s="115"/>
      <c r="AG65" s="115"/>
      <c r="AH65" s="193">
        <v>31</v>
      </c>
      <c r="AI65" s="268"/>
      <c r="AJ65" s="54"/>
      <c r="AK65" s="54"/>
      <c r="AL65" s="89"/>
      <c r="AM65" s="54"/>
      <c r="AN65" s="75"/>
      <c r="AO65" s="75"/>
      <c r="AP65" s="75"/>
      <c r="AQ65" s="75"/>
      <c r="AR65" s="75"/>
      <c r="AS65" s="54"/>
      <c r="AT65" s="73"/>
      <c r="AU65" s="75"/>
      <c r="AV65" s="54"/>
      <c r="AW65" s="50"/>
      <c r="AX65" s="50"/>
      <c r="AY65" s="806"/>
      <c r="AZ65" s="50"/>
      <c r="BA65" s="50"/>
      <c r="BB65" s="50"/>
      <c r="BC65" s="110"/>
      <c r="BD65" s="110"/>
      <c r="BE65" s="94"/>
      <c r="BF65" s="204">
        <v>43039</v>
      </c>
      <c r="BG65" s="96"/>
      <c r="BH65" s="96"/>
      <c r="BI65" s="204"/>
      <c r="BJ65" s="96"/>
      <c r="BK65" s="160">
        <v>43081</v>
      </c>
      <c r="BL65" s="202">
        <v>43234</v>
      </c>
      <c r="BM65" s="160">
        <f t="shared" si="159"/>
        <v>43326</v>
      </c>
      <c r="BN65" s="160"/>
      <c r="BO65" s="298">
        <f t="shared" si="135"/>
        <v>43234</v>
      </c>
      <c r="BP65" s="297">
        <f t="shared" si="136"/>
        <v>43965</v>
      </c>
      <c r="BQ65" s="297">
        <f t="shared" si="144"/>
        <v>44330</v>
      </c>
      <c r="BR65" s="297"/>
      <c r="BS65" s="297" t="str">
        <f t="shared" si="151"/>
        <v>non</v>
      </c>
      <c r="BT65" s="686">
        <f t="shared" si="82"/>
        <v>20</v>
      </c>
      <c r="BU65" s="686">
        <f t="shared" si="83"/>
        <v>0</v>
      </c>
      <c r="BV65" s="686">
        <f t="shared" si="84"/>
        <v>0</v>
      </c>
      <c r="BW65" s="160"/>
      <c r="BX65" s="165"/>
      <c r="BY65" s="97"/>
      <c r="BZ65" s="98"/>
      <c r="CA65" s="98"/>
      <c r="CB65" s="98"/>
      <c r="CC65" s="158"/>
      <c r="CD65" s="251"/>
      <c r="CE65" s="251"/>
      <c r="CF65" s="157"/>
      <c r="CG65" s="251"/>
      <c r="CH65" s="251"/>
      <c r="CI65" s="251"/>
      <c r="CJ65" s="408"/>
      <c r="CK65" s="604"/>
      <c r="CL65" s="316">
        <v>42632</v>
      </c>
      <c r="CM65" s="123"/>
      <c r="CN65" s="123"/>
      <c r="CO65" s="529" t="str">
        <f t="shared" si="85"/>
        <v>0</v>
      </c>
      <c r="CP65" s="123">
        <v>42914</v>
      </c>
      <c r="CQ65" s="123">
        <v>42884</v>
      </c>
      <c r="CR65" s="529">
        <f t="shared" si="86"/>
        <v>-30</v>
      </c>
      <c r="CS65" s="316">
        <v>42809</v>
      </c>
      <c r="CT65" s="316">
        <v>42893</v>
      </c>
      <c r="CU65" s="529">
        <f t="shared" si="87"/>
        <v>84</v>
      </c>
      <c r="CV65" s="123">
        <v>42972</v>
      </c>
      <c r="CW65" s="316">
        <v>42976</v>
      </c>
      <c r="CX65" s="529">
        <f t="shared" si="88"/>
        <v>4</v>
      </c>
      <c r="CY65" s="123">
        <v>42977</v>
      </c>
      <c r="CZ65" s="123">
        <v>42976</v>
      </c>
      <c r="DA65" s="529">
        <f t="shared" si="89"/>
        <v>-1</v>
      </c>
      <c r="DB65" s="457"/>
      <c r="DC65" s="555">
        <v>43249</v>
      </c>
      <c r="DD65" s="543">
        <v>43077</v>
      </c>
      <c r="DE65" s="539">
        <f t="shared" ca="1" si="155"/>
        <v>43332</v>
      </c>
      <c r="DF65" s="535">
        <f t="shared" ca="1" si="90"/>
        <v>255</v>
      </c>
      <c r="DG65" s="543">
        <v>43090</v>
      </c>
      <c r="DH65" s="703">
        <v>43353</v>
      </c>
      <c r="DI65" s="348"/>
      <c r="DJ65" s="446">
        <f t="shared" si="91"/>
        <v>10.466666666666667</v>
      </c>
      <c r="DK65" s="535">
        <f t="shared" si="92"/>
        <v>263</v>
      </c>
      <c r="DL65" s="704">
        <v>12</v>
      </c>
      <c r="DM65" s="243">
        <f t="shared" si="93"/>
        <v>12</v>
      </c>
      <c r="DN65" s="533"/>
      <c r="DO65" s="539">
        <f t="shared" ca="1" si="156"/>
        <v>43332</v>
      </c>
      <c r="DP65" s="535" t="str">
        <f t="shared" ca="1" si="94"/>
        <v>0</v>
      </c>
      <c r="DQ65" s="533"/>
      <c r="DR65" s="557">
        <f t="shared" ca="1" si="157"/>
        <v>43332</v>
      </c>
      <c r="DS65" s="536" t="str">
        <f t="shared" ca="1" si="95"/>
        <v>0</v>
      </c>
      <c r="DT65" s="539"/>
      <c r="DU65" s="539">
        <f t="shared" ca="1" si="140"/>
        <v>43332</v>
      </c>
      <c r="DV65" s="535" t="str">
        <f t="shared" ca="1" si="96"/>
        <v>0</v>
      </c>
      <c r="DW65" s="533"/>
      <c r="DX65" s="539">
        <f t="shared" ca="1" si="141"/>
        <v>43332</v>
      </c>
      <c r="DY65" s="535" t="str">
        <f t="shared" ca="1" si="97"/>
        <v>0</v>
      </c>
      <c r="DZ65" s="539"/>
      <c r="EA65" s="539">
        <f t="shared" ca="1" si="160"/>
        <v>43332</v>
      </c>
      <c r="EB65" s="535" t="str">
        <f t="shared" ca="1" si="98"/>
        <v>0</v>
      </c>
      <c r="EC65" s="539"/>
      <c r="ED65" s="539">
        <f t="shared" ca="1" si="152"/>
        <v>43332</v>
      </c>
      <c r="EE65" s="535" t="str">
        <f t="shared" ca="1" si="99"/>
        <v>0</v>
      </c>
      <c r="EF65" s="539"/>
      <c r="EG65" s="539">
        <f t="shared" ca="1" si="131"/>
        <v>43332</v>
      </c>
      <c r="EH65" s="535" t="str">
        <f t="shared" ca="1" si="100"/>
        <v>0</v>
      </c>
      <c r="EI65" s="539"/>
      <c r="EJ65" s="539"/>
      <c r="EK65" s="539"/>
      <c r="EL65" s="625">
        <f t="shared" si="101"/>
        <v>43718</v>
      </c>
      <c r="EM65" s="404">
        <f t="shared" si="153"/>
        <v>43718</v>
      </c>
      <c r="EN65" s="756">
        <f t="shared" si="102"/>
        <v>0</v>
      </c>
      <c r="EO65" s="580">
        <f t="shared" si="128"/>
        <v>731</v>
      </c>
      <c r="EP65" s="244"/>
      <c r="EQ65" s="244"/>
      <c r="ER65" s="121">
        <f>DATE(YEAR(EM65),MONTH(EM65),DAY(EM65))</f>
        <v>43718</v>
      </c>
      <c r="ES65" s="580"/>
      <c r="ET65" s="578">
        <f t="shared" si="103"/>
        <v>43748</v>
      </c>
      <c r="EU65" s="455">
        <f t="shared" si="158"/>
        <v>43718</v>
      </c>
      <c r="EV65" s="581"/>
      <c r="EW65" s="753">
        <f>(DATEDIF(EU65,ET65,"d"))/30</f>
        <v>1</v>
      </c>
      <c r="EX65" s="722"/>
      <c r="EY65" s="247">
        <f t="shared" si="105"/>
        <v>0</v>
      </c>
      <c r="EZ65" s="118"/>
      <c r="FA65" s="562">
        <v>0</v>
      </c>
      <c r="FB65" s="562">
        <v>0</v>
      </c>
      <c r="FC65" s="562"/>
      <c r="FD65" s="562"/>
      <c r="FE65" s="562"/>
      <c r="FF65" s="787" t="e">
        <f t="shared" si="154"/>
        <v>#DIV/0!</v>
      </c>
      <c r="FG65" s="559"/>
      <c r="FH65" s="571"/>
      <c r="FI65" s="662" t="s">
        <v>765</v>
      </c>
      <c r="FJ65" s="663"/>
      <c r="FK65" s="122"/>
      <c r="FL65" s="122"/>
      <c r="FM65" s="122"/>
      <c r="FN65" s="122"/>
      <c r="FO65" s="122"/>
      <c r="FP65" s="50"/>
      <c r="FQ65" s="279">
        <f t="shared" si="162"/>
        <v>44084</v>
      </c>
      <c r="FR65" s="279"/>
      <c r="FS65" s="50"/>
      <c r="FT65" s="50"/>
      <c r="FU65" s="50"/>
      <c r="FV65" s="50"/>
      <c r="FW65" s="50"/>
      <c r="FX65" s="50"/>
      <c r="FY65" s="50"/>
      <c r="FZ65" s="50"/>
      <c r="GA65" s="50"/>
      <c r="GB65" s="50"/>
      <c r="GC65" s="50"/>
      <c r="GD65" s="50"/>
      <c r="GE65" s="50"/>
      <c r="GF65" s="113"/>
      <c r="GG65" s="113"/>
      <c r="GH65" s="90">
        <f>+GR65+GW65+HD65+HX65+HI65+HH65</f>
        <v>0</v>
      </c>
      <c r="GI65" s="390">
        <f>GS65+GX65+HC65+HE65+HI65</f>
        <v>0</v>
      </c>
      <c r="GJ65" s="90"/>
      <c r="GK65" s="390"/>
      <c r="GL65" s="390"/>
      <c r="GM65" s="90"/>
      <c r="GN65" s="90"/>
      <c r="GO65" s="90"/>
      <c r="GP65" s="90"/>
      <c r="GQ65" s="302"/>
      <c r="GR65" s="90"/>
      <c r="GS65" s="689"/>
      <c r="GT65" s="745"/>
      <c r="GU65" s="90">
        <f>GR65/AD65</f>
        <v>0</v>
      </c>
      <c r="GV65" s="90">
        <f t="shared" si="147"/>
        <v>0</v>
      </c>
      <c r="GW65" s="406"/>
      <c r="GX65" s="390"/>
      <c r="GY65" s="390"/>
      <c r="GZ65" s="390"/>
      <c r="HA65" s="390"/>
      <c r="HB65" s="817">
        <f>GW65/AD65</f>
        <v>0</v>
      </c>
      <c r="HC65" s="390"/>
      <c r="HD65" s="390"/>
      <c r="HE65" s="390"/>
      <c r="HF65" s="390"/>
      <c r="HG65" s="396" t="e">
        <f t="shared" si="111"/>
        <v>#DIV/0!</v>
      </c>
      <c r="HH65" s="390"/>
      <c r="HI65" s="390"/>
      <c r="HJ65" s="390">
        <f t="shared" si="148"/>
        <v>0</v>
      </c>
      <c r="HK65" s="391">
        <f t="shared" si="112"/>
        <v>0</v>
      </c>
      <c r="HL65" s="393">
        <f t="shared" si="113"/>
        <v>0</v>
      </c>
      <c r="HM65" s="390">
        <f t="shared" si="133"/>
        <v>0</v>
      </c>
      <c r="HN65" s="394"/>
      <c r="HO65" s="394"/>
      <c r="HP65" s="390"/>
      <c r="HQ65" s="390"/>
      <c r="HR65" s="390">
        <f t="shared" si="142"/>
        <v>0</v>
      </c>
      <c r="HS65" s="390"/>
      <c r="HT65" s="390">
        <f>(GS65+HD65+HQ65+HS65)/AD65</f>
        <v>0</v>
      </c>
      <c r="HU65" s="107" t="e">
        <f t="shared" si="143"/>
        <v>#DIV/0!</v>
      </c>
      <c r="HV65" s="390"/>
      <c r="HW65" s="390"/>
      <c r="HX65" s="390">
        <f t="shared" si="161"/>
        <v>0</v>
      </c>
      <c r="HY65" s="397">
        <f t="shared" si="145"/>
        <v>0</v>
      </c>
      <c r="HZ65" s="276"/>
      <c r="IA65" s="276">
        <f t="shared" si="150"/>
        <v>0</v>
      </c>
      <c r="IB65" s="277"/>
      <c r="IC65" s="280">
        <v>0</v>
      </c>
      <c r="ID65" s="280"/>
      <c r="IE65" s="267"/>
      <c r="IF65" s="267"/>
      <c r="IG65" s="463">
        <v>0</v>
      </c>
      <c r="IH65" s="267"/>
      <c r="II65" s="273">
        <v>0</v>
      </c>
      <c r="IJ65" s="267"/>
      <c r="IK65" s="466"/>
      <c r="IL65" s="278"/>
      <c r="IM65" s="283"/>
      <c r="IN65" s="281"/>
      <c r="IO65" s="281"/>
      <c r="IP65" s="275"/>
      <c r="IQ65" s="280"/>
      <c r="IR65" s="275"/>
      <c r="IS65" s="280"/>
      <c r="IT65" s="299"/>
      <c r="IU65" s="299"/>
      <c r="IV65" s="299"/>
      <c r="IW65" s="299"/>
      <c r="IX65" s="268"/>
      <c r="IY65" s="268"/>
      <c r="IZ65" s="268"/>
      <c r="JA65" s="268"/>
      <c r="JB65" s="268"/>
      <c r="JC65" s="268"/>
      <c r="JD65" s="280" t="e">
        <f>$JD$1*HZ65</f>
        <v>#VALUE!</v>
      </c>
      <c r="JE65" s="118"/>
      <c r="JF65" s="278"/>
      <c r="JG65" s="118"/>
      <c r="JH65" s="118"/>
      <c r="JI65" s="278"/>
    </row>
    <row r="66" spans="1:269" ht="34.5" customHeight="1">
      <c r="A66" s="95" t="s">
        <v>518</v>
      </c>
      <c r="B66" s="50" t="s">
        <v>28</v>
      </c>
      <c r="C66" s="50" t="s">
        <v>110</v>
      </c>
      <c r="D66" s="51">
        <v>2017</v>
      </c>
      <c r="E66" s="50"/>
      <c r="F66" s="51" t="s">
        <v>55</v>
      </c>
      <c r="G66" s="628"/>
      <c r="H66" s="51" t="s">
        <v>247</v>
      </c>
      <c r="I66" s="51"/>
      <c r="J66" s="50" t="s">
        <v>438</v>
      </c>
      <c r="K66" s="256"/>
      <c r="L66" s="166"/>
      <c r="M66" s="167"/>
      <c r="N66" s="168"/>
      <c r="O66" s="213">
        <v>10895</v>
      </c>
      <c r="P66" s="213">
        <v>949780</v>
      </c>
      <c r="Q66" s="219">
        <f>P66</f>
        <v>949780</v>
      </c>
      <c r="R66" s="207">
        <f>P66/AD66</f>
        <v>25669.72972972973</v>
      </c>
      <c r="S66" s="213">
        <f>P66/O66</f>
        <v>87.175768701239107</v>
      </c>
      <c r="T66" s="219">
        <f>Q66/O66</f>
        <v>87.175768701239107</v>
      </c>
      <c r="U66" s="219">
        <f>Q66/AL66</f>
        <v>296.99372729035201</v>
      </c>
      <c r="V66" s="219">
        <f>Q66/AD66</f>
        <v>25669.72972972973</v>
      </c>
      <c r="W66" s="207">
        <f>O66/AD66</f>
        <v>294.45945945945948</v>
      </c>
      <c r="X66" s="217"/>
      <c r="Y66" s="218">
        <f t="shared" si="78"/>
        <v>0.2935273061037173</v>
      </c>
      <c r="Z66" s="217"/>
      <c r="AA66" s="220">
        <v>650</v>
      </c>
      <c r="AB66" s="216"/>
      <c r="AC66" s="51" t="s">
        <v>16</v>
      </c>
      <c r="AD66" s="318">
        <f t="shared" ref="AD66:AD97" si="163">SUM(AE66:AH66)</f>
        <v>37</v>
      </c>
      <c r="AE66" s="61"/>
      <c r="AF66" s="50">
        <v>37</v>
      </c>
      <c r="AG66" s="50"/>
      <c r="AH66" s="50"/>
      <c r="AI66" s="268">
        <v>3032.98</v>
      </c>
      <c r="AJ66" s="55">
        <v>3196.53</v>
      </c>
      <c r="AK66" s="55">
        <v>3197.98</v>
      </c>
      <c r="AL66" s="412">
        <v>3197.98</v>
      </c>
      <c r="AM66" s="54">
        <f>AL66/AD66</f>
        <v>86.431891891891894</v>
      </c>
      <c r="AN66" s="57"/>
      <c r="AO66" s="57"/>
      <c r="AP66" s="57"/>
      <c r="AQ66" s="57"/>
      <c r="AR66" s="57"/>
      <c r="AS66" s="55"/>
      <c r="AT66" s="74"/>
      <c r="AU66" s="76"/>
      <c r="AV66" s="55"/>
      <c r="AW66" s="51" t="s">
        <v>560</v>
      </c>
      <c r="AX66" s="51"/>
      <c r="AY66" s="806">
        <v>6377000</v>
      </c>
      <c r="AZ66" s="51"/>
      <c r="BA66" s="190">
        <v>42761</v>
      </c>
      <c r="BB66" s="190">
        <v>42761</v>
      </c>
      <c r="BC66" s="110"/>
      <c r="BD66" s="110"/>
      <c r="BE66" s="285"/>
      <c r="BF66" s="204">
        <v>42998</v>
      </c>
      <c r="BG66" s="96"/>
      <c r="BH66" s="96"/>
      <c r="BI66" s="204"/>
      <c r="BJ66" s="96"/>
      <c r="BK66" s="707">
        <v>43292</v>
      </c>
      <c r="BL66" s="706">
        <f>DATE(YEAR(BK66),MONTH(BK66)+1,DAY(BK66))</f>
        <v>43323</v>
      </c>
      <c r="BM66" s="707">
        <f t="shared" si="159"/>
        <v>43415</v>
      </c>
      <c r="BN66" s="160"/>
      <c r="BO66" s="298">
        <f t="shared" si="135"/>
        <v>43323</v>
      </c>
      <c r="BP66" s="297">
        <f t="shared" si="136"/>
        <v>44054</v>
      </c>
      <c r="BQ66" s="297">
        <f t="shared" si="144"/>
        <v>44419</v>
      </c>
      <c r="BR66" s="297"/>
      <c r="BS66" s="297" t="str">
        <f t="shared" si="151"/>
        <v>non</v>
      </c>
      <c r="BT66" s="686">
        <f t="shared" ref="BT66:BT88" si="164">DATEDIF(EU66,BQ66,"M")</f>
        <v>15</v>
      </c>
      <c r="BU66" s="686">
        <f t="shared" ref="BU66:BU97" si="165">BT66*EX66</f>
        <v>0</v>
      </c>
      <c r="BV66" s="686">
        <f t="shared" ref="BV66:BV97" si="166">IF((BU66-BR66&gt;0),0,(BU66-BR66))</f>
        <v>0</v>
      </c>
      <c r="BW66" s="160"/>
      <c r="BX66" s="160"/>
      <c r="BY66" s="101"/>
      <c r="BZ66" s="101"/>
      <c r="CA66" s="101"/>
      <c r="CB66" s="101"/>
      <c r="CC66" s="158"/>
      <c r="CD66" s="251"/>
      <c r="CE66" s="251"/>
      <c r="CF66" s="157">
        <v>6377000.5999999996</v>
      </c>
      <c r="CG66" s="251"/>
      <c r="CH66" s="251"/>
      <c r="CI66" s="251"/>
      <c r="CJ66" s="251"/>
      <c r="CK66" s="603"/>
      <c r="CL66" s="123"/>
      <c r="CM66" s="123"/>
      <c r="CN66" s="123"/>
      <c r="CO66" s="529" t="str">
        <f t="shared" ref="CO66:CO97" si="167">IF(AND(CM66&gt;0,CN66&gt;0),CN66-CM66,"0")</f>
        <v>0</v>
      </c>
      <c r="CP66" s="123"/>
      <c r="CQ66" s="123"/>
      <c r="CR66" s="529" t="str">
        <f t="shared" ref="CR66:CR97" si="168">IF(AND(CP66&gt;0,CQ66&gt;0),CQ66-CP66,"0")</f>
        <v>0</v>
      </c>
      <c r="CS66" s="316"/>
      <c r="CT66" s="316"/>
      <c r="CU66" s="529" t="str">
        <f t="shared" ref="CU66:CU97" si="169">IF(AND(CS66&gt;0,CT66&gt;0),CT66-CS66,"0")</f>
        <v>0</v>
      </c>
      <c r="CV66" s="549"/>
      <c r="CW66" s="549"/>
      <c r="CX66" s="551" t="str">
        <f t="shared" ref="CX66:CX97" si="170">IF(AND(CV66&gt;0,CW66&gt;0),CW66-CV66,"0")</f>
        <v>0</v>
      </c>
      <c r="CY66" s="549"/>
      <c r="CZ66" s="549">
        <f ca="1">IF(CY66&lt;TODAY(),TODAY(),CY66)</f>
        <v>43332</v>
      </c>
      <c r="DA66" s="551" t="str">
        <f t="shared" ref="DA66:DA97" ca="1" si="171">IF(AND(CY66&gt;0,CZ66&gt;0),CZ66-CY66,"0")</f>
        <v>0</v>
      </c>
      <c r="DB66" s="459"/>
      <c r="DC66" s="549"/>
      <c r="DD66" s="543"/>
      <c r="DE66" s="539">
        <f t="shared" ca="1" si="155"/>
        <v>43332</v>
      </c>
      <c r="DF66" s="535" t="str">
        <f t="shared" ref="DF66:DF97" ca="1" si="172">IF(AND(DD66&gt;0,DE66&gt;0),DE66-DD66,"0")</f>
        <v>0</v>
      </c>
      <c r="DG66" s="543"/>
      <c r="DH66" s="703">
        <v>43397</v>
      </c>
      <c r="DI66" s="348"/>
      <c r="DJ66" s="446">
        <f t="shared" ref="DJ66:DJ88" si="173">(DATEDIF(BF66,DH66,"d"))/30</f>
        <v>13.3</v>
      </c>
      <c r="DK66" s="535" t="str">
        <f t="shared" ref="DK66:DK97" si="174">IF(AND(DG66&gt;0,DH66&gt;0),DH66-DG66,"0")</f>
        <v>0</v>
      </c>
      <c r="DL66" s="704">
        <v>17</v>
      </c>
      <c r="DM66" s="243">
        <f t="shared" ref="DM66:DM88" si="175">DATEDIF(DH66,EM66,"M")</f>
        <v>18</v>
      </c>
      <c r="DN66" s="539"/>
      <c r="DO66" s="539">
        <f t="shared" ca="1" si="156"/>
        <v>43332</v>
      </c>
      <c r="DP66" s="535" t="str">
        <f t="shared" ref="DP66:DP97" ca="1" si="176">IF(AND(DN66&gt;0,DO66&gt;0),DO66-DN66,"0")</f>
        <v>0</v>
      </c>
      <c r="DQ66" s="539"/>
      <c r="DR66" s="557">
        <f t="shared" ca="1" si="157"/>
        <v>43332</v>
      </c>
      <c r="DS66" s="536" t="str">
        <f t="shared" ref="DS66:DS97" ca="1" si="177">IF(AND(DQ66&gt;0,DR66&gt;0),DR66-DQ66,"0")</f>
        <v>0</v>
      </c>
      <c r="DT66" s="539"/>
      <c r="DU66" s="539">
        <f t="shared" ca="1" si="140"/>
        <v>43332</v>
      </c>
      <c r="DV66" s="535" t="str">
        <f t="shared" ref="DV66:DV97" ca="1" si="178">IF(AND(DT66&gt;0,DU66&gt;0),DU66-DT66,"0")</f>
        <v>0</v>
      </c>
      <c r="DW66" s="539"/>
      <c r="DX66" s="539">
        <f t="shared" ca="1" si="141"/>
        <v>43332</v>
      </c>
      <c r="DY66" s="535" t="str">
        <f t="shared" ref="DY66:DY97" ca="1" si="179">IF(AND(DW66&gt;0,DX66&gt;0),DX66-DW66,"0")</f>
        <v>0</v>
      </c>
      <c r="DZ66" s="539"/>
      <c r="EA66" s="539">
        <f t="shared" ca="1" si="160"/>
        <v>43332</v>
      </c>
      <c r="EB66" s="535" t="str">
        <f t="shared" ref="EB66:EB97" ca="1" si="180">IF(AND(DZ66&gt;0,EA66&gt;0),EA66-DZ66,"0")</f>
        <v>0</v>
      </c>
      <c r="EC66" s="539"/>
      <c r="ED66" s="539">
        <f t="shared" ca="1" si="152"/>
        <v>43332</v>
      </c>
      <c r="EE66" s="535" t="str">
        <f t="shared" ref="EE66:EE97" ca="1" si="181">IF(AND(EC66&gt;0,ED66&gt;0),ED66-EC66,"0")</f>
        <v>0</v>
      </c>
      <c r="EF66" s="539"/>
      <c r="EG66" s="539">
        <f t="shared" ca="1" si="131"/>
        <v>43332</v>
      </c>
      <c r="EH66" s="535" t="str">
        <f t="shared" ref="EH66:EH97" ca="1" si="182">IF(AND(EF66&gt;0,EG66&gt;0),EG66-EF66,"0")</f>
        <v>0</v>
      </c>
      <c r="EI66" s="539"/>
      <c r="EJ66" s="539"/>
      <c r="EK66" s="539"/>
      <c r="EL66" s="760">
        <f t="shared" ref="EL66:EL97" si="183">DATE(YEAR(DH66),MONTH(DH66)+DL66,DAY(DH66))</f>
        <v>43914</v>
      </c>
      <c r="EM66" s="759">
        <f>DATE(YEAR(EL66),MONTH(EL66)+1,DAY(EL66))</f>
        <v>43945</v>
      </c>
      <c r="EN66" s="756">
        <f t="shared" ref="EN66:EN97" si="184">(DATEDIF(EL66,EM66,"d"))/30</f>
        <v>1.0333333333333334</v>
      </c>
      <c r="EO66" s="580">
        <f t="shared" si="128"/>
        <v>731</v>
      </c>
      <c r="EP66" s="244"/>
      <c r="EQ66" s="244"/>
      <c r="ER66" s="186">
        <f>DATE(YEAR(EM66),MONTH(EM66),DAY(EM66))</f>
        <v>43945</v>
      </c>
      <c r="ES66" s="467"/>
      <c r="ET66" s="578">
        <f t="shared" ref="ET66:ET97" si="185">DATE(YEAR(EL66),MONTH(EL66)+1,DAY(EL66))</f>
        <v>43945</v>
      </c>
      <c r="EU66" s="759">
        <f>DATE(YEAR(ER66),MONTH(ER66),DAY(ER66))</f>
        <v>43945</v>
      </c>
      <c r="EV66" s="581"/>
      <c r="EW66" s="753">
        <f t="shared" ref="EW66:EW107" si="186">(DATEDIF(ET66,EU66,"d"))/30</f>
        <v>0</v>
      </c>
      <c r="EX66" s="722"/>
      <c r="EY66" s="247">
        <f t="shared" ref="EY66:EY97" si="187">EX66*EW66</f>
        <v>0</v>
      </c>
      <c r="EZ66" s="118"/>
      <c r="FA66" s="562">
        <v>0</v>
      </c>
      <c r="FB66" s="562">
        <v>0</v>
      </c>
      <c r="FC66" s="562"/>
      <c r="FD66" s="562"/>
      <c r="FE66" s="562"/>
      <c r="FF66" s="787">
        <f t="shared" si="154"/>
        <v>0</v>
      </c>
      <c r="FG66" s="559"/>
      <c r="FH66" s="571"/>
      <c r="FI66" s="571" t="s">
        <v>773</v>
      </c>
      <c r="FJ66" s="559"/>
      <c r="FK66" s="124"/>
      <c r="FL66" s="124"/>
      <c r="FM66" s="124"/>
      <c r="FN66" s="124"/>
      <c r="FO66" s="124"/>
      <c r="FP66" s="51"/>
      <c r="FQ66" s="279">
        <f t="shared" si="162"/>
        <v>44310</v>
      </c>
      <c r="FR66" s="279"/>
      <c r="FS66" s="51"/>
      <c r="FT66" s="51"/>
      <c r="FU66" s="51"/>
      <c r="FV66" s="51"/>
      <c r="FW66" s="51"/>
      <c r="FX66" s="51"/>
      <c r="FY66" s="51"/>
      <c r="FZ66" s="51"/>
      <c r="GA66" s="51"/>
      <c r="GB66" s="51"/>
      <c r="GC66" s="51"/>
      <c r="GD66" s="51"/>
      <c r="GE66" s="51"/>
      <c r="GF66" s="113"/>
      <c r="GG66" s="113"/>
      <c r="GH66" s="90">
        <f>+GR66+GW66+HD66+HX66+HI66</f>
        <v>6545033</v>
      </c>
      <c r="GI66" s="64">
        <f>GS66+GX66+HE66+HX66+HF66+HI66</f>
        <v>6863538.2000000002</v>
      </c>
      <c r="GJ66" s="91">
        <f>GI66-GH66</f>
        <v>318505.20000000019</v>
      </c>
      <c r="GK66" s="46">
        <f>GI66/AJ66</f>
        <v>2147.1840401935847</v>
      </c>
      <c r="GL66" s="46">
        <f>GI66/AD66</f>
        <v>185501.03243243243</v>
      </c>
      <c r="GM66" s="286"/>
      <c r="GN66" s="69">
        <v>6233418.6500000004</v>
      </c>
      <c r="GO66" s="91">
        <f>GN66-GM66</f>
        <v>6233418.6500000004</v>
      </c>
      <c r="GP66" s="129">
        <f>GN66*1.021/GI66</f>
        <v>0.92726524661143417</v>
      </c>
      <c r="GQ66" s="130">
        <v>0.4</v>
      </c>
      <c r="GR66" s="286">
        <v>1969908</v>
      </c>
      <c r="GS66" s="650">
        <v>2271739</v>
      </c>
      <c r="GT66" s="654"/>
      <c r="GU66" s="46">
        <f>GS66/AD66</f>
        <v>61398.351351351354</v>
      </c>
      <c r="GV66" s="92">
        <f t="shared" si="147"/>
        <v>301831</v>
      </c>
      <c r="GW66" s="747">
        <v>3915125</v>
      </c>
      <c r="GX66" s="64">
        <f>GY66+GZ66</f>
        <v>3931799.2</v>
      </c>
      <c r="GY66" s="292">
        <v>1087640.28</v>
      </c>
      <c r="GZ66" s="292">
        <v>2844158.92</v>
      </c>
      <c r="HA66" s="92">
        <f>GX66-GW66</f>
        <v>16674.200000000186</v>
      </c>
      <c r="HB66" s="641">
        <f>GX66/AD66</f>
        <v>106264.84324324325</v>
      </c>
      <c r="HC66" s="390"/>
      <c r="HD66" s="286">
        <v>660000</v>
      </c>
      <c r="HE66" s="69">
        <v>660000</v>
      </c>
      <c r="HF66" s="69"/>
      <c r="HG66" s="85">
        <f t="shared" ref="HG66:HG88" si="188">HE66/GI66</f>
        <v>9.6160315680912212E-2</v>
      </c>
      <c r="HH66" s="396"/>
      <c r="HI66" s="69"/>
      <c r="HJ66" s="86">
        <f t="shared" si="148"/>
        <v>0</v>
      </c>
      <c r="HK66" s="19">
        <f t="shared" ref="HK66:HK88" si="189">HE66/AD66</f>
        <v>17837.837837837837</v>
      </c>
      <c r="HL66" s="78">
        <f t="shared" ref="HL66:HL88" si="190">(GS66+HE66)/AD66</f>
        <v>79236.189189189186</v>
      </c>
      <c r="HM66" s="86">
        <f t="shared" si="133"/>
        <v>0</v>
      </c>
      <c r="HN66" s="87">
        <v>5.15</v>
      </c>
      <c r="HO66" s="87">
        <v>5.0999999999999996</v>
      </c>
      <c r="HP66" s="413"/>
      <c r="HQ66" s="413"/>
      <c r="HR66" s="46">
        <f t="shared" si="142"/>
        <v>71078.5945945946</v>
      </c>
      <c r="HS66" s="413"/>
      <c r="HT66" s="46">
        <f>(GS66+HE66+HQ66+HS66)/AD66</f>
        <v>79236.189189189186</v>
      </c>
      <c r="HU66" s="47">
        <f t="shared" si="143"/>
        <v>0.4018173781553126</v>
      </c>
      <c r="HV66" s="413"/>
      <c r="HW66" s="413"/>
      <c r="HX66" s="64">
        <f t="shared" si="161"/>
        <v>0</v>
      </c>
      <c r="HY66" s="93">
        <f t="shared" si="145"/>
        <v>6545033</v>
      </c>
      <c r="HZ66" s="276"/>
      <c r="IA66" s="276">
        <f t="shared" si="150"/>
        <v>0</v>
      </c>
      <c r="IB66" s="277"/>
      <c r="IC66" s="276"/>
      <c r="ID66" s="276"/>
      <c r="IE66" s="269"/>
      <c r="IF66" s="269"/>
      <c r="IG66" s="464"/>
      <c r="IH66" s="269"/>
      <c r="II66" s="273"/>
      <c r="IJ66" s="269"/>
      <c r="IK66" s="466"/>
      <c r="IL66" s="278"/>
      <c r="IM66" s="283"/>
      <c r="IN66" s="281"/>
      <c r="IO66" s="281"/>
      <c r="IP66" s="275"/>
      <c r="IQ66" s="280"/>
      <c r="IR66" s="275"/>
      <c r="IS66" s="280"/>
      <c r="IT66" s="299"/>
      <c r="IU66" s="299"/>
      <c r="IV66" s="299"/>
      <c r="IW66" s="299"/>
      <c r="IX66" s="268"/>
      <c r="IY66" s="268"/>
      <c r="IZ66" s="268"/>
      <c r="JA66" s="268"/>
      <c r="JB66" s="268"/>
      <c r="JC66" s="268"/>
      <c r="JD66" s="276"/>
      <c r="JE66" s="270"/>
      <c r="JF66" s="278"/>
      <c r="JG66" s="270"/>
      <c r="JH66" s="270"/>
      <c r="JI66" s="278"/>
    </row>
    <row r="67" spans="1:269" ht="15" customHeight="1">
      <c r="A67" s="83" t="s">
        <v>410</v>
      </c>
      <c r="B67" s="50" t="s">
        <v>35</v>
      </c>
      <c r="C67" s="50" t="s">
        <v>110</v>
      </c>
      <c r="D67" s="50">
        <v>2017</v>
      </c>
      <c r="E67" s="50" t="s">
        <v>416</v>
      </c>
      <c r="F67" s="50" t="s">
        <v>383</v>
      </c>
      <c r="G67" s="5" t="s">
        <v>279</v>
      </c>
      <c r="H67" s="50" t="s">
        <v>172</v>
      </c>
      <c r="I67" s="50"/>
      <c r="J67" s="50" t="s">
        <v>411</v>
      </c>
      <c r="K67" s="256" t="s">
        <v>641</v>
      </c>
      <c r="L67" s="166"/>
      <c r="M67" s="167"/>
      <c r="N67" s="168"/>
      <c r="O67" s="207">
        <v>1976</v>
      </c>
      <c r="P67" s="207">
        <v>300000</v>
      </c>
      <c r="Q67" s="207"/>
      <c r="R67" s="207">
        <f>P67/AD67</f>
        <v>12500</v>
      </c>
      <c r="S67" s="207">
        <f>P67/O67</f>
        <v>151.82186234817814</v>
      </c>
      <c r="T67" s="213">
        <f>Q67/O67</f>
        <v>0</v>
      </c>
      <c r="U67" s="213">
        <f>Q67/AL67</f>
        <v>0</v>
      </c>
      <c r="V67" s="213">
        <f>Q67/AD67</f>
        <v>0</v>
      </c>
      <c r="W67" s="207">
        <f>O67/AD67</f>
        <v>82.333333333333329</v>
      </c>
      <c r="X67" s="208"/>
      <c r="Y67" s="209">
        <f t="shared" si="78"/>
        <v>0.90862348178137653</v>
      </c>
      <c r="Z67" s="208" t="s">
        <v>185</v>
      </c>
      <c r="AA67" s="208">
        <v>590</v>
      </c>
      <c r="AB67" s="209"/>
      <c r="AC67" s="50" t="s">
        <v>16</v>
      </c>
      <c r="AD67" s="318">
        <f t="shared" si="163"/>
        <v>24</v>
      </c>
      <c r="AE67" s="61"/>
      <c r="AF67" s="50">
        <v>24</v>
      </c>
      <c r="AG67" s="50"/>
      <c r="AH67" s="50"/>
      <c r="AI67" s="268"/>
      <c r="AJ67" s="54">
        <v>1779.08</v>
      </c>
      <c r="AK67" s="54"/>
      <c r="AL67" s="89">
        <v>1795.44</v>
      </c>
      <c r="AM67" s="7">
        <f>AL67/AD67</f>
        <v>74.81</v>
      </c>
      <c r="AN67" s="75">
        <f>3/AF67</f>
        <v>0.125</v>
      </c>
      <c r="AO67" s="75">
        <f>9/AF67</f>
        <v>0.375</v>
      </c>
      <c r="AP67" s="75">
        <f>6/AF67</f>
        <v>0.25</v>
      </c>
      <c r="AQ67" s="75">
        <f>3/AF67</f>
        <v>0.125</v>
      </c>
      <c r="AR67" s="75">
        <f>3/AF67</f>
        <v>0.125</v>
      </c>
      <c r="AS67" s="54"/>
      <c r="AT67" s="182"/>
      <c r="AU67" s="107"/>
      <c r="AV67" s="54">
        <v>4</v>
      </c>
      <c r="AW67" s="53" t="s">
        <v>561</v>
      </c>
      <c r="AX67" s="50" t="s">
        <v>118</v>
      </c>
      <c r="AY67" s="806"/>
      <c r="AZ67" s="50"/>
      <c r="BA67" s="238">
        <v>42761</v>
      </c>
      <c r="BB67" s="50"/>
      <c r="BC67" s="110"/>
      <c r="BD67" s="110"/>
      <c r="BE67" s="94"/>
      <c r="BF67" s="204">
        <v>42916</v>
      </c>
      <c r="BG67" s="96">
        <v>43010</v>
      </c>
      <c r="BH67" s="96"/>
      <c r="BI67" s="204"/>
      <c r="BJ67" s="96"/>
      <c r="BK67" s="160">
        <v>43279</v>
      </c>
      <c r="BL67" s="706">
        <f>DATE(YEAR(BK67),MONTH(BK67)+1,DAY(BK67))</f>
        <v>43309</v>
      </c>
      <c r="BM67" s="707">
        <f t="shared" si="159"/>
        <v>43401</v>
      </c>
      <c r="BN67" s="160"/>
      <c r="BO67" s="298">
        <f t="shared" si="135"/>
        <v>43309</v>
      </c>
      <c r="BP67" s="297">
        <f t="shared" si="136"/>
        <v>44040</v>
      </c>
      <c r="BQ67" s="297">
        <f t="shared" si="144"/>
        <v>44405</v>
      </c>
      <c r="BR67" s="686">
        <f>10589+49826</f>
        <v>60415</v>
      </c>
      <c r="BS67" s="297" t="str">
        <f>IF(EU67&gt;BQ67,"oui","non")</f>
        <v>non</v>
      </c>
      <c r="BT67" s="686">
        <f t="shared" si="164"/>
        <v>14</v>
      </c>
      <c r="BU67" s="686">
        <f t="shared" si="165"/>
        <v>135912</v>
      </c>
      <c r="BV67" s="686">
        <f t="shared" si="166"/>
        <v>0</v>
      </c>
      <c r="BW67" s="160"/>
      <c r="BX67" s="165"/>
      <c r="BY67" s="97"/>
      <c r="BZ67" s="98"/>
      <c r="CA67" s="98"/>
      <c r="CB67" s="98"/>
      <c r="CC67" s="158"/>
      <c r="CD67" s="251"/>
      <c r="CE67" s="251"/>
      <c r="CF67" s="157"/>
      <c r="CG67" s="251"/>
      <c r="CH67" s="251"/>
      <c r="CI67" s="251"/>
      <c r="CJ67" s="251" t="s">
        <v>165</v>
      </c>
      <c r="CK67" s="604"/>
      <c r="CL67" s="316">
        <v>42583</v>
      </c>
      <c r="CM67" s="123">
        <v>42598</v>
      </c>
      <c r="CN67" s="123">
        <v>42583</v>
      </c>
      <c r="CO67" s="529">
        <f t="shared" si="167"/>
        <v>-15</v>
      </c>
      <c r="CP67" s="123">
        <v>42692</v>
      </c>
      <c r="CQ67" s="316">
        <v>42695</v>
      </c>
      <c r="CR67" s="529">
        <f t="shared" si="168"/>
        <v>3</v>
      </c>
      <c r="CS67" s="316">
        <v>42753</v>
      </c>
      <c r="CT67" s="316">
        <v>42751</v>
      </c>
      <c r="CU67" s="529">
        <f t="shared" si="169"/>
        <v>-2</v>
      </c>
      <c r="CV67" s="123">
        <v>42829</v>
      </c>
      <c r="CW67" s="316">
        <v>43083</v>
      </c>
      <c r="CX67" s="529">
        <f t="shared" si="170"/>
        <v>254</v>
      </c>
      <c r="CY67" s="123">
        <v>42905</v>
      </c>
      <c r="CZ67" s="123">
        <v>43189</v>
      </c>
      <c r="DA67" s="529">
        <f t="shared" si="171"/>
        <v>284</v>
      </c>
      <c r="DB67" s="457"/>
      <c r="DC67" s="546">
        <v>43344</v>
      </c>
      <c r="DD67" s="543">
        <v>43154</v>
      </c>
      <c r="DE67" s="539">
        <f t="shared" ca="1" si="155"/>
        <v>43332</v>
      </c>
      <c r="DF67" s="535">
        <f t="shared" ca="1" si="172"/>
        <v>178</v>
      </c>
      <c r="DG67" s="543">
        <v>43167</v>
      </c>
      <c r="DH67" s="703">
        <v>43419</v>
      </c>
      <c r="DI67" s="348"/>
      <c r="DJ67" s="446">
        <f t="shared" si="173"/>
        <v>16.766666666666666</v>
      </c>
      <c r="DK67" s="535">
        <f t="shared" si="174"/>
        <v>252</v>
      </c>
      <c r="DL67" s="704">
        <v>15</v>
      </c>
      <c r="DM67" s="243">
        <f t="shared" si="175"/>
        <v>16</v>
      </c>
      <c r="DN67" s="533"/>
      <c r="DO67" s="539">
        <f t="shared" ca="1" si="156"/>
        <v>43332</v>
      </c>
      <c r="DP67" s="535" t="str">
        <f t="shared" ca="1" si="176"/>
        <v>0</v>
      </c>
      <c r="DQ67" s="533"/>
      <c r="DR67" s="557">
        <f t="shared" ca="1" si="157"/>
        <v>43332</v>
      </c>
      <c r="DS67" s="536" t="str">
        <f t="shared" ca="1" si="177"/>
        <v>0</v>
      </c>
      <c r="DT67" s="539"/>
      <c r="DU67" s="539">
        <f t="shared" ca="1" si="140"/>
        <v>43332</v>
      </c>
      <c r="DV67" s="535" t="str">
        <f t="shared" ca="1" si="178"/>
        <v>0</v>
      </c>
      <c r="DW67" s="539"/>
      <c r="DX67" s="539">
        <f t="shared" ca="1" si="141"/>
        <v>43332</v>
      </c>
      <c r="DY67" s="535" t="str">
        <f t="shared" ca="1" si="179"/>
        <v>0</v>
      </c>
      <c r="DZ67" s="539"/>
      <c r="EA67" s="539">
        <f t="shared" ca="1" si="160"/>
        <v>43332</v>
      </c>
      <c r="EB67" s="535" t="str">
        <f t="shared" ca="1" si="180"/>
        <v>0</v>
      </c>
      <c r="EC67" s="539"/>
      <c r="ED67" s="539">
        <f t="shared" ca="1" si="152"/>
        <v>43332</v>
      </c>
      <c r="EE67" s="535" t="str">
        <f t="shared" ca="1" si="181"/>
        <v>0</v>
      </c>
      <c r="EF67" s="539"/>
      <c r="EG67" s="539">
        <f t="shared" ca="1" si="131"/>
        <v>43332</v>
      </c>
      <c r="EH67" s="535" t="str">
        <f t="shared" ca="1" si="182"/>
        <v>0</v>
      </c>
      <c r="EI67" s="539"/>
      <c r="EJ67" s="539"/>
      <c r="EK67" s="539"/>
      <c r="EL67" s="625">
        <f t="shared" si="183"/>
        <v>43876</v>
      </c>
      <c r="EM67" s="404">
        <f>DATE(YEAR(EL67),MONTH(EL67)+1,DAY(EL67))</f>
        <v>43905</v>
      </c>
      <c r="EN67" s="756">
        <f t="shared" si="184"/>
        <v>0.96666666666666667</v>
      </c>
      <c r="EO67" s="580">
        <f t="shared" si="128"/>
        <v>731</v>
      </c>
      <c r="EP67" s="244"/>
      <c r="EQ67" s="244"/>
      <c r="ER67" s="186">
        <f t="shared" ref="ER67:ER73" si="191">DATE(YEAR(EM67),MONTH(EM67)+1,DAY(EM67))</f>
        <v>43936</v>
      </c>
      <c r="ES67" s="467"/>
      <c r="ET67" s="578">
        <f t="shared" si="185"/>
        <v>43905</v>
      </c>
      <c r="EU67" s="455">
        <f>DATE(YEAR(ER67),MONTH(ER67)+1,DAY(ER67))</f>
        <v>43966</v>
      </c>
      <c r="EV67" s="581"/>
      <c r="EW67" s="753">
        <f t="shared" si="186"/>
        <v>2.0333333333333332</v>
      </c>
      <c r="EX67" s="722">
        <v>9708</v>
      </c>
      <c r="EY67" s="247">
        <f t="shared" si="187"/>
        <v>19739.599999999999</v>
      </c>
      <c r="EZ67" s="118"/>
      <c r="FA67" s="562">
        <v>0</v>
      </c>
      <c r="FB67" s="562">
        <v>0</v>
      </c>
      <c r="FC67" s="562">
        <f>35000*1.021</f>
        <v>35735</v>
      </c>
      <c r="FD67" s="562"/>
      <c r="FE67" s="562"/>
      <c r="FF67" s="787">
        <f t="shared" si="154"/>
        <v>0</v>
      </c>
      <c r="FG67" s="559"/>
      <c r="FH67" s="571"/>
      <c r="FI67" s="571" t="s">
        <v>775</v>
      </c>
      <c r="FJ67" s="559"/>
      <c r="FK67" s="122"/>
      <c r="FL67" s="122"/>
      <c r="FM67" s="122"/>
      <c r="FN67" s="122"/>
      <c r="FO67" s="122"/>
      <c r="FP67" s="50"/>
      <c r="FQ67" s="279">
        <f t="shared" si="162"/>
        <v>44270</v>
      </c>
      <c r="FR67" s="279"/>
      <c r="FS67" s="50"/>
      <c r="FT67" s="50"/>
      <c r="FU67" s="50"/>
      <c r="FV67" s="50"/>
      <c r="FW67" s="50"/>
      <c r="FX67" s="50"/>
      <c r="FY67" s="50"/>
      <c r="FZ67" s="50"/>
      <c r="GA67" s="50"/>
      <c r="GB67" s="50"/>
      <c r="GC67" s="50"/>
      <c r="GD67" s="50"/>
      <c r="GE67" s="50"/>
      <c r="GF67" s="113"/>
      <c r="GG67" s="113"/>
      <c r="GH67" s="90">
        <f>+GR67+GW67+HD67+HX67+HI67</f>
        <v>3891130.6767742028</v>
      </c>
      <c r="GI67" s="64">
        <f>GS67+GX67+HE67+HX67+HF67+HI67</f>
        <v>3965464</v>
      </c>
      <c r="GJ67" s="91">
        <f>GI67-GH67</f>
        <v>74333.323225797154</v>
      </c>
      <c r="GK67" s="46">
        <f>GI67/AJ67</f>
        <v>2228.9408008633677</v>
      </c>
      <c r="GL67" s="46">
        <f>GI67/AD67</f>
        <v>165227.66666666666</v>
      </c>
      <c r="GM67" s="90">
        <v>3537549.5398594467</v>
      </c>
      <c r="GN67" s="64">
        <v>3653732</v>
      </c>
      <c r="GO67" s="91">
        <f>GN67-GM67</f>
        <v>116182.4601405533</v>
      </c>
      <c r="GP67" s="129">
        <f>GN67*1.021/GI67</f>
        <v>0.94073741988327209</v>
      </c>
      <c r="GQ67" s="129">
        <v>0.4</v>
      </c>
      <c r="GR67" s="90">
        <v>1224437.8025662941</v>
      </c>
      <c r="GS67" s="650">
        <v>1275241</v>
      </c>
      <c r="GT67" s="654"/>
      <c r="GU67" s="46">
        <f>GS67/AD67</f>
        <v>53135.041666666664</v>
      </c>
      <c r="GV67" s="92"/>
      <c r="GW67" s="627">
        <v>2131692.8742079088</v>
      </c>
      <c r="GX67" s="64">
        <f>GY67+GZ67</f>
        <v>2155223</v>
      </c>
      <c r="GY67" s="84">
        <v>416308</v>
      </c>
      <c r="GZ67" s="84">
        <v>1738915</v>
      </c>
      <c r="HA67" s="92">
        <f>GX67-GW67</f>
        <v>23530.125792091247</v>
      </c>
      <c r="HB67" s="641">
        <f>GX67/AD67</f>
        <v>89800.958333333328</v>
      </c>
      <c r="HC67" s="390"/>
      <c r="HD67" s="90">
        <v>480000</v>
      </c>
      <c r="HE67" s="64">
        <v>480000</v>
      </c>
      <c r="HF67" s="64"/>
      <c r="HG67" s="85">
        <f t="shared" si="188"/>
        <v>0.12104510342295378</v>
      </c>
      <c r="HH67" s="396"/>
      <c r="HI67" s="64">
        <f>30000+25000</f>
        <v>55000</v>
      </c>
      <c r="HJ67" s="86">
        <f t="shared" si="148"/>
        <v>0</v>
      </c>
      <c r="HK67" s="19">
        <f t="shared" si="189"/>
        <v>20000</v>
      </c>
      <c r="HL67" s="78">
        <f t="shared" si="190"/>
        <v>73135.041666666672</v>
      </c>
      <c r="HM67" s="20">
        <f t="shared" si="133"/>
        <v>0</v>
      </c>
      <c r="HN67" s="87">
        <v>5.38</v>
      </c>
      <c r="HO67" s="87">
        <v>5.38</v>
      </c>
      <c r="HP67" s="88"/>
      <c r="HQ67" s="88"/>
      <c r="HR67" s="19">
        <f t="shared" si="142"/>
        <v>71018.241773595582</v>
      </c>
      <c r="HS67" s="88"/>
      <c r="HT67" s="19">
        <f>(GS67+HE67+HQ67+HS67)/AD67</f>
        <v>73135.041666666672</v>
      </c>
      <c r="HU67" s="47">
        <f t="shared" si="143"/>
        <v>0.43803149884940251</v>
      </c>
      <c r="HV67" s="88"/>
      <c r="HW67" s="88"/>
      <c r="HX67" s="64">
        <f t="shared" si="161"/>
        <v>0</v>
      </c>
      <c r="HY67" s="37">
        <f t="shared" si="145"/>
        <v>3891130.6767742028</v>
      </c>
      <c r="HZ67" s="276">
        <v>193785</v>
      </c>
      <c r="IA67" s="276">
        <f t="shared" si="150"/>
        <v>97910</v>
      </c>
      <c r="IB67" s="114">
        <v>42562</v>
      </c>
      <c r="IC67" s="315">
        <v>19202</v>
      </c>
      <c r="ID67" s="315"/>
      <c r="IE67" s="317"/>
      <c r="IF67" s="317" t="s">
        <v>535</v>
      </c>
      <c r="IG67" s="315">
        <v>9745</v>
      </c>
      <c r="IH67" s="317">
        <v>42696</v>
      </c>
      <c r="II67" s="233">
        <v>18750</v>
      </c>
      <c r="IJ67" s="114">
        <v>42837</v>
      </c>
      <c r="IK67" s="233">
        <v>29816</v>
      </c>
      <c r="IL67" s="114">
        <v>43181</v>
      </c>
      <c r="IM67" s="322">
        <v>20397</v>
      </c>
      <c r="IN67" s="314"/>
      <c r="IO67" s="314"/>
      <c r="IP67" s="275"/>
      <c r="IQ67" s="276"/>
      <c r="IR67" s="275"/>
      <c r="IS67" s="276"/>
      <c r="IT67" s="299"/>
      <c r="IU67" s="299"/>
      <c r="IV67" s="299"/>
      <c r="IW67" s="299"/>
      <c r="IX67" s="268"/>
      <c r="IY67" s="268"/>
      <c r="IZ67" s="268"/>
      <c r="JA67" s="268"/>
      <c r="JB67" s="268"/>
      <c r="JC67" s="268"/>
      <c r="JD67" s="315">
        <v>18750</v>
      </c>
      <c r="JE67" s="123"/>
      <c r="JF67" s="115"/>
      <c r="JG67" s="123"/>
      <c r="JH67" s="123"/>
      <c r="JI67" s="115"/>
    </row>
    <row r="68" spans="1:269" ht="15" customHeight="1">
      <c r="A68" s="456" t="s">
        <v>439</v>
      </c>
      <c r="B68" s="50" t="s">
        <v>28</v>
      </c>
      <c r="C68" s="50" t="s">
        <v>110</v>
      </c>
      <c r="D68" s="50">
        <v>2017</v>
      </c>
      <c r="E68" s="50"/>
      <c r="F68" s="50" t="s">
        <v>441</v>
      </c>
      <c r="G68" s="50" t="s">
        <v>279</v>
      </c>
      <c r="H68" s="50" t="s">
        <v>172</v>
      </c>
      <c r="I68" s="50"/>
      <c r="J68" s="50" t="s">
        <v>442</v>
      </c>
      <c r="K68" s="256" t="s">
        <v>503</v>
      </c>
      <c r="L68" s="166" t="s">
        <v>61</v>
      </c>
      <c r="M68" s="167" t="s">
        <v>477</v>
      </c>
      <c r="N68" s="168">
        <v>34914</v>
      </c>
      <c r="O68" s="233"/>
      <c r="P68" s="233"/>
      <c r="Q68" s="233"/>
      <c r="R68" s="233"/>
      <c r="S68" s="233"/>
      <c r="T68" s="613"/>
      <c r="U68" s="613"/>
      <c r="V68" s="613"/>
      <c r="W68" s="233"/>
      <c r="X68" s="208"/>
      <c r="Y68" s="216" t="e">
        <f t="shared" si="78"/>
        <v>#DIV/0!</v>
      </c>
      <c r="Z68" s="208"/>
      <c r="AA68" s="208"/>
      <c r="AB68" s="209"/>
      <c r="AC68" s="50" t="s">
        <v>440</v>
      </c>
      <c r="AD68" s="318">
        <f t="shared" si="163"/>
        <v>26</v>
      </c>
      <c r="AE68" s="61"/>
      <c r="AF68" s="115"/>
      <c r="AG68" s="115"/>
      <c r="AH68" s="193">
        <v>26</v>
      </c>
      <c r="AI68" s="268"/>
      <c r="AJ68" s="54"/>
      <c r="AK68" s="54"/>
      <c r="AL68" s="89"/>
      <c r="AM68" s="54"/>
      <c r="AN68" s="75"/>
      <c r="AO68" s="75"/>
      <c r="AP68" s="75"/>
      <c r="AQ68" s="75"/>
      <c r="AR68" s="75"/>
      <c r="AS68" s="54"/>
      <c r="AT68" s="73"/>
      <c r="AU68" s="75"/>
      <c r="AV68" s="54"/>
      <c r="AW68" s="50"/>
      <c r="AX68" s="50"/>
      <c r="AY68" s="806"/>
      <c r="AZ68" s="50"/>
      <c r="BA68" s="50"/>
      <c r="BB68" s="50"/>
      <c r="BC68" s="110"/>
      <c r="BD68" s="110"/>
      <c r="BE68" s="94"/>
      <c r="BF68" s="204">
        <v>43005</v>
      </c>
      <c r="BG68" s="96"/>
      <c r="BH68" s="96"/>
      <c r="BI68" s="204"/>
      <c r="BJ68" s="96"/>
      <c r="BK68" s="160">
        <v>43081</v>
      </c>
      <c r="BL68" s="202">
        <v>43235</v>
      </c>
      <c r="BM68" s="160">
        <f t="shared" si="159"/>
        <v>43327</v>
      </c>
      <c r="BN68" s="160"/>
      <c r="BO68" s="298">
        <f t="shared" si="135"/>
        <v>43235</v>
      </c>
      <c r="BP68" s="297">
        <f t="shared" si="136"/>
        <v>43966</v>
      </c>
      <c r="BQ68" s="297">
        <f t="shared" si="144"/>
        <v>44331</v>
      </c>
      <c r="BR68" s="297"/>
      <c r="BS68" s="297" t="str">
        <f>IF(EU68&gt;BP68,"oui","non")</f>
        <v>non</v>
      </c>
      <c r="BT68" s="686">
        <f t="shared" si="164"/>
        <v>17</v>
      </c>
      <c r="BU68" s="686">
        <f t="shared" si="165"/>
        <v>0</v>
      </c>
      <c r="BV68" s="686">
        <f t="shared" si="166"/>
        <v>0</v>
      </c>
      <c r="BW68" s="159"/>
      <c r="BX68" s="165"/>
      <c r="BY68" s="97"/>
      <c r="BZ68" s="98"/>
      <c r="CA68" s="98"/>
      <c r="CB68" s="98"/>
      <c r="CC68" s="158"/>
      <c r="CD68" s="251"/>
      <c r="CE68" s="251"/>
      <c r="CF68" s="157"/>
      <c r="CG68" s="251"/>
      <c r="CH68" s="251"/>
      <c r="CI68" s="251"/>
      <c r="CJ68" s="408"/>
      <c r="CK68" s="604"/>
      <c r="CL68" s="316">
        <v>42649</v>
      </c>
      <c r="CM68" s="123"/>
      <c r="CN68" s="123"/>
      <c r="CO68" s="529" t="str">
        <f t="shared" si="167"/>
        <v>0</v>
      </c>
      <c r="CP68" s="123">
        <v>42839</v>
      </c>
      <c r="CQ68" s="123">
        <v>42879</v>
      </c>
      <c r="CR68" s="529">
        <f t="shared" si="168"/>
        <v>40</v>
      </c>
      <c r="CS68" s="316">
        <v>42814</v>
      </c>
      <c r="CT68" s="316">
        <v>42793</v>
      </c>
      <c r="CU68" s="529">
        <f t="shared" si="169"/>
        <v>-21</v>
      </c>
      <c r="CV68" s="549">
        <v>42844</v>
      </c>
      <c r="CW68" s="546">
        <f ca="1">IF(CV68&lt;TODAY(),TODAY(),CV68)</f>
        <v>43332</v>
      </c>
      <c r="CX68" s="551">
        <f t="shared" ca="1" si="170"/>
        <v>488</v>
      </c>
      <c r="CY68" s="549">
        <v>42965</v>
      </c>
      <c r="CZ68" s="549">
        <f ca="1">IF(CY68&lt;TODAY(),TODAY(),CY68)</f>
        <v>43332</v>
      </c>
      <c r="DA68" s="551">
        <f t="shared" ca="1" si="171"/>
        <v>367</v>
      </c>
      <c r="DB68" s="457"/>
      <c r="DC68" s="555">
        <v>43249</v>
      </c>
      <c r="DD68" s="543">
        <v>43083</v>
      </c>
      <c r="DE68" s="539">
        <f t="shared" ca="1" si="155"/>
        <v>43332</v>
      </c>
      <c r="DF68" s="535">
        <f t="shared" ca="1" si="172"/>
        <v>249</v>
      </c>
      <c r="DG68" s="543">
        <v>43090</v>
      </c>
      <c r="DH68" s="703">
        <v>43419</v>
      </c>
      <c r="DI68" s="348"/>
      <c r="DJ68" s="446">
        <f t="shared" si="173"/>
        <v>13.8</v>
      </c>
      <c r="DK68" s="535">
        <f t="shared" si="174"/>
        <v>329</v>
      </c>
      <c r="DL68" s="704">
        <v>12</v>
      </c>
      <c r="DM68" s="243">
        <f t="shared" si="175"/>
        <v>12</v>
      </c>
      <c r="DN68" s="533"/>
      <c r="DO68" s="539">
        <f t="shared" ca="1" si="156"/>
        <v>43332</v>
      </c>
      <c r="DP68" s="535" t="str">
        <f t="shared" ca="1" si="176"/>
        <v>0</v>
      </c>
      <c r="DQ68" s="533"/>
      <c r="DR68" s="557">
        <f t="shared" ca="1" si="157"/>
        <v>43332</v>
      </c>
      <c r="DS68" s="536" t="str">
        <f t="shared" ca="1" si="177"/>
        <v>0</v>
      </c>
      <c r="DT68" s="539"/>
      <c r="DU68" s="539">
        <f t="shared" ca="1" si="140"/>
        <v>43332</v>
      </c>
      <c r="DV68" s="535" t="str">
        <f t="shared" ca="1" si="178"/>
        <v>0</v>
      </c>
      <c r="DW68" s="539"/>
      <c r="DX68" s="539">
        <f t="shared" ca="1" si="141"/>
        <v>43332</v>
      </c>
      <c r="DY68" s="535" t="str">
        <f t="shared" ca="1" si="179"/>
        <v>0</v>
      </c>
      <c r="DZ68" s="539"/>
      <c r="EA68" s="539">
        <f t="shared" ca="1" si="160"/>
        <v>43332</v>
      </c>
      <c r="EB68" s="535" t="str">
        <f t="shared" ca="1" si="180"/>
        <v>0</v>
      </c>
      <c r="EC68" s="539"/>
      <c r="ED68" s="539">
        <f t="shared" ca="1" si="152"/>
        <v>43332</v>
      </c>
      <c r="EE68" s="535" t="str">
        <f t="shared" ca="1" si="181"/>
        <v>0</v>
      </c>
      <c r="EF68" s="539"/>
      <c r="EG68" s="539">
        <f t="shared" ca="1" si="131"/>
        <v>43332</v>
      </c>
      <c r="EH68" s="535" t="str">
        <f t="shared" ca="1" si="182"/>
        <v>0</v>
      </c>
      <c r="EI68" s="539"/>
      <c r="EJ68" s="539"/>
      <c r="EK68" s="539"/>
      <c r="EL68" s="625">
        <f t="shared" si="183"/>
        <v>43784</v>
      </c>
      <c r="EM68" s="404">
        <f>DATE(YEAR(DH68),MONTH(DH68)+DL68,DAY(DH68))</f>
        <v>43784</v>
      </c>
      <c r="EN68" s="756">
        <f t="shared" si="184"/>
        <v>0</v>
      </c>
      <c r="EO68" s="580">
        <f t="shared" si="128"/>
        <v>731</v>
      </c>
      <c r="EP68" s="244"/>
      <c r="EQ68" s="244"/>
      <c r="ER68" s="121">
        <f t="shared" si="191"/>
        <v>43814</v>
      </c>
      <c r="ES68" s="580"/>
      <c r="ET68" s="578">
        <f t="shared" si="185"/>
        <v>43814</v>
      </c>
      <c r="EU68" s="455">
        <f>ER68</f>
        <v>43814</v>
      </c>
      <c r="EV68" s="581"/>
      <c r="EW68" s="753">
        <f t="shared" si="186"/>
        <v>0</v>
      </c>
      <c r="EX68" s="722"/>
      <c r="EY68" s="247">
        <f t="shared" si="187"/>
        <v>0</v>
      </c>
      <c r="EZ68" s="118"/>
      <c r="FA68" s="562">
        <v>0</v>
      </c>
      <c r="FB68" s="562">
        <v>0</v>
      </c>
      <c r="FC68" s="562"/>
      <c r="FD68" s="562"/>
      <c r="FE68" s="562"/>
      <c r="FF68" s="787">
        <f t="shared" si="154"/>
        <v>0</v>
      </c>
      <c r="FG68" s="559"/>
      <c r="FH68" s="571"/>
      <c r="FI68" s="571"/>
      <c r="FJ68" s="559"/>
      <c r="FK68" s="122"/>
      <c r="FL68" s="122"/>
      <c r="FM68" s="122"/>
      <c r="FN68" s="122"/>
      <c r="FO68" s="122"/>
      <c r="FP68" s="50"/>
      <c r="FQ68" s="279">
        <f t="shared" si="162"/>
        <v>44150</v>
      </c>
      <c r="FR68" s="279"/>
      <c r="FS68" s="50"/>
      <c r="FT68" s="50"/>
      <c r="FU68" s="50"/>
      <c r="FV68" s="50"/>
      <c r="FW68" s="50"/>
      <c r="FX68" s="50"/>
      <c r="FY68" s="50"/>
      <c r="FZ68" s="50"/>
      <c r="GA68" s="50"/>
      <c r="GB68" s="50"/>
      <c r="GC68" s="50"/>
      <c r="GD68" s="50"/>
      <c r="GE68" s="50"/>
      <c r="GF68" s="113"/>
      <c r="GG68" s="113"/>
      <c r="GH68" s="390">
        <f>+GR68+GW68+HD68+HX68+HI68+HH68</f>
        <v>0</v>
      </c>
      <c r="GI68" s="64">
        <f>GS68+GX68+HC68+HE68+HI68</f>
        <v>187500</v>
      </c>
      <c r="GJ68" s="64"/>
      <c r="GK68" s="64"/>
      <c r="GL68" s="84"/>
      <c r="GM68" s="84"/>
      <c r="GN68" s="64"/>
      <c r="GO68" s="85"/>
      <c r="GP68" s="64"/>
      <c r="GQ68" s="64"/>
      <c r="GR68" s="64"/>
      <c r="GS68" s="84"/>
      <c r="GT68" s="746"/>
      <c r="GU68" s="64">
        <f>GR68/AD68</f>
        <v>0</v>
      </c>
      <c r="GV68" s="85">
        <f>GS68-GR68</f>
        <v>0</v>
      </c>
      <c r="GW68" s="64"/>
      <c r="GX68" s="64"/>
      <c r="GY68" s="64"/>
      <c r="GZ68" s="84"/>
      <c r="HA68" s="84"/>
      <c r="HB68" s="64">
        <f>GW68/AD68</f>
        <v>0</v>
      </c>
      <c r="HC68" s="85"/>
      <c r="HD68" s="90"/>
      <c r="HE68" s="64">
        <v>187500</v>
      </c>
      <c r="HF68" s="64"/>
      <c r="HG68" s="84">
        <f t="shared" si="188"/>
        <v>1</v>
      </c>
      <c r="HH68" s="84"/>
      <c r="HI68" s="64"/>
      <c r="HJ68" s="85">
        <f t="shared" si="148"/>
        <v>187500</v>
      </c>
      <c r="HK68" s="391">
        <f t="shared" si="189"/>
        <v>7211.5384615384619</v>
      </c>
      <c r="HL68" s="393">
        <f t="shared" si="190"/>
        <v>7211.5384615384619</v>
      </c>
      <c r="HM68" s="391">
        <f t="shared" si="133"/>
        <v>7211.5384615384619</v>
      </c>
      <c r="HN68" s="394"/>
      <c r="HO68" s="394"/>
      <c r="HP68" s="390"/>
      <c r="HQ68" s="390"/>
      <c r="HR68" s="391">
        <f t="shared" si="142"/>
        <v>0</v>
      </c>
      <c r="HS68" s="390"/>
      <c r="HT68" s="391">
        <f>(GS68+HD68+HQ68+HS68)/AD68</f>
        <v>0</v>
      </c>
      <c r="HU68" s="107" t="e">
        <f t="shared" si="143"/>
        <v>#DIV/0!</v>
      </c>
      <c r="HV68" s="390"/>
      <c r="HW68" s="390"/>
      <c r="HX68" s="390">
        <f t="shared" si="161"/>
        <v>0</v>
      </c>
      <c r="HY68" s="395">
        <f t="shared" si="145"/>
        <v>0</v>
      </c>
      <c r="HZ68" s="276"/>
      <c r="IA68" s="276">
        <f t="shared" si="150"/>
        <v>0</v>
      </c>
      <c r="IB68" s="277"/>
      <c r="IC68" s="280">
        <v>0</v>
      </c>
      <c r="ID68" s="280"/>
      <c r="IE68" s="267"/>
      <c r="IF68" s="267"/>
      <c r="IG68" s="463">
        <v>0</v>
      </c>
      <c r="IH68" s="267"/>
      <c r="II68" s="273">
        <v>0</v>
      </c>
      <c r="IJ68" s="267"/>
      <c r="IK68" s="466"/>
      <c r="IL68" s="278"/>
      <c r="IM68" s="283"/>
      <c r="IN68" s="281"/>
      <c r="IO68" s="281"/>
      <c r="IP68" s="275"/>
      <c r="IQ68" s="276"/>
      <c r="IR68" s="275"/>
      <c r="IS68" s="276"/>
      <c r="IT68" s="299"/>
      <c r="IU68" s="299"/>
      <c r="IV68" s="299"/>
      <c r="IW68" s="299"/>
      <c r="IX68" s="268"/>
      <c r="IY68" s="268"/>
      <c r="IZ68" s="268"/>
      <c r="JA68" s="268"/>
      <c r="JB68" s="268"/>
      <c r="JC68" s="268"/>
      <c r="JD68" s="280" t="e">
        <f>$JD$1*HZ68</f>
        <v>#VALUE!</v>
      </c>
      <c r="JE68" s="118"/>
      <c r="JF68" s="278"/>
      <c r="JG68" s="118"/>
      <c r="JH68" s="118"/>
      <c r="JI68" s="278"/>
    </row>
    <row r="69" spans="1:269" ht="15" customHeight="1">
      <c r="A69" s="83" t="s">
        <v>525</v>
      </c>
      <c r="B69" s="50" t="s">
        <v>34</v>
      </c>
      <c r="C69" s="50" t="s">
        <v>111</v>
      </c>
      <c r="D69" s="50">
        <v>2017</v>
      </c>
      <c r="E69" s="50" t="s">
        <v>414</v>
      </c>
      <c r="F69" s="50" t="s">
        <v>378</v>
      </c>
      <c r="G69" s="50" t="s">
        <v>178</v>
      </c>
      <c r="H69" s="52" t="s">
        <v>173</v>
      </c>
      <c r="I69" s="50"/>
      <c r="J69" s="50" t="s">
        <v>432</v>
      </c>
      <c r="K69" s="256" t="s">
        <v>615</v>
      </c>
      <c r="L69" s="166"/>
      <c r="M69" s="167"/>
      <c r="N69" s="168"/>
      <c r="O69" s="207">
        <v>11037</v>
      </c>
      <c r="P69" s="207">
        <v>705655.44208162103</v>
      </c>
      <c r="Q69" s="207"/>
      <c r="R69" s="207">
        <f>P69/AD69</f>
        <v>8400.6600247812021</v>
      </c>
      <c r="S69" s="207">
        <f>P69/O69</f>
        <v>63.935439166587031</v>
      </c>
      <c r="T69" s="213">
        <f>Q69/O69</f>
        <v>0</v>
      </c>
      <c r="U69" s="213">
        <f>Q69/AL69</f>
        <v>0</v>
      </c>
      <c r="V69" s="213">
        <f>Q69/AD69</f>
        <v>0</v>
      </c>
      <c r="W69" s="207">
        <f>O69/AD69</f>
        <v>131.39285714285714</v>
      </c>
      <c r="X69" s="208"/>
      <c r="Y69" s="209">
        <f t="shared" si="78"/>
        <v>0.58915284950620639</v>
      </c>
      <c r="Z69" s="208"/>
      <c r="AA69" s="208"/>
      <c r="AB69" s="209"/>
      <c r="AC69" s="50" t="s">
        <v>16</v>
      </c>
      <c r="AD69" s="318">
        <f t="shared" si="163"/>
        <v>84</v>
      </c>
      <c r="AE69" s="61"/>
      <c r="AF69" s="50">
        <v>84</v>
      </c>
      <c r="AG69" s="50"/>
      <c r="AH69" s="50"/>
      <c r="AI69" s="268"/>
      <c r="AJ69" s="54">
        <v>6502.48</v>
      </c>
      <c r="AK69" s="54"/>
      <c r="AL69" s="412">
        <v>6502.48</v>
      </c>
      <c r="AM69" s="54">
        <f>AL69/AD69</f>
        <v>77.410476190476189</v>
      </c>
      <c r="AN69" s="75"/>
      <c r="AO69" s="75"/>
      <c r="AP69" s="75"/>
      <c r="AQ69" s="75"/>
      <c r="AR69" s="75"/>
      <c r="AS69" s="54"/>
      <c r="AT69" s="182"/>
      <c r="AU69" s="107"/>
      <c r="AV69" s="54"/>
      <c r="AW69" s="53" t="s">
        <v>561</v>
      </c>
      <c r="AX69" s="50" t="s">
        <v>118</v>
      </c>
      <c r="AY69" s="806"/>
      <c r="AZ69" s="50"/>
      <c r="BA69" s="239" t="s">
        <v>523</v>
      </c>
      <c r="BB69" s="184"/>
      <c r="BC69" s="110"/>
      <c r="BD69" s="110"/>
      <c r="BE69" s="94"/>
      <c r="BF69" s="204">
        <v>42929</v>
      </c>
      <c r="BG69" s="96">
        <v>43010</v>
      </c>
      <c r="BH69" s="96" t="s">
        <v>165</v>
      </c>
      <c r="BI69" s="204" t="s">
        <v>165</v>
      </c>
      <c r="BJ69" s="96" t="s">
        <v>165</v>
      </c>
      <c r="BK69" s="160">
        <v>43326</v>
      </c>
      <c r="BL69" s="202">
        <f>DATE(YEAR(BK69),MONTH(BK69)+1,DAY(BK69))</f>
        <v>43357</v>
      </c>
      <c r="BM69" s="160">
        <f t="shared" si="159"/>
        <v>43448</v>
      </c>
      <c r="BN69" s="160"/>
      <c r="BO69" s="298">
        <f t="shared" si="135"/>
        <v>43357</v>
      </c>
      <c r="BP69" s="297">
        <f t="shared" si="136"/>
        <v>44088</v>
      </c>
      <c r="BQ69" s="297">
        <f t="shared" si="144"/>
        <v>44453</v>
      </c>
      <c r="BR69" s="686">
        <f>26923+179778</f>
        <v>206701</v>
      </c>
      <c r="BS69" s="297" t="str">
        <f>IF(EU69&gt;BQ69,"oui","non")</f>
        <v>non</v>
      </c>
      <c r="BT69" s="686">
        <f t="shared" si="164"/>
        <v>4</v>
      </c>
      <c r="BU69" s="686">
        <f t="shared" si="165"/>
        <v>138312</v>
      </c>
      <c r="BV69" s="686">
        <f t="shared" si="166"/>
        <v>-68389</v>
      </c>
      <c r="BW69" s="160"/>
      <c r="BX69" s="165"/>
      <c r="BY69" s="97"/>
      <c r="BZ69" s="98"/>
      <c r="CA69" s="98"/>
      <c r="CB69" s="98"/>
      <c r="CC69" s="158"/>
      <c r="CD69" s="251"/>
      <c r="CE69" s="251"/>
      <c r="CF69" s="157"/>
      <c r="CG69" s="251"/>
      <c r="CH69" s="251"/>
      <c r="CI69" s="251"/>
      <c r="CJ69" s="251" t="s">
        <v>165</v>
      </c>
      <c r="CK69" s="604"/>
      <c r="CL69" s="316">
        <v>42619</v>
      </c>
      <c r="CM69" s="123">
        <v>42619</v>
      </c>
      <c r="CN69" s="123">
        <v>42619</v>
      </c>
      <c r="CO69" s="529">
        <f t="shared" si="167"/>
        <v>0</v>
      </c>
      <c r="CP69" s="123">
        <v>42793</v>
      </c>
      <c r="CQ69" s="123">
        <v>42775</v>
      </c>
      <c r="CR69" s="529">
        <f t="shared" si="168"/>
        <v>-18</v>
      </c>
      <c r="CS69" s="316">
        <v>42772</v>
      </c>
      <c r="CT69" s="316">
        <v>42794</v>
      </c>
      <c r="CU69" s="529">
        <f t="shared" si="169"/>
        <v>22</v>
      </c>
      <c r="CV69" s="549">
        <v>42835</v>
      </c>
      <c r="CW69" s="549">
        <f ca="1">IF(CV69&lt;TODAY(),TODAY(),CV69)</f>
        <v>43332</v>
      </c>
      <c r="CX69" s="551">
        <f t="shared" ca="1" si="170"/>
        <v>497</v>
      </c>
      <c r="CY69" s="549">
        <v>43143</v>
      </c>
      <c r="CZ69" s="549">
        <f ca="1">IF(CY69&lt;TODAY(),TODAY(),CY69)</f>
        <v>43332</v>
      </c>
      <c r="DA69" s="551">
        <f t="shared" ca="1" si="171"/>
        <v>189</v>
      </c>
      <c r="DB69" s="457"/>
      <c r="DC69" s="554"/>
      <c r="DD69" s="543">
        <v>43308</v>
      </c>
      <c r="DE69" s="539">
        <f t="shared" ca="1" si="155"/>
        <v>43332</v>
      </c>
      <c r="DF69" s="535">
        <f t="shared" ca="1" si="172"/>
        <v>24</v>
      </c>
      <c r="DG69" s="543">
        <v>43486</v>
      </c>
      <c r="DH69" s="703">
        <v>43486</v>
      </c>
      <c r="DI69" s="348"/>
      <c r="DJ69" s="446">
        <f t="shared" si="173"/>
        <v>18.566666666666666</v>
      </c>
      <c r="DK69" s="535">
        <f t="shared" si="174"/>
        <v>0</v>
      </c>
      <c r="DL69" s="704">
        <v>24</v>
      </c>
      <c r="DM69" s="243">
        <f t="shared" si="175"/>
        <v>25</v>
      </c>
      <c r="DN69" s="533"/>
      <c r="DO69" s="539">
        <f t="shared" ca="1" si="156"/>
        <v>43332</v>
      </c>
      <c r="DP69" s="535" t="str">
        <f t="shared" ca="1" si="176"/>
        <v>0</v>
      </c>
      <c r="DQ69" s="533"/>
      <c r="DR69" s="557">
        <f t="shared" ca="1" si="157"/>
        <v>43332</v>
      </c>
      <c r="DS69" s="536" t="str">
        <f t="shared" ca="1" si="177"/>
        <v>0</v>
      </c>
      <c r="DT69" s="539"/>
      <c r="DU69" s="539">
        <f t="shared" ca="1" si="140"/>
        <v>43332</v>
      </c>
      <c r="DV69" s="535" t="str">
        <f t="shared" ca="1" si="178"/>
        <v>0</v>
      </c>
      <c r="DW69" s="533"/>
      <c r="DX69" s="539">
        <f t="shared" ca="1" si="141"/>
        <v>43332</v>
      </c>
      <c r="DY69" s="535" t="str">
        <f t="shared" ca="1" si="179"/>
        <v>0</v>
      </c>
      <c r="DZ69" s="539"/>
      <c r="EA69" s="539">
        <f t="shared" ca="1" si="160"/>
        <v>43332</v>
      </c>
      <c r="EB69" s="535" t="str">
        <f t="shared" ca="1" si="180"/>
        <v>0</v>
      </c>
      <c r="EC69" s="539"/>
      <c r="ED69" s="539">
        <f t="shared" ca="1" si="152"/>
        <v>43332</v>
      </c>
      <c r="EE69" s="535" t="str">
        <f t="shared" ca="1" si="181"/>
        <v>0</v>
      </c>
      <c r="EF69" s="539"/>
      <c r="EG69" s="539">
        <f t="shared" ca="1" si="131"/>
        <v>43332</v>
      </c>
      <c r="EH69" s="535" t="str">
        <f t="shared" ca="1" si="182"/>
        <v>0</v>
      </c>
      <c r="EI69" s="539"/>
      <c r="EJ69" s="539"/>
      <c r="EK69" s="539"/>
      <c r="EL69" s="625">
        <f t="shared" si="183"/>
        <v>44217</v>
      </c>
      <c r="EM69" s="404">
        <f>DATE(YEAR(EL69),MONTH(EL69)+1,DAY(EL69))</f>
        <v>44248</v>
      </c>
      <c r="EN69" s="756">
        <f t="shared" si="184"/>
        <v>1.0333333333333334</v>
      </c>
      <c r="EO69" s="580">
        <f t="shared" si="128"/>
        <v>731</v>
      </c>
      <c r="EP69" s="244"/>
      <c r="EQ69" s="244"/>
      <c r="ER69" s="186">
        <f t="shared" si="191"/>
        <v>44276</v>
      </c>
      <c r="ES69" s="467"/>
      <c r="ET69" s="578">
        <f t="shared" si="185"/>
        <v>44248</v>
      </c>
      <c r="EU69" s="455">
        <f>DATE(YEAR(ER69),MONTH(ER69)+1,DAY(ER69))</f>
        <v>44307</v>
      </c>
      <c r="EV69" s="581"/>
      <c r="EW69" s="753">
        <f t="shared" si="186"/>
        <v>1.9666666666666666</v>
      </c>
      <c r="EX69" s="722">
        <v>34578</v>
      </c>
      <c r="EY69" s="247">
        <f t="shared" si="187"/>
        <v>68003.399999999994</v>
      </c>
      <c r="EZ69" s="118"/>
      <c r="FA69" s="562">
        <v>0</v>
      </c>
      <c r="FB69" s="562">
        <v>0</v>
      </c>
      <c r="FC69" s="562"/>
      <c r="FD69" s="562"/>
      <c r="FE69" s="562"/>
      <c r="FF69" s="787">
        <f t="shared" si="154"/>
        <v>0</v>
      </c>
      <c r="FG69" s="559"/>
      <c r="FH69" s="571"/>
      <c r="FI69" s="571" t="s">
        <v>734</v>
      </c>
      <c r="FJ69" s="559"/>
      <c r="FK69" s="122"/>
      <c r="FL69" s="122"/>
      <c r="FM69" s="122"/>
      <c r="FN69" s="122"/>
      <c r="FO69" s="122"/>
      <c r="FP69" s="50"/>
      <c r="FQ69" s="279">
        <f t="shared" si="162"/>
        <v>44613</v>
      </c>
      <c r="FR69" s="279"/>
      <c r="FS69" s="50"/>
      <c r="FT69" s="50"/>
      <c r="FU69" s="50"/>
      <c r="FV69" s="50"/>
      <c r="FW69" s="50"/>
      <c r="FX69" s="50"/>
      <c r="FY69" s="50"/>
      <c r="FZ69" s="50"/>
      <c r="GA69" s="50"/>
      <c r="GB69" s="50"/>
      <c r="GC69" s="50"/>
      <c r="GD69" s="50"/>
      <c r="GE69" s="50"/>
      <c r="GF69" s="113"/>
      <c r="GG69" s="113"/>
      <c r="GH69" s="90">
        <f>+GR69+GW69+HD69+HX69+HI69</f>
        <v>12734880</v>
      </c>
      <c r="GI69" s="64">
        <f>GS69+GX69+HE69+HX69+HF69+HI69</f>
        <v>12677323</v>
      </c>
      <c r="GJ69" s="90">
        <f t="shared" ref="GJ69:GJ88" si="192">GI69-GH69</f>
        <v>-57557</v>
      </c>
      <c r="GK69" s="46">
        <f>GI69/AJ69</f>
        <v>1949.6135320677649</v>
      </c>
      <c r="GL69" s="46">
        <f>GI69/AD69</f>
        <v>150920.51190476189</v>
      </c>
      <c r="GM69" s="90">
        <v>14981542.360255377</v>
      </c>
      <c r="GN69" s="90">
        <v>10898468</v>
      </c>
      <c r="GO69" s="90">
        <f t="shared" ref="GO69:GO88" si="193">GN69-GM69</f>
        <v>-4083074.3602553774</v>
      </c>
      <c r="GP69" s="90">
        <f t="shared" ref="GP69:GP88" si="194">GN69*1.021/GI69</f>
        <v>0.87773545156181632</v>
      </c>
      <c r="GQ69" s="302">
        <v>0.4</v>
      </c>
      <c r="GR69" s="90">
        <v>3890729</v>
      </c>
      <c r="GS69" s="64">
        <v>3808325</v>
      </c>
      <c r="GT69" s="657"/>
      <c r="GU69" s="90">
        <f t="shared" ref="GU69:GU81" si="195">GS69/AD69</f>
        <v>45337.202380952382</v>
      </c>
      <c r="GV69" s="90">
        <f>GS69-GR69</f>
        <v>-82404</v>
      </c>
      <c r="GW69" s="406">
        <f>6070791+1203804</f>
        <v>7274595</v>
      </c>
      <c r="GX69" s="64">
        <f>GY69+GZ69</f>
        <v>7299442</v>
      </c>
      <c r="GY69" s="84">
        <v>1108476</v>
      </c>
      <c r="GZ69" s="84">
        <v>6190966</v>
      </c>
      <c r="HA69" s="90">
        <f t="shared" ref="HA69:HA88" si="196">GX69-GW69</f>
        <v>24847</v>
      </c>
      <c r="HB69" s="642">
        <f>GX69/AD69</f>
        <v>86898.119047619053</v>
      </c>
      <c r="HC69" s="390"/>
      <c r="HD69" s="90">
        <v>1512000</v>
      </c>
      <c r="HE69" s="64">
        <v>1512000</v>
      </c>
      <c r="HF69" s="90"/>
      <c r="HG69" s="302">
        <f t="shared" si="188"/>
        <v>0.11926808207063905</v>
      </c>
      <c r="HH69" s="390"/>
      <c r="HI69" s="64">
        <v>57556</v>
      </c>
      <c r="HJ69" s="86">
        <f t="shared" si="148"/>
        <v>0</v>
      </c>
      <c r="HK69" s="19">
        <f t="shared" si="189"/>
        <v>18000</v>
      </c>
      <c r="HL69" s="78">
        <f t="shared" si="190"/>
        <v>63337.202380952382</v>
      </c>
      <c r="HM69" s="20">
        <f t="shared" si="133"/>
        <v>0</v>
      </c>
      <c r="HN69" s="87">
        <v>5.31</v>
      </c>
      <c r="HO69" s="87">
        <v>5.05</v>
      </c>
      <c r="HP69" s="88"/>
      <c r="HQ69" s="88"/>
      <c r="HR69" s="19">
        <f t="shared" si="142"/>
        <v>64318.202380952382</v>
      </c>
      <c r="HS69" s="88"/>
      <c r="HT69" s="19">
        <f>(GS69+HE69+HQ69+HS69)/AD69</f>
        <v>63337.202380952382</v>
      </c>
      <c r="HU69" s="47">
        <f t="shared" si="143"/>
        <v>0.4242465574862111</v>
      </c>
      <c r="HV69" s="88"/>
      <c r="HW69" s="88"/>
      <c r="HX69" s="64">
        <f t="shared" si="161"/>
        <v>0</v>
      </c>
      <c r="HY69" s="37">
        <f t="shared" si="145"/>
        <v>12734880</v>
      </c>
      <c r="HZ69" s="276">
        <v>638743</v>
      </c>
      <c r="IA69" s="276">
        <f t="shared" si="150"/>
        <v>319371</v>
      </c>
      <c r="IB69" s="114">
        <v>42605</v>
      </c>
      <c r="IC69" s="315">
        <v>110767</v>
      </c>
      <c r="ID69" s="315"/>
      <c r="IE69" s="317"/>
      <c r="IF69" s="317">
        <v>42716</v>
      </c>
      <c r="IG69" s="233">
        <v>22977</v>
      </c>
      <c r="IH69" s="114">
        <v>42794</v>
      </c>
      <c r="II69" s="233">
        <v>22994</v>
      </c>
      <c r="IJ69" s="114">
        <v>42926</v>
      </c>
      <c r="IK69" s="233">
        <v>62867</v>
      </c>
      <c r="IL69" s="114">
        <v>43290</v>
      </c>
      <c r="IM69" s="322">
        <v>99766</v>
      </c>
      <c r="IN69" s="314"/>
      <c r="IO69" s="314"/>
      <c r="IP69" s="275"/>
      <c r="IQ69" s="280"/>
      <c r="IR69" s="275"/>
      <c r="IS69" s="280"/>
      <c r="IT69" s="299"/>
      <c r="IU69" s="299"/>
      <c r="IV69" s="299"/>
      <c r="IW69" s="299"/>
      <c r="IX69" s="268"/>
      <c r="IY69" s="268"/>
      <c r="IZ69" s="268"/>
      <c r="JA69" s="268"/>
      <c r="JB69" s="268"/>
      <c r="JC69" s="268"/>
      <c r="JD69" s="327">
        <v>22994</v>
      </c>
      <c r="JE69" s="316"/>
      <c r="JF69" s="115"/>
      <c r="JG69" s="316"/>
      <c r="JH69" s="316"/>
      <c r="JI69" s="115"/>
    </row>
    <row r="70" spans="1:269" ht="15" customHeight="1">
      <c r="A70" s="83" t="s">
        <v>406</v>
      </c>
      <c r="B70" s="50" t="s">
        <v>35</v>
      </c>
      <c r="C70" s="50" t="s">
        <v>110</v>
      </c>
      <c r="D70" s="50">
        <v>2017</v>
      </c>
      <c r="E70" s="50" t="s">
        <v>415</v>
      </c>
      <c r="F70" s="50" t="s">
        <v>383</v>
      </c>
      <c r="G70" s="50" t="s">
        <v>471</v>
      </c>
      <c r="H70" s="50" t="s">
        <v>172</v>
      </c>
      <c r="I70" s="50"/>
      <c r="J70" s="50" t="s">
        <v>407</v>
      </c>
      <c r="K70" s="256" t="s">
        <v>643</v>
      </c>
      <c r="L70" s="166"/>
      <c r="M70" s="167"/>
      <c r="N70" s="168"/>
      <c r="O70" s="207">
        <v>1953</v>
      </c>
      <c r="P70" s="207">
        <v>452000</v>
      </c>
      <c r="Q70" s="207"/>
      <c r="R70" s="207">
        <f>P70/AD70</f>
        <v>17384.615384615383</v>
      </c>
      <c r="S70" s="207">
        <f>P70/O70</f>
        <v>231.43881208397337</v>
      </c>
      <c r="T70" s="213">
        <f>Q70/O70</f>
        <v>0</v>
      </c>
      <c r="U70" s="213">
        <f>Q70/AL70</f>
        <v>0</v>
      </c>
      <c r="V70" s="213">
        <f>Q70/AD70</f>
        <v>0</v>
      </c>
      <c r="W70" s="207">
        <f>O70/AD70</f>
        <v>75.115384615384613</v>
      </c>
      <c r="X70" s="208"/>
      <c r="Y70" s="209">
        <f t="shared" si="78"/>
        <v>0.87758320532514089</v>
      </c>
      <c r="Z70" s="208" t="s">
        <v>185</v>
      </c>
      <c r="AA70" s="208">
        <v>590</v>
      </c>
      <c r="AB70" s="209"/>
      <c r="AC70" s="50" t="s">
        <v>16</v>
      </c>
      <c r="AD70" s="318">
        <f t="shared" si="163"/>
        <v>26</v>
      </c>
      <c r="AE70" s="61"/>
      <c r="AF70" s="50">
        <v>26</v>
      </c>
      <c r="AG70" s="50"/>
      <c r="AH70" s="50"/>
      <c r="AI70" s="268"/>
      <c r="AJ70" s="54">
        <v>1730.4</v>
      </c>
      <c r="AK70" s="54"/>
      <c r="AL70" s="89">
        <v>1713.92</v>
      </c>
      <c r="AM70" s="7">
        <f>AL70/AD70</f>
        <v>65.92</v>
      </c>
      <c r="AN70" s="75"/>
      <c r="AO70" s="75">
        <f>26/AD70</f>
        <v>1</v>
      </c>
      <c r="AP70" s="75"/>
      <c r="AQ70" s="75"/>
      <c r="AR70" s="75"/>
      <c r="AS70" s="54"/>
      <c r="AT70" s="182"/>
      <c r="AU70" s="107"/>
      <c r="AV70" s="54">
        <v>4</v>
      </c>
      <c r="AW70" s="53" t="s">
        <v>561</v>
      </c>
      <c r="AX70" s="50" t="s">
        <v>118</v>
      </c>
      <c r="AY70" s="806"/>
      <c r="AZ70" s="50"/>
      <c r="BA70" s="238">
        <v>42691</v>
      </c>
      <c r="BB70" s="50"/>
      <c r="BC70" s="110"/>
      <c r="BD70" s="110"/>
      <c r="BE70" s="94"/>
      <c r="BF70" s="204">
        <v>42970</v>
      </c>
      <c r="BG70" s="96">
        <v>42999</v>
      </c>
      <c r="BH70" s="96"/>
      <c r="BI70" s="204"/>
      <c r="BJ70" s="96"/>
      <c r="BK70" s="707">
        <v>43301</v>
      </c>
      <c r="BL70" s="706">
        <f>DATE(YEAR(BK70),MONTH(BK70)+1,DAY(BK70))</f>
        <v>43332</v>
      </c>
      <c r="BM70" s="707">
        <f t="shared" si="159"/>
        <v>43424</v>
      </c>
      <c r="BN70" s="160"/>
      <c r="BO70" s="298">
        <f t="shared" si="135"/>
        <v>43332</v>
      </c>
      <c r="BP70" s="297">
        <f t="shared" si="136"/>
        <v>44063</v>
      </c>
      <c r="BQ70" s="297">
        <f t="shared" si="144"/>
        <v>44428</v>
      </c>
      <c r="BR70" s="686">
        <f>47096+11085</f>
        <v>58181</v>
      </c>
      <c r="BS70" s="297" t="str">
        <f>IF(EU70&gt;BQ70,"oui","non")</f>
        <v>non</v>
      </c>
      <c r="BT70" s="686">
        <f t="shared" si="164"/>
        <v>10</v>
      </c>
      <c r="BU70" s="686">
        <f t="shared" si="165"/>
        <v>96539.799999999988</v>
      </c>
      <c r="BV70" s="686">
        <f t="shared" si="166"/>
        <v>0</v>
      </c>
      <c r="BW70" s="160"/>
      <c r="BX70" s="165"/>
      <c r="BY70" s="97"/>
      <c r="BZ70" s="98"/>
      <c r="CA70" s="98"/>
      <c r="CB70" s="98"/>
      <c r="CC70" s="158"/>
      <c r="CD70" s="251"/>
      <c r="CE70" s="251"/>
      <c r="CF70" s="157"/>
      <c r="CG70" s="251"/>
      <c r="CH70" s="251"/>
      <c r="CI70" s="251"/>
      <c r="CJ70" s="251" t="s">
        <v>165</v>
      </c>
      <c r="CK70" s="604"/>
      <c r="CL70" s="316">
        <v>42586</v>
      </c>
      <c r="CM70" s="123">
        <v>42601</v>
      </c>
      <c r="CN70" s="123">
        <v>42586</v>
      </c>
      <c r="CO70" s="529">
        <f t="shared" si="167"/>
        <v>-15</v>
      </c>
      <c r="CP70" s="316">
        <v>42706</v>
      </c>
      <c r="CQ70" s="316">
        <v>42704</v>
      </c>
      <c r="CR70" s="529">
        <f t="shared" si="168"/>
        <v>-2</v>
      </c>
      <c r="CS70" s="316">
        <v>42758</v>
      </c>
      <c r="CT70" s="316">
        <v>42758</v>
      </c>
      <c r="CU70" s="529">
        <f t="shared" si="169"/>
        <v>0</v>
      </c>
      <c r="CV70" s="123">
        <v>42818</v>
      </c>
      <c r="CW70" s="316">
        <v>42898</v>
      </c>
      <c r="CX70" s="529">
        <f t="shared" si="170"/>
        <v>80</v>
      </c>
      <c r="CY70" s="123">
        <v>42895</v>
      </c>
      <c r="CZ70" s="123">
        <v>43251</v>
      </c>
      <c r="DA70" s="529">
        <f t="shared" si="171"/>
        <v>356</v>
      </c>
      <c r="DB70" s="457"/>
      <c r="DC70" s="546">
        <v>43358</v>
      </c>
      <c r="DD70" s="543">
        <v>43144</v>
      </c>
      <c r="DE70" s="539">
        <f t="shared" ca="1" si="155"/>
        <v>43332</v>
      </c>
      <c r="DF70" s="535">
        <f t="shared" ca="1" si="172"/>
        <v>188</v>
      </c>
      <c r="DG70" s="543">
        <v>43159</v>
      </c>
      <c r="DH70" s="703">
        <v>43556</v>
      </c>
      <c r="DI70" s="348"/>
      <c r="DJ70" s="446">
        <f t="shared" si="173"/>
        <v>19.533333333333335</v>
      </c>
      <c r="DK70" s="535">
        <f t="shared" si="174"/>
        <v>397</v>
      </c>
      <c r="DL70" s="704">
        <v>15</v>
      </c>
      <c r="DM70" s="243">
        <f t="shared" si="175"/>
        <v>16</v>
      </c>
      <c r="DN70" s="533"/>
      <c r="DO70" s="539">
        <f t="shared" ca="1" si="156"/>
        <v>43332</v>
      </c>
      <c r="DP70" s="535" t="str">
        <f t="shared" ca="1" si="176"/>
        <v>0</v>
      </c>
      <c r="DQ70" s="533"/>
      <c r="DR70" s="557">
        <f t="shared" ca="1" si="157"/>
        <v>43332</v>
      </c>
      <c r="DS70" s="536" t="str">
        <f t="shared" ca="1" si="177"/>
        <v>0</v>
      </c>
      <c r="DT70" s="539"/>
      <c r="DU70" s="539">
        <f t="shared" ca="1" si="140"/>
        <v>43332</v>
      </c>
      <c r="DV70" s="535" t="str">
        <f t="shared" ca="1" si="178"/>
        <v>0</v>
      </c>
      <c r="DW70" s="533"/>
      <c r="DX70" s="539">
        <f t="shared" ca="1" si="141"/>
        <v>43332</v>
      </c>
      <c r="DY70" s="535" t="str">
        <f t="shared" ca="1" si="179"/>
        <v>0</v>
      </c>
      <c r="DZ70" s="539"/>
      <c r="EA70" s="539">
        <f t="shared" ca="1" si="160"/>
        <v>43332</v>
      </c>
      <c r="EB70" s="535" t="str">
        <f t="shared" ca="1" si="180"/>
        <v>0</v>
      </c>
      <c r="EC70" s="539"/>
      <c r="ED70" s="539">
        <f t="shared" ca="1" si="152"/>
        <v>43332</v>
      </c>
      <c r="EE70" s="535" t="str">
        <f t="shared" ca="1" si="181"/>
        <v>0</v>
      </c>
      <c r="EF70" s="539"/>
      <c r="EG70" s="539">
        <f t="shared" ca="1" si="131"/>
        <v>43332</v>
      </c>
      <c r="EH70" s="535" t="str">
        <f t="shared" ca="1" si="182"/>
        <v>0</v>
      </c>
      <c r="EI70" s="539"/>
      <c r="EJ70" s="539"/>
      <c r="EK70" s="539"/>
      <c r="EL70" s="625">
        <f t="shared" si="183"/>
        <v>44013</v>
      </c>
      <c r="EM70" s="404">
        <f>DATE(YEAR(EL70),MONTH(EL70)+1,DAY(EL70))</f>
        <v>44044</v>
      </c>
      <c r="EN70" s="756">
        <f t="shared" si="184"/>
        <v>1.0333333333333334</v>
      </c>
      <c r="EO70" s="580">
        <f t="shared" si="128"/>
        <v>731</v>
      </c>
      <c r="EP70" s="244"/>
      <c r="EQ70" s="244"/>
      <c r="ER70" s="186">
        <f t="shared" si="191"/>
        <v>44075</v>
      </c>
      <c r="ES70" s="467"/>
      <c r="ET70" s="578">
        <f t="shared" si="185"/>
        <v>44044</v>
      </c>
      <c r="EU70" s="455">
        <f>DATE(YEAR(ER70),MONTH(ER70)+1,DAY(ER70))</f>
        <v>44105</v>
      </c>
      <c r="EV70" s="581"/>
      <c r="EW70" s="753">
        <f t="shared" si="186"/>
        <v>2.0333333333333332</v>
      </c>
      <c r="EX70" s="722">
        <v>9653.98</v>
      </c>
      <c r="EY70" s="247">
        <f t="shared" si="187"/>
        <v>19629.759333333332</v>
      </c>
      <c r="EZ70" s="118"/>
      <c r="FA70" s="562">
        <v>0</v>
      </c>
      <c r="FB70" s="562">
        <v>0</v>
      </c>
      <c r="FC70" s="562"/>
      <c r="FD70" s="562"/>
      <c r="FE70" s="562"/>
      <c r="FF70" s="787">
        <f t="shared" si="154"/>
        <v>0</v>
      </c>
      <c r="FG70" s="559"/>
      <c r="FH70" s="571"/>
      <c r="FI70" s="571"/>
      <c r="FJ70" s="559"/>
      <c r="FK70" s="122"/>
      <c r="FL70" s="122"/>
      <c r="FM70" s="122"/>
      <c r="FN70" s="122"/>
      <c r="FO70" s="122"/>
      <c r="FP70" s="50"/>
      <c r="FQ70" s="279">
        <f t="shared" si="162"/>
        <v>44409</v>
      </c>
      <c r="FR70" s="279"/>
      <c r="FS70" s="50"/>
      <c r="FT70" s="50"/>
      <c r="FU70" s="50"/>
      <c r="FV70" s="50"/>
      <c r="FW70" s="50"/>
      <c r="FX70" s="50"/>
      <c r="FY70" s="50"/>
      <c r="FZ70" s="50"/>
      <c r="GA70" s="50"/>
      <c r="GB70" s="50"/>
      <c r="GC70" s="50"/>
      <c r="GD70" s="50"/>
      <c r="GE70" s="50"/>
      <c r="GF70" s="113"/>
      <c r="GG70" s="113"/>
      <c r="GH70" s="90">
        <f>+GR70+GW70+HD70+HX70+HI70</f>
        <v>3882412.99</v>
      </c>
      <c r="GI70" s="64">
        <f>GS70+GX70+HE70+HX70+HF70+HI70</f>
        <v>3863382</v>
      </c>
      <c r="GJ70" s="91">
        <f t="shared" si="192"/>
        <v>-19030.990000000224</v>
      </c>
      <c r="GK70" s="46">
        <f>GI70/AJ70</f>
        <v>2232.6525658807209</v>
      </c>
      <c r="GL70" s="46">
        <f>GI70/AD70</f>
        <v>148591.61538461538</v>
      </c>
      <c r="GM70" s="90">
        <v>3207102</v>
      </c>
      <c r="GN70" s="64">
        <v>3765886</v>
      </c>
      <c r="GO70" s="91">
        <f t="shared" si="193"/>
        <v>558784</v>
      </c>
      <c r="GP70" s="129">
        <f t="shared" si="194"/>
        <v>0.99523412543724632</v>
      </c>
      <c r="GQ70" s="130">
        <v>0.4</v>
      </c>
      <c r="GR70" s="90">
        <v>1296385.9099999999</v>
      </c>
      <c r="GS70" s="64">
        <v>1301816</v>
      </c>
      <c r="GT70" s="657"/>
      <c r="GU70" s="46">
        <f t="shared" si="195"/>
        <v>50069.846153846156</v>
      </c>
      <c r="GV70" s="92">
        <f>GS70-GR70</f>
        <v>5430.0900000000838</v>
      </c>
      <c r="GW70" s="627">
        <v>2030427.08</v>
      </c>
      <c r="GX70" s="64">
        <f>GY70+GZ70</f>
        <v>2005966</v>
      </c>
      <c r="GY70" s="84">
        <v>482453</v>
      </c>
      <c r="GZ70" s="84">
        <v>1523513</v>
      </c>
      <c r="HA70" s="92">
        <f t="shared" si="196"/>
        <v>-24461.080000000075</v>
      </c>
      <c r="HB70" s="641">
        <f>GX70/AD70</f>
        <v>77152.538461538468</v>
      </c>
      <c r="HC70" s="390"/>
      <c r="HD70" s="90">
        <v>520000</v>
      </c>
      <c r="HE70" s="64">
        <v>520000</v>
      </c>
      <c r="HF70" s="64"/>
      <c r="HG70" s="85">
        <f t="shared" si="188"/>
        <v>0.13459709653355531</v>
      </c>
      <c r="HH70" s="396"/>
      <c r="HI70" s="64">
        <v>35600</v>
      </c>
      <c r="HJ70" s="86">
        <f t="shared" si="148"/>
        <v>0</v>
      </c>
      <c r="HK70" s="19">
        <f t="shared" si="189"/>
        <v>20000</v>
      </c>
      <c r="HL70" s="78">
        <f t="shared" si="190"/>
        <v>70069.846153846156</v>
      </c>
      <c r="HM70" s="20">
        <f t="shared" si="133"/>
        <v>0</v>
      </c>
      <c r="HN70" s="87">
        <v>5.56</v>
      </c>
      <c r="HO70" s="87">
        <v>5.55</v>
      </c>
      <c r="HP70" s="88"/>
      <c r="HQ70" s="88"/>
      <c r="HR70" s="19">
        <f t="shared" si="142"/>
        <v>69860.996538461535</v>
      </c>
      <c r="HS70" s="88"/>
      <c r="HT70" s="19">
        <f>(GS70+HE70+HQ70+HS70)/AD70</f>
        <v>70069.846153846156</v>
      </c>
      <c r="HU70" s="47">
        <f t="shared" si="143"/>
        <v>0.46784974052953593</v>
      </c>
      <c r="HV70" s="88"/>
      <c r="HW70" s="88"/>
      <c r="HX70" s="64">
        <f t="shared" si="161"/>
        <v>0</v>
      </c>
      <c r="HY70" s="37">
        <f>GI70+HP70</f>
        <v>3863382</v>
      </c>
      <c r="HZ70" s="276">
        <v>221723</v>
      </c>
      <c r="IA70" s="276">
        <f t="shared" si="150"/>
        <v>110862</v>
      </c>
      <c r="IB70" s="114">
        <v>42562</v>
      </c>
      <c r="IC70" s="315">
        <v>23880</v>
      </c>
      <c r="ID70" s="315"/>
      <c r="IE70" s="317"/>
      <c r="IF70" s="317" t="s">
        <v>535</v>
      </c>
      <c r="IG70" s="315">
        <v>15414</v>
      </c>
      <c r="IH70" s="317">
        <v>42697</v>
      </c>
      <c r="II70" s="233">
        <v>17422</v>
      </c>
      <c r="IJ70" s="317">
        <v>42877</v>
      </c>
      <c r="IK70" s="233">
        <v>20757</v>
      </c>
      <c r="IL70" s="115">
        <v>43075</v>
      </c>
      <c r="IM70" s="322">
        <v>33389</v>
      </c>
      <c r="IN70" s="314"/>
      <c r="IO70" s="314"/>
      <c r="IP70" s="275"/>
      <c r="IQ70" s="280"/>
      <c r="IR70" s="275"/>
      <c r="IS70" s="280"/>
      <c r="IT70" s="299"/>
      <c r="IU70" s="299"/>
      <c r="IV70" s="299"/>
      <c r="IW70" s="299"/>
      <c r="IX70" s="268"/>
      <c r="IY70" s="268"/>
      <c r="IZ70" s="268"/>
      <c r="JA70" s="268"/>
      <c r="JB70" s="268"/>
      <c r="JC70" s="268"/>
      <c r="JD70" s="315">
        <f>14653+2769</f>
        <v>17422</v>
      </c>
      <c r="JE70" s="316"/>
      <c r="JF70" s="115"/>
      <c r="JG70" s="316"/>
      <c r="JH70" s="316"/>
      <c r="JI70" s="115"/>
    </row>
    <row r="71" spans="1:269" ht="15" customHeight="1">
      <c r="A71" s="456" t="s">
        <v>456</v>
      </c>
      <c r="B71" s="50" t="s">
        <v>28</v>
      </c>
      <c r="C71" s="50" t="s">
        <v>110</v>
      </c>
      <c r="D71" s="50">
        <v>2018</v>
      </c>
      <c r="E71" s="50"/>
      <c r="F71" s="50" t="s">
        <v>441</v>
      </c>
      <c r="G71" s="50" t="s">
        <v>177</v>
      </c>
      <c r="H71" s="50" t="s">
        <v>171</v>
      </c>
      <c r="I71" s="50"/>
      <c r="J71" s="50" t="s">
        <v>461</v>
      </c>
      <c r="K71" s="256" t="s">
        <v>480</v>
      </c>
      <c r="L71" s="166" t="s">
        <v>61</v>
      </c>
      <c r="M71" s="167" t="s">
        <v>474</v>
      </c>
      <c r="N71" s="305" t="s">
        <v>479</v>
      </c>
      <c r="O71" s="233"/>
      <c r="P71" s="233"/>
      <c r="Q71" s="233"/>
      <c r="R71" s="233"/>
      <c r="S71" s="233"/>
      <c r="T71" s="613"/>
      <c r="U71" s="613"/>
      <c r="V71" s="613"/>
      <c r="W71" s="233"/>
      <c r="X71" s="208"/>
      <c r="Y71" s="216" t="e">
        <f t="shared" si="78"/>
        <v>#DIV/0!</v>
      </c>
      <c r="Z71" s="208"/>
      <c r="AA71" s="208"/>
      <c r="AB71" s="209"/>
      <c r="AC71" s="50" t="s">
        <v>440</v>
      </c>
      <c r="AD71" s="318">
        <f t="shared" si="163"/>
        <v>23</v>
      </c>
      <c r="AE71" s="61"/>
      <c r="AF71" s="115"/>
      <c r="AG71" s="115"/>
      <c r="AH71" s="318">
        <v>23</v>
      </c>
      <c r="AI71" s="268"/>
      <c r="AJ71" s="54"/>
      <c r="AK71" s="54"/>
      <c r="AL71" s="89"/>
      <c r="AM71" s="7"/>
      <c r="AN71" s="75"/>
      <c r="AO71" s="75"/>
      <c r="AP71" s="75"/>
      <c r="AQ71" s="75"/>
      <c r="AR71" s="75"/>
      <c r="AS71" s="54"/>
      <c r="AT71" s="73"/>
      <c r="AU71" s="75"/>
      <c r="AV71" s="54"/>
      <c r="AW71" s="50"/>
      <c r="AX71" s="50"/>
      <c r="AY71" s="785"/>
      <c r="AZ71" s="50"/>
      <c r="BA71" s="50"/>
      <c r="BB71" s="50"/>
      <c r="BC71" s="110"/>
      <c r="BD71" s="110"/>
      <c r="BE71" s="94"/>
      <c r="BF71" s="204"/>
      <c r="BG71" s="96"/>
      <c r="BH71" s="96"/>
      <c r="BI71" s="204"/>
      <c r="BJ71" s="96"/>
      <c r="BK71" s="707">
        <v>43311</v>
      </c>
      <c r="BL71" s="736">
        <v>43249</v>
      </c>
      <c r="BM71" s="707">
        <f t="shared" si="159"/>
        <v>43341</v>
      </c>
      <c r="BN71" s="160"/>
      <c r="BO71" s="298">
        <f t="shared" si="135"/>
        <v>43249</v>
      </c>
      <c r="BP71" s="297">
        <f t="shared" si="136"/>
        <v>43980</v>
      </c>
      <c r="BQ71" s="297">
        <f t="shared" si="144"/>
        <v>44345</v>
      </c>
      <c r="BR71" s="297"/>
      <c r="BS71" s="297" t="str">
        <f>IF(EU71&gt;BP71,"oui","non")</f>
        <v>non</v>
      </c>
      <c r="BT71" s="686">
        <f t="shared" si="164"/>
        <v>15</v>
      </c>
      <c r="BU71" s="686">
        <f t="shared" si="165"/>
        <v>0</v>
      </c>
      <c r="BV71" s="686">
        <f t="shared" si="166"/>
        <v>0</v>
      </c>
      <c r="BW71" s="159"/>
      <c r="BX71" s="165"/>
      <c r="BY71" s="97"/>
      <c r="BZ71" s="98"/>
      <c r="CA71" s="98"/>
      <c r="CB71" s="98"/>
      <c r="CC71" s="158"/>
      <c r="CD71" s="251"/>
      <c r="CE71" s="251"/>
      <c r="CF71" s="157"/>
      <c r="CG71" s="251"/>
      <c r="CH71" s="251"/>
      <c r="CI71" s="251"/>
      <c r="CJ71" s="408"/>
      <c r="CK71" s="408"/>
      <c r="CL71" s="546"/>
      <c r="CM71" s="547"/>
      <c r="CN71" s="547"/>
      <c r="CO71" s="551" t="str">
        <f t="shared" si="167"/>
        <v>0</v>
      </c>
      <c r="CP71" s="549">
        <v>43007</v>
      </c>
      <c r="CQ71" s="549">
        <f ca="1">IF(CP71&lt;TODAY(),TODAY(),CP71)</f>
        <v>43332</v>
      </c>
      <c r="CR71" s="551">
        <f t="shared" ca="1" si="168"/>
        <v>325</v>
      </c>
      <c r="CS71" s="549">
        <v>42986</v>
      </c>
      <c r="CT71" s="546">
        <f ca="1">IF(CS71&lt;TODAY(),TODAY(),CS71)</f>
        <v>43332</v>
      </c>
      <c r="CU71" s="551">
        <f t="shared" ca="1" si="169"/>
        <v>346</v>
      </c>
      <c r="CV71" s="549">
        <v>43067</v>
      </c>
      <c r="CW71" s="546">
        <f ca="1">IF(CV71&lt;TODAY(),TODAY(),CV71)</f>
        <v>43332</v>
      </c>
      <c r="CX71" s="551">
        <f t="shared" ca="1" si="170"/>
        <v>265</v>
      </c>
      <c r="CY71" s="549">
        <v>43126</v>
      </c>
      <c r="CZ71" s="549">
        <f ca="1">IF(CY71&lt;TODAY(),TODAY(),CY71)</f>
        <v>43332</v>
      </c>
      <c r="DA71" s="551">
        <f t="shared" ca="1" si="171"/>
        <v>206</v>
      </c>
      <c r="DB71" s="457"/>
      <c r="DC71" s="546">
        <v>43403</v>
      </c>
      <c r="DD71" s="533">
        <v>43572</v>
      </c>
      <c r="DE71" s="539">
        <f t="shared" ca="1" si="155"/>
        <v>43572</v>
      </c>
      <c r="DF71" s="535">
        <f t="shared" ca="1" si="172"/>
        <v>0</v>
      </c>
      <c r="DG71" s="533">
        <v>43587</v>
      </c>
      <c r="DH71" s="703">
        <v>43419</v>
      </c>
      <c r="DI71" s="348"/>
      <c r="DJ71" s="446">
        <f t="shared" si="173"/>
        <v>1447.3</v>
      </c>
      <c r="DK71" s="535">
        <f t="shared" si="174"/>
        <v>-168</v>
      </c>
      <c r="DL71" s="704">
        <v>12</v>
      </c>
      <c r="DM71" s="243">
        <f t="shared" si="175"/>
        <v>13</v>
      </c>
      <c r="DN71" s="533"/>
      <c r="DO71" s="539">
        <f t="shared" ca="1" si="156"/>
        <v>43332</v>
      </c>
      <c r="DP71" s="535" t="str">
        <f t="shared" ca="1" si="176"/>
        <v>0</v>
      </c>
      <c r="DQ71" s="533"/>
      <c r="DR71" s="557">
        <f t="shared" ca="1" si="157"/>
        <v>43332</v>
      </c>
      <c r="DS71" s="536" t="str">
        <f t="shared" ca="1" si="177"/>
        <v>0</v>
      </c>
      <c r="DT71" s="537"/>
      <c r="DU71" s="539">
        <f t="shared" ca="1" si="140"/>
        <v>43332</v>
      </c>
      <c r="DV71" s="535" t="str">
        <f t="shared" ca="1" si="178"/>
        <v>0</v>
      </c>
      <c r="DW71" s="540"/>
      <c r="DX71" s="539">
        <f t="shared" ca="1" si="141"/>
        <v>43332</v>
      </c>
      <c r="DY71" s="535" t="str">
        <f t="shared" ca="1" si="179"/>
        <v>0</v>
      </c>
      <c r="DZ71" s="541"/>
      <c r="EA71" s="539">
        <f t="shared" ca="1" si="160"/>
        <v>43332</v>
      </c>
      <c r="EB71" s="535" t="str">
        <f t="shared" ca="1" si="180"/>
        <v>0</v>
      </c>
      <c r="EC71" s="541"/>
      <c r="ED71" s="539">
        <f t="shared" ca="1" si="152"/>
        <v>43332</v>
      </c>
      <c r="EE71" s="535" t="str">
        <f t="shared" ca="1" si="181"/>
        <v>0</v>
      </c>
      <c r="EF71" s="541"/>
      <c r="EG71" s="539">
        <f t="shared" ca="1" si="131"/>
        <v>43332</v>
      </c>
      <c r="EH71" s="535" t="str">
        <f t="shared" ca="1" si="182"/>
        <v>0</v>
      </c>
      <c r="EI71" s="541"/>
      <c r="EJ71" s="541"/>
      <c r="EK71" s="541"/>
      <c r="EL71" s="625">
        <f t="shared" si="183"/>
        <v>43784</v>
      </c>
      <c r="EM71" s="404">
        <f>DATE(YEAR(DH71),MONTH(DH71)+DL71+1,DAY(DH71))</f>
        <v>43814</v>
      </c>
      <c r="EN71" s="756">
        <f t="shared" si="184"/>
        <v>1</v>
      </c>
      <c r="EO71" s="580"/>
      <c r="EP71" s="244"/>
      <c r="EQ71" s="244"/>
      <c r="ER71" s="186">
        <f t="shared" si="191"/>
        <v>43845</v>
      </c>
      <c r="ES71" s="467"/>
      <c r="ET71" s="578">
        <f t="shared" si="185"/>
        <v>43814</v>
      </c>
      <c r="EU71" s="455">
        <f>DATE(YEAR(ER71),MONTH(ER71)+1,DAY(ER71))</f>
        <v>43876</v>
      </c>
      <c r="EV71" s="581"/>
      <c r="EW71" s="753">
        <f t="shared" si="186"/>
        <v>2.0666666666666669</v>
      </c>
      <c r="EX71" s="722"/>
      <c r="EY71" s="247">
        <f t="shared" si="187"/>
        <v>0</v>
      </c>
      <c r="EZ71" s="118"/>
      <c r="FA71" s="562">
        <v>0</v>
      </c>
      <c r="FB71" s="562">
        <v>0</v>
      </c>
      <c r="FC71" s="562"/>
      <c r="FD71" s="562"/>
      <c r="FE71" s="562"/>
      <c r="FF71" s="787">
        <f t="shared" si="154"/>
        <v>0</v>
      </c>
      <c r="FG71" s="559"/>
      <c r="FH71" s="571"/>
      <c r="FI71" s="559" t="s">
        <v>735</v>
      </c>
      <c r="FJ71" s="559"/>
      <c r="FK71" s="122"/>
      <c r="FL71" s="122"/>
      <c r="FM71" s="122"/>
      <c r="FN71" s="122"/>
      <c r="FO71" s="122"/>
      <c r="FP71" s="50"/>
      <c r="FQ71" s="279">
        <f t="shared" si="162"/>
        <v>44180</v>
      </c>
      <c r="FR71" s="279"/>
      <c r="FS71" s="50"/>
      <c r="FT71" s="50"/>
      <c r="FU71" s="50"/>
      <c r="FV71" s="50"/>
      <c r="FW71" s="50"/>
      <c r="FX71" s="50"/>
      <c r="FY71" s="50"/>
      <c r="FZ71" s="50"/>
      <c r="GA71" s="50"/>
      <c r="GB71" s="50"/>
      <c r="GC71" s="50"/>
      <c r="GD71" s="50"/>
      <c r="GE71" s="50"/>
      <c r="GF71" s="113"/>
      <c r="GG71" s="113"/>
      <c r="GH71" s="90">
        <f>+GR71+GW71+HD71+HX71+HI71+HH71</f>
        <v>993116</v>
      </c>
      <c r="GI71" s="64">
        <f>GS71+GX71+HC71+HE71+HI71+HH71</f>
        <v>993116</v>
      </c>
      <c r="GJ71" s="64">
        <f t="shared" si="192"/>
        <v>0</v>
      </c>
      <c r="GK71" s="64"/>
      <c r="GL71" s="84"/>
      <c r="GM71" s="84"/>
      <c r="GN71" s="64"/>
      <c r="GO71" s="85">
        <f t="shared" si="193"/>
        <v>0</v>
      </c>
      <c r="GP71" s="64">
        <f t="shared" si="194"/>
        <v>0</v>
      </c>
      <c r="GQ71" s="64">
        <v>0.4</v>
      </c>
      <c r="GR71" s="64"/>
      <c r="GS71" s="84"/>
      <c r="GT71" s="84"/>
      <c r="GU71" s="64">
        <f t="shared" si="195"/>
        <v>0</v>
      </c>
      <c r="GV71" s="85"/>
      <c r="GW71" s="64">
        <f>695036-HH71</f>
        <v>515036</v>
      </c>
      <c r="GX71" s="64">
        <v>515036</v>
      </c>
      <c r="GY71" s="64"/>
      <c r="GZ71" s="84"/>
      <c r="HA71" s="84">
        <f t="shared" si="196"/>
        <v>0</v>
      </c>
      <c r="HB71" s="64">
        <f>GW71/AD71</f>
        <v>22392.869565217392</v>
      </c>
      <c r="HC71" s="85"/>
      <c r="HD71" s="90">
        <v>298080</v>
      </c>
      <c r="HE71" s="64">
        <v>298080</v>
      </c>
      <c r="HF71" s="64"/>
      <c r="HG71" s="748">
        <f t="shared" si="188"/>
        <v>0.30014620648544582</v>
      </c>
      <c r="HH71" s="84">
        <v>180000</v>
      </c>
      <c r="HI71" s="64"/>
      <c r="HJ71" s="86">
        <f t="shared" si="148"/>
        <v>0</v>
      </c>
      <c r="HK71" s="19">
        <f t="shared" si="189"/>
        <v>12960</v>
      </c>
      <c r="HL71" s="78">
        <f t="shared" si="190"/>
        <v>12960</v>
      </c>
      <c r="HM71" s="391">
        <f t="shared" si="133"/>
        <v>0</v>
      </c>
      <c r="HN71" s="394">
        <v>6.31</v>
      </c>
      <c r="HO71" s="394"/>
      <c r="HP71" s="390"/>
      <c r="HQ71" s="390"/>
      <c r="HR71" s="391">
        <f t="shared" si="142"/>
        <v>12960</v>
      </c>
      <c r="HS71" s="390"/>
      <c r="HT71" s="391">
        <f>(GS71+HE71+HQ71+HS71)/AD71</f>
        <v>12960</v>
      </c>
      <c r="HU71" s="107">
        <f t="shared" si="143"/>
        <v>0.30014620648544582</v>
      </c>
      <c r="HV71" s="390"/>
      <c r="HW71" s="390"/>
      <c r="HX71" s="390">
        <f t="shared" si="161"/>
        <v>0</v>
      </c>
      <c r="HY71" s="395">
        <f t="shared" ref="HY71:HY88" si="197">GH71+HP71</f>
        <v>993116</v>
      </c>
      <c r="HZ71" s="276"/>
      <c r="IA71" s="276">
        <f t="shared" si="150"/>
        <v>0</v>
      </c>
      <c r="IB71" s="277"/>
      <c r="IC71" s="280">
        <v>0</v>
      </c>
      <c r="ID71" s="280"/>
      <c r="IE71" s="254"/>
      <c r="IF71" s="254"/>
      <c r="IG71" s="388">
        <v>0</v>
      </c>
      <c r="IH71" s="262"/>
      <c r="II71" s="273">
        <v>0</v>
      </c>
      <c r="IJ71" s="262"/>
      <c r="IK71" s="466"/>
      <c r="IL71" s="278"/>
      <c r="IM71" s="283"/>
      <c r="IN71" s="281"/>
      <c r="IO71" s="281"/>
      <c r="IP71" s="275"/>
      <c r="IQ71" s="280"/>
      <c r="IR71" s="275"/>
      <c r="IS71" s="280"/>
      <c r="IT71" s="299"/>
      <c r="IU71" s="299"/>
      <c r="IV71" s="299"/>
      <c r="IW71" s="299"/>
      <c r="IX71" s="268"/>
      <c r="IY71" s="268"/>
      <c r="IZ71" s="268"/>
      <c r="JA71" s="268"/>
      <c r="JB71" s="268"/>
      <c r="JC71" s="268"/>
      <c r="JD71" s="280" t="e">
        <f>$JD$1*HZ71</f>
        <v>#VALUE!</v>
      </c>
      <c r="JE71" s="118"/>
      <c r="JF71" s="278"/>
      <c r="JG71" s="118"/>
      <c r="JH71" s="118"/>
      <c r="JI71" s="278"/>
    </row>
    <row r="72" spans="1:269" ht="15" customHeight="1">
      <c r="A72" s="456" t="s">
        <v>454</v>
      </c>
      <c r="B72" s="50" t="s">
        <v>28</v>
      </c>
      <c r="C72" s="50" t="s">
        <v>110</v>
      </c>
      <c r="D72" s="50">
        <v>2018</v>
      </c>
      <c r="E72" s="50"/>
      <c r="F72" s="50" t="s">
        <v>441</v>
      </c>
      <c r="G72" s="50" t="s">
        <v>177</v>
      </c>
      <c r="H72" s="50" t="s">
        <v>171</v>
      </c>
      <c r="I72" s="50"/>
      <c r="J72" s="50" t="s">
        <v>455</v>
      </c>
      <c r="K72" s="256" t="s">
        <v>496</v>
      </c>
      <c r="L72" s="166" t="s">
        <v>61</v>
      </c>
      <c r="M72" s="167" t="s">
        <v>495</v>
      </c>
      <c r="N72" s="168">
        <v>33994</v>
      </c>
      <c r="O72" s="233"/>
      <c r="P72" s="233"/>
      <c r="Q72" s="233"/>
      <c r="R72" s="233"/>
      <c r="S72" s="233"/>
      <c r="T72" s="613"/>
      <c r="U72" s="613"/>
      <c r="V72" s="613"/>
      <c r="W72" s="233"/>
      <c r="X72" s="208"/>
      <c r="Y72" s="216" t="e">
        <f t="shared" si="78"/>
        <v>#DIV/0!</v>
      </c>
      <c r="Z72" s="208"/>
      <c r="AA72" s="208"/>
      <c r="AB72" s="209"/>
      <c r="AC72" s="50" t="s">
        <v>440</v>
      </c>
      <c r="AD72" s="318">
        <f t="shared" si="163"/>
        <v>30</v>
      </c>
      <c r="AE72" s="61"/>
      <c r="AF72" s="115"/>
      <c r="AG72" s="115"/>
      <c r="AH72" s="318">
        <v>30</v>
      </c>
      <c r="AI72" s="268"/>
      <c r="AJ72" s="54"/>
      <c r="AK72" s="54"/>
      <c r="AL72" s="89"/>
      <c r="AM72" s="7"/>
      <c r="AN72" s="75"/>
      <c r="AO72" s="75"/>
      <c r="AP72" s="75"/>
      <c r="AQ72" s="75"/>
      <c r="AR72" s="75"/>
      <c r="AS72" s="54"/>
      <c r="AT72" s="73"/>
      <c r="AU72" s="75"/>
      <c r="AV72" s="54"/>
      <c r="AW72" s="50"/>
      <c r="AX72" s="50"/>
      <c r="AY72" s="785"/>
      <c r="AZ72" s="50"/>
      <c r="BA72" s="50"/>
      <c r="BB72" s="50"/>
      <c r="BC72" s="110"/>
      <c r="BD72" s="110"/>
      <c r="BE72" s="94"/>
      <c r="BF72" s="204"/>
      <c r="BG72" s="96"/>
      <c r="BH72" s="96"/>
      <c r="BI72" s="204"/>
      <c r="BJ72" s="96"/>
      <c r="BK72" s="707">
        <v>43311</v>
      </c>
      <c r="BL72" s="736">
        <v>43249</v>
      </c>
      <c r="BM72" s="707">
        <f t="shared" si="159"/>
        <v>43341</v>
      </c>
      <c r="BN72" s="160"/>
      <c r="BO72" s="298">
        <f t="shared" si="135"/>
        <v>43249</v>
      </c>
      <c r="BP72" s="297">
        <f t="shared" si="136"/>
        <v>43980</v>
      </c>
      <c r="BQ72" s="297">
        <f t="shared" si="144"/>
        <v>44345</v>
      </c>
      <c r="BR72" s="297"/>
      <c r="BS72" s="297" t="str">
        <f>IF(EU72&gt;BP72,"oui","non")</f>
        <v>non</v>
      </c>
      <c r="BT72" s="686">
        <f t="shared" si="164"/>
        <v>15</v>
      </c>
      <c r="BU72" s="686">
        <f t="shared" si="165"/>
        <v>0</v>
      </c>
      <c r="BV72" s="686">
        <f t="shared" si="166"/>
        <v>0</v>
      </c>
      <c r="BW72" s="160"/>
      <c r="BX72" s="165"/>
      <c r="BY72" s="97"/>
      <c r="BZ72" s="98"/>
      <c r="CA72" s="98"/>
      <c r="CB72" s="98"/>
      <c r="CC72" s="158"/>
      <c r="CD72" s="251"/>
      <c r="CE72" s="251"/>
      <c r="CF72" s="157"/>
      <c r="CG72" s="251"/>
      <c r="CH72" s="251"/>
      <c r="CI72" s="251"/>
      <c r="CJ72" s="408"/>
      <c r="CK72" s="408"/>
      <c r="CL72" s="546"/>
      <c r="CM72" s="549"/>
      <c r="CN72" s="549"/>
      <c r="CO72" s="551" t="str">
        <f t="shared" si="167"/>
        <v>0</v>
      </c>
      <c r="CP72" s="549">
        <v>42969</v>
      </c>
      <c r="CQ72" s="549">
        <f ca="1">IF(CP72&lt;TODAY(),TODAY(),CP72)</f>
        <v>43332</v>
      </c>
      <c r="CR72" s="551">
        <f t="shared" ca="1" si="168"/>
        <v>363</v>
      </c>
      <c r="CS72" s="549">
        <v>42948</v>
      </c>
      <c r="CT72" s="549">
        <f ca="1">IF(CS72&lt;TODAY(),TODAY(),CS72)</f>
        <v>43332</v>
      </c>
      <c r="CU72" s="551">
        <f t="shared" ca="1" si="169"/>
        <v>384</v>
      </c>
      <c r="CV72" s="549">
        <v>43028</v>
      </c>
      <c r="CW72" s="549">
        <f ca="1">IF(CV72&lt;TODAY(),TODAY(),CV72)</f>
        <v>43332</v>
      </c>
      <c r="CX72" s="551">
        <f t="shared" ca="1" si="170"/>
        <v>304</v>
      </c>
      <c r="CY72" s="549">
        <v>43089</v>
      </c>
      <c r="CZ72" s="549">
        <f ca="1">IF(CY72&lt;TODAY(),TODAY(),CY72)</f>
        <v>43332</v>
      </c>
      <c r="DA72" s="551">
        <f t="shared" ca="1" si="171"/>
        <v>243</v>
      </c>
      <c r="DB72" s="457"/>
      <c r="DC72" s="546">
        <v>43403</v>
      </c>
      <c r="DD72" s="533">
        <v>43532</v>
      </c>
      <c r="DE72" s="539">
        <f t="shared" ca="1" si="155"/>
        <v>43532</v>
      </c>
      <c r="DF72" s="535">
        <f t="shared" ca="1" si="172"/>
        <v>0</v>
      </c>
      <c r="DG72" s="533">
        <v>43549</v>
      </c>
      <c r="DH72" s="703">
        <v>43419</v>
      </c>
      <c r="DI72" s="348"/>
      <c r="DJ72" s="446">
        <f t="shared" si="173"/>
        <v>1447.3</v>
      </c>
      <c r="DK72" s="535">
        <f t="shared" si="174"/>
        <v>-130</v>
      </c>
      <c r="DL72" s="704">
        <v>12</v>
      </c>
      <c r="DM72" s="243">
        <f t="shared" si="175"/>
        <v>13</v>
      </c>
      <c r="DN72" s="533"/>
      <c r="DO72" s="539">
        <f t="shared" ca="1" si="156"/>
        <v>43332</v>
      </c>
      <c r="DP72" s="535" t="str">
        <f t="shared" ca="1" si="176"/>
        <v>0</v>
      </c>
      <c r="DQ72" s="533"/>
      <c r="DR72" s="557">
        <f t="shared" ca="1" si="157"/>
        <v>43332</v>
      </c>
      <c r="DS72" s="536" t="str">
        <f t="shared" ca="1" si="177"/>
        <v>0</v>
      </c>
      <c r="DT72" s="537"/>
      <c r="DU72" s="539">
        <f t="shared" ca="1" si="140"/>
        <v>43332</v>
      </c>
      <c r="DV72" s="535" t="str">
        <f t="shared" ca="1" si="178"/>
        <v>0</v>
      </c>
      <c r="DW72" s="540"/>
      <c r="DX72" s="539">
        <f t="shared" ca="1" si="141"/>
        <v>43332</v>
      </c>
      <c r="DY72" s="535" t="str">
        <f t="shared" ca="1" si="179"/>
        <v>0</v>
      </c>
      <c r="DZ72" s="541"/>
      <c r="EA72" s="539">
        <f t="shared" ca="1" si="160"/>
        <v>43332</v>
      </c>
      <c r="EB72" s="535" t="str">
        <f t="shared" ca="1" si="180"/>
        <v>0</v>
      </c>
      <c r="EC72" s="541"/>
      <c r="ED72" s="539">
        <f t="shared" ca="1" si="152"/>
        <v>43332</v>
      </c>
      <c r="EE72" s="535" t="str">
        <f t="shared" ca="1" si="181"/>
        <v>0</v>
      </c>
      <c r="EF72" s="539"/>
      <c r="EG72" s="539">
        <f t="shared" ca="1" si="131"/>
        <v>43332</v>
      </c>
      <c r="EH72" s="535" t="str">
        <f t="shared" ca="1" si="182"/>
        <v>0</v>
      </c>
      <c r="EI72" s="541"/>
      <c r="EJ72" s="541"/>
      <c r="EK72" s="541"/>
      <c r="EL72" s="625">
        <f t="shared" si="183"/>
        <v>43784</v>
      </c>
      <c r="EM72" s="759">
        <f>DATE(YEAR(DH72),MONTH(DH72)+DL72+1,DAY(DH72))</f>
        <v>43814</v>
      </c>
      <c r="EN72" s="756">
        <f t="shared" si="184"/>
        <v>1</v>
      </c>
      <c r="EO72" s="580"/>
      <c r="EP72" s="244"/>
      <c r="EQ72" s="244"/>
      <c r="ER72" s="186">
        <f t="shared" si="191"/>
        <v>43845</v>
      </c>
      <c r="ES72" s="467"/>
      <c r="ET72" s="578">
        <f t="shared" si="185"/>
        <v>43814</v>
      </c>
      <c r="EU72" s="455">
        <f>DATE(YEAR(ER72),MONTH(ER72)+1,DAY(ER72))</f>
        <v>43876</v>
      </c>
      <c r="EV72" s="581"/>
      <c r="EW72" s="753">
        <f t="shared" si="186"/>
        <v>2.0666666666666669</v>
      </c>
      <c r="EX72" s="722"/>
      <c r="EY72" s="247">
        <f t="shared" si="187"/>
        <v>0</v>
      </c>
      <c r="EZ72" s="118"/>
      <c r="FA72" s="562">
        <v>0</v>
      </c>
      <c r="FB72" s="562">
        <v>0</v>
      </c>
      <c r="FC72" s="562"/>
      <c r="FD72" s="562"/>
      <c r="FE72" s="562"/>
      <c r="FF72" s="787">
        <f t="shared" si="154"/>
        <v>0</v>
      </c>
      <c r="FG72" s="559"/>
      <c r="FH72" s="571"/>
      <c r="FI72" s="559" t="s">
        <v>735</v>
      </c>
      <c r="FJ72" s="559"/>
      <c r="FK72" s="122"/>
      <c r="FL72" s="122"/>
      <c r="FM72" s="122"/>
      <c r="FN72" s="122"/>
      <c r="FO72" s="122"/>
      <c r="FP72" s="50"/>
      <c r="FQ72" s="279">
        <f t="shared" si="162"/>
        <v>44180</v>
      </c>
      <c r="FR72" s="279"/>
      <c r="FS72" s="50"/>
      <c r="FT72" s="50"/>
      <c r="FU72" s="50"/>
      <c r="FV72" s="50"/>
      <c r="FW72" s="50"/>
      <c r="FX72" s="50"/>
      <c r="FY72" s="50"/>
      <c r="FZ72" s="50"/>
      <c r="GA72" s="50"/>
      <c r="GB72" s="50"/>
      <c r="GC72" s="50"/>
      <c r="GD72" s="50"/>
      <c r="GE72" s="50"/>
      <c r="GF72" s="113"/>
      <c r="GG72" s="113"/>
      <c r="GH72" s="90">
        <f>+GR72+GW72+HD72+HX72+HI72+HH72</f>
        <v>983249.38</v>
      </c>
      <c r="GI72" s="64">
        <f>GS72+GX72+HC72+HE72+HI72+HH72</f>
        <v>983249.38</v>
      </c>
      <c r="GJ72" s="64">
        <f t="shared" si="192"/>
        <v>0</v>
      </c>
      <c r="GK72" s="64"/>
      <c r="GL72" s="84"/>
      <c r="GM72" s="84"/>
      <c r="GN72" s="64"/>
      <c r="GO72" s="85">
        <f t="shared" si="193"/>
        <v>0</v>
      </c>
      <c r="GP72" s="64">
        <f t="shared" si="194"/>
        <v>0</v>
      </c>
      <c r="GQ72" s="64">
        <v>0.4</v>
      </c>
      <c r="GR72" s="64"/>
      <c r="GS72" s="84"/>
      <c r="GT72" s="84"/>
      <c r="GU72" s="64">
        <f t="shared" si="195"/>
        <v>0</v>
      </c>
      <c r="GV72" s="85"/>
      <c r="GW72" s="64">
        <f>795749.38-HH72</f>
        <v>545749.38</v>
      </c>
      <c r="GX72" s="64">
        <v>545749.38</v>
      </c>
      <c r="GY72" s="64"/>
      <c r="GZ72" s="84"/>
      <c r="HA72" s="84">
        <f t="shared" si="196"/>
        <v>0</v>
      </c>
      <c r="HB72" s="64">
        <f>GW72/AH72</f>
        <v>18191.646000000001</v>
      </c>
      <c r="HC72" s="85"/>
      <c r="HD72" s="90">
        <v>187500</v>
      </c>
      <c r="HE72" s="64">
        <v>187500</v>
      </c>
      <c r="HF72" s="64"/>
      <c r="HG72" s="748">
        <f t="shared" si="188"/>
        <v>0.19069424686542899</v>
      </c>
      <c r="HH72" s="84">
        <v>250000</v>
      </c>
      <c r="HI72" s="64"/>
      <c r="HJ72" s="86">
        <f t="shared" si="148"/>
        <v>0</v>
      </c>
      <c r="HK72" s="19">
        <f t="shared" si="189"/>
        <v>6250</v>
      </c>
      <c r="HL72" s="78">
        <f t="shared" si="190"/>
        <v>6250</v>
      </c>
      <c r="HM72" s="390">
        <f>HJ72/AH72</f>
        <v>0</v>
      </c>
      <c r="HN72" s="394">
        <v>6.31</v>
      </c>
      <c r="HO72" s="394"/>
      <c r="HP72" s="390"/>
      <c r="HQ72" s="390"/>
      <c r="HR72" s="390">
        <f>(GR72+HD72+HQ72)/AH72</f>
        <v>6250</v>
      </c>
      <c r="HS72" s="390"/>
      <c r="HT72" s="390">
        <f>(GS72+HE72+HQ72+HS72)/AH72</f>
        <v>6250</v>
      </c>
      <c r="HU72" s="107">
        <f t="shared" si="143"/>
        <v>0.19069424686542899</v>
      </c>
      <c r="HV72" s="390"/>
      <c r="HW72" s="390"/>
      <c r="HX72" s="390">
        <f t="shared" si="161"/>
        <v>0</v>
      </c>
      <c r="HY72" s="395">
        <f t="shared" si="197"/>
        <v>983249.38</v>
      </c>
      <c r="HZ72" s="276"/>
      <c r="IA72" s="276">
        <f t="shared" si="150"/>
        <v>0</v>
      </c>
      <c r="IB72" s="277"/>
      <c r="IC72" s="280">
        <v>0</v>
      </c>
      <c r="ID72" s="280"/>
      <c r="IE72" s="254"/>
      <c r="IF72" s="254"/>
      <c r="IG72" s="388">
        <v>0</v>
      </c>
      <c r="IH72" s="262"/>
      <c r="II72" s="273">
        <v>0</v>
      </c>
      <c r="IJ72" s="262"/>
      <c r="IK72" s="466"/>
      <c r="IL72" s="278"/>
      <c r="IM72" s="283"/>
      <c r="IN72" s="281"/>
      <c r="IO72" s="281"/>
      <c r="IP72" s="275"/>
      <c r="IQ72" s="280"/>
      <c r="IR72" s="275"/>
      <c r="IS72" s="280"/>
      <c r="IT72" s="299"/>
      <c r="IU72" s="299"/>
      <c r="IV72" s="299"/>
      <c r="IW72" s="299"/>
      <c r="IX72" s="268"/>
      <c r="IY72" s="268"/>
      <c r="IZ72" s="268"/>
      <c r="JA72" s="268"/>
      <c r="JB72" s="268"/>
      <c r="JC72" s="268"/>
      <c r="JD72" s="280" t="e">
        <f>$JD$1*HZ72</f>
        <v>#VALUE!</v>
      </c>
      <c r="JE72" s="118"/>
      <c r="JF72" s="278"/>
      <c r="JG72" s="118"/>
      <c r="JH72" s="118"/>
      <c r="JI72" s="278"/>
    </row>
    <row r="73" spans="1:269" ht="15" customHeight="1">
      <c r="A73" s="456" t="s">
        <v>457</v>
      </c>
      <c r="B73" s="50" t="s">
        <v>46</v>
      </c>
      <c r="C73" s="50" t="s">
        <v>110</v>
      </c>
      <c r="D73" s="50">
        <v>2018</v>
      </c>
      <c r="E73" s="50"/>
      <c r="F73" s="50" t="s">
        <v>441</v>
      </c>
      <c r="G73" s="50" t="s">
        <v>177</v>
      </c>
      <c r="H73" s="50" t="s">
        <v>171</v>
      </c>
      <c r="I73" s="50"/>
      <c r="J73" s="50" t="s">
        <v>462</v>
      </c>
      <c r="K73" s="256" t="s">
        <v>499</v>
      </c>
      <c r="L73" s="166" t="s">
        <v>61</v>
      </c>
      <c r="M73" s="167" t="s">
        <v>478</v>
      </c>
      <c r="N73" s="168">
        <v>34319</v>
      </c>
      <c r="O73" s="233"/>
      <c r="P73" s="233"/>
      <c r="Q73" s="233"/>
      <c r="R73" s="233"/>
      <c r="S73" s="233"/>
      <c r="T73" s="613"/>
      <c r="U73" s="613"/>
      <c r="V73" s="613"/>
      <c r="W73" s="233"/>
      <c r="X73" s="208"/>
      <c r="Y73" s="216" t="e">
        <f t="shared" si="78"/>
        <v>#DIV/0!</v>
      </c>
      <c r="Z73" s="208"/>
      <c r="AA73" s="208"/>
      <c r="AB73" s="209"/>
      <c r="AC73" s="50" t="s">
        <v>440</v>
      </c>
      <c r="AD73" s="318">
        <f t="shared" si="163"/>
        <v>34</v>
      </c>
      <c r="AE73" s="61"/>
      <c r="AF73" s="115"/>
      <c r="AG73" s="115"/>
      <c r="AH73" s="193">
        <v>34</v>
      </c>
      <c r="AI73" s="268"/>
      <c r="AJ73" s="54"/>
      <c r="AK73" s="54"/>
      <c r="AL73" s="89"/>
      <c r="AM73" s="54"/>
      <c r="AN73" s="75"/>
      <c r="AO73" s="75"/>
      <c r="AP73" s="75"/>
      <c r="AQ73" s="75"/>
      <c r="AR73" s="75"/>
      <c r="AS73" s="54"/>
      <c r="AT73" s="73"/>
      <c r="AU73" s="75"/>
      <c r="AV73" s="54"/>
      <c r="AW73" s="50"/>
      <c r="AX73" s="50"/>
      <c r="AY73" s="785"/>
      <c r="AZ73" s="50"/>
      <c r="BA73" s="50"/>
      <c r="BB73" s="50"/>
      <c r="BC73" s="110"/>
      <c r="BD73" s="110"/>
      <c r="BE73" s="94"/>
      <c r="BF73" s="204"/>
      <c r="BG73" s="96"/>
      <c r="BH73" s="96"/>
      <c r="BI73" s="204"/>
      <c r="BJ73" s="96"/>
      <c r="BK73" s="707">
        <v>43311</v>
      </c>
      <c r="BL73" s="736">
        <v>43249</v>
      </c>
      <c r="BM73" s="707">
        <f t="shared" si="159"/>
        <v>43341</v>
      </c>
      <c r="BN73" s="160"/>
      <c r="BO73" s="298">
        <f t="shared" si="135"/>
        <v>43249</v>
      </c>
      <c r="BP73" s="297">
        <f t="shared" si="136"/>
        <v>43980</v>
      </c>
      <c r="BQ73" s="297">
        <f t="shared" si="144"/>
        <v>44345</v>
      </c>
      <c r="BR73" s="297"/>
      <c r="BS73" s="297" t="str">
        <f>IF(EU73&gt;BP73,"oui","non")</f>
        <v>non</v>
      </c>
      <c r="BT73" s="686">
        <f t="shared" si="164"/>
        <v>15</v>
      </c>
      <c r="BU73" s="686">
        <f t="shared" si="165"/>
        <v>0</v>
      </c>
      <c r="BV73" s="686">
        <f t="shared" si="166"/>
        <v>0</v>
      </c>
      <c r="BW73" s="160"/>
      <c r="BX73" s="165"/>
      <c r="BY73" s="97"/>
      <c r="BZ73" s="98"/>
      <c r="CA73" s="98"/>
      <c r="CB73" s="98"/>
      <c r="CC73" s="158"/>
      <c r="CD73" s="251"/>
      <c r="CE73" s="251"/>
      <c r="CF73" s="157"/>
      <c r="CG73" s="251"/>
      <c r="CH73" s="251"/>
      <c r="CI73" s="251"/>
      <c r="CJ73" s="408"/>
      <c r="CK73" s="408"/>
      <c r="CL73" s="546">
        <v>42927</v>
      </c>
      <c r="CM73" s="549"/>
      <c r="CN73" s="549"/>
      <c r="CO73" s="551" t="str">
        <f t="shared" si="167"/>
        <v>0</v>
      </c>
      <c r="CP73" s="549">
        <v>43067</v>
      </c>
      <c r="CQ73" s="549">
        <f ca="1">IF(CP73&lt;TODAY(),TODAY(),CP73)</f>
        <v>43332</v>
      </c>
      <c r="CR73" s="551">
        <f t="shared" ca="1" si="168"/>
        <v>265</v>
      </c>
      <c r="CS73" s="549">
        <v>43046</v>
      </c>
      <c r="CT73" s="549">
        <f ca="1">IF(CS73&lt;TODAY(),TODAY(),CS73)</f>
        <v>43332</v>
      </c>
      <c r="CU73" s="551">
        <f t="shared" ca="1" si="169"/>
        <v>286</v>
      </c>
      <c r="CV73" s="549">
        <v>43126</v>
      </c>
      <c r="CW73" s="549">
        <f ca="1">IF(CV73&lt;TODAY(),TODAY(),CV73)</f>
        <v>43332</v>
      </c>
      <c r="CX73" s="551">
        <f t="shared" ca="1" si="170"/>
        <v>206</v>
      </c>
      <c r="CY73" s="549">
        <v>43187</v>
      </c>
      <c r="CZ73" s="549">
        <f ca="1">IF(CY73&lt;TODAY(),TODAY(),CY73)</f>
        <v>43332</v>
      </c>
      <c r="DA73" s="551">
        <f t="shared" ca="1" si="171"/>
        <v>145</v>
      </c>
      <c r="DB73" s="457"/>
      <c r="DC73" s="546">
        <v>43403</v>
      </c>
      <c r="DD73" s="533">
        <v>43630</v>
      </c>
      <c r="DE73" s="539">
        <f t="shared" ca="1" si="155"/>
        <v>43630</v>
      </c>
      <c r="DF73" s="535">
        <f t="shared" ca="1" si="172"/>
        <v>0</v>
      </c>
      <c r="DG73" s="533">
        <v>43647</v>
      </c>
      <c r="DH73" s="703">
        <v>43419</v>
      </c>
      <c r="DI73" s="348"/>
      <c r="DJ73" s="446">
        <f t="shared" si="173"/>
        <v>1447.3</v>
      </c>
      <c r="DK73" s="535">
        <f t="shared" si="174"/>
        <v>-228</v>
      </c>
      <c r="DL73" s="704">
        <v>12</v>
      </c>
      <c r="DM73" s="243">
        <f t="shared" si="175"/>
        <v>13</v>
      </c>
      <c r="DN73" s="533"/>
      <c r="DO73" s="539">
        <f t="shared" ca="1" si="156"/>
        <v>43332</v>
      </c>
      <c r="DP73" s="535" t="str">
        <f t="shared" ca="1" si="176"/>
        <v>0</v>
      </c>
      <c r="DQ73" s="533"/>
      <c r="DR73" s="557">
        <f t="shared" ca="1" si="157"/>
        <v>43332</v>
      </c>
      <c r="DS73" s="536" t="str">
        <f t="shared" ca="1" si="177"/>
        <v>0</v>
      </c>
      <c r="DT73" s="537"/>
      <c r="DU73" s="539">
        <f t="shared" ca="1" si="140"/>
        <v>43332</v>
      </c>
      <c r="DV73" s="535" t="str">
        <f t="shared" ca="1" si="178"/>
        <v>0</v>
      </c>
      <c r="DW73" s="539"/>
      <c r="DX73" s="539">
        <f t="shared" ca="1" si="141"/>
        <v>43332</v>
      </c>
      <c r="DY73" s="535" t="str">
        <f t="shared" ca="1" si="179"/>
        <v>0</v>
      </c>
      <c r="DZ73" s="539"/>
      <c r="EA73" s="539">
        <f t="shared" ca="1" si="160"/>
        <v>43332</v>
      </c>
      <c r="EB73" s="535" t="str">
        <f t="shared" ca="1" si="180"/>
        <v>0</v>
      </c>
      <c r="EC73" s="539"/>
      <c r="ED73" s="539">
        <f t="shared" ca="1" si="152"/>
        <v>43332</v>
      </c>
      <c r="EE73" s="535" t="str">
        <f t="shared" ca="1" si="181"/>
        <v>0</v>
      </c>
      <c r="EF73" s="539"/>
      <c r="EG73" s="539">
        <f t="shared" ca="1" si="131"/>
        <v>43332</v>
      </c>
      <c r="EH73" s="535" t="str">
        <f t="shared" ca="1" si="182"/>
        <v>0</v>
      </c>
      <c r="EI73" s="539"/>
      <c r="EJ73" s="539"/>
      <c r="EK73" s="539"/>
      <c r="EL73" s="760">
        <f t="shared" si="183"/>
        <v>43784</v>
      </c>
      <c r="EM73" s="759">
        <f>DATE(YEAR(DH73),MONTH(DH73)+DL73+1,DAY(DH73))</f>
        <v>43814</v>
      </c>
      <c r="EN73" s="756">
        <f t="shared" si="184"/>
        <v>1</v>
      </c>
      <c r="EO73" s="580"/>
      <c r="EP73" s="244"/>
      <c r="EQ73" s="244"/>
      <c r="ER73" s="186">
        <f t="shared" si="191"/>
        <v>43845</v>
      </c>
      <c r="ES73" s="467"/>
      <c r="ET73" s="578">
        <f t="shared" si="185"/>
        <v>43814</v>
      </c>
      <c r="EU73" s="759">
        <f>DATE(YEAR(ER73),MONTH(ER73)+1,DAY(ER73))</f>
        <v>43876</v>
      </c>
      <c r="EV73" s="581"/>
      <c r="EW73" s="753">
        <f t="shared" si="186"/>
        <v>2.0666666666666669</v>
      </c>
      <c r="EX73" s="722"/>
      <c r="EY73" s="247">
        <f t="shared" si="187"/>
        <v>0</v>
      </c>
      <c r="EZ73" s="118"/>
      <c r="FA73" s="562">
        <v>0</v>
      </c>
      <c r="FB73" s="562">
        <v>0</v>
      </c>
      <c r="FC73" s="562"/>
      <c r="FD73" s="562"/>
      <c r="FE73" s="562"/>
      <c r="FF73" s="787">
        <f t="shared" si="154"/>
        <v>0</v>
      </c>
      <c r="FG73" s="559"/>
      <c r="FH73" s="571"/>
      <c r="FI73" s="559" t="s">
        <v>735</v>
      </c>
      <c r="FJ73" s="559"/>
      <c r="FK73" s="122"/>
      <c r="FL73" s="122"/>
      <c r="FM73" s="122"/>
      <c r="FN73" s="122"/>
      <c r="FO73" s="122"/>
      <c r="FP73" s="50"/>
      <c r="FQ73" s="279">
        <f t="shared" si="162"/>
        <v>44180</v>
      </c>
      <c r="FR73" s="279"/>
      <c r="FS73" s="50"/>
      <c r="FT73" s="50"/>
      <c r="FU73" s="50"/>
      <c r="FV73" s="50"/>
      <c r="FW73" s="50"/>
      <c r="FX73" s="50"/>
      <c r="FY73" s="50"/>
      <c r="FZ73" s="50"/>
      <c r="GA73" s="50"/>
      <c r="GB73" s="50"/>
      <c r="GC73" s="50"/>
      <c r="GD73" s="50"/>
      <c r="GE73" s="50"/>
      <c r="GF73" s="113"/>
      <c r="GG73" s="113"/>
      <c r="GH73" s="90">
        <f>+GR73+GW73+HD73+HX73+HI73+HH73</f>
        <v>842164</v>
      </c>
      <c r="GI73" s="64">
        <f>GS73+GX73+HC73+HE73+HI73+HH73</f>
        <v>842164</v>
      </c>
      <c r="GJ73" s="64">
        <f t="shared" si="192"/>
        <v>0</v>
      </c>
      <c r="GK73" s="64"/>
      <c r="GL73" s="84"/>
      <c r="GM73" s="84"/>
      <c r="GN73" s="64"/>
      <c r="GO73" s="85">
        <f t="shared" si="193"/>
        <v>0</v>
      </c>
      <c r="GP73" s="64">
        <f t="shared" si="194"/>
        <v>0</v>
      </c>
      <c r="GQ73" s="64">
        <v>0.4</v>
      </c>
      <c r="GR73" s="64"/>
      <c r="GS73" s="84"/>
      <c r="GT73" s="746"/>
      <c r="GU73" s="64">
        <f t="shared" si="195"/>
        <v>0</v>
      </c>
      <c r="GV73" s="85"/>
      <c r="GW73" s="64">
        <f>629664-HH73</f>
        <v>289664</v>
      </c>
      <c r="GX73" s="64">
        <v>289664</v>
      </c>
      <c r="GY73" s="64"/>
      <c r="GZ73" s="84"/>
      <c r="HA73" s="84">
        <f t="shared" si="196"/>
        <v>0</v>
      </c>
      <c r="HB73" s="64">
        <f>GW73/AH73</f>
        <v>8519.5294117647063</v>
      </c>
      <c r="HC73" s="85"/>
      <c r="HD73" s="90">
        <v>212500</v>
      </c>
      <c r="HE73" s="64">
        <v>212500</v>
      </c>
      <c r="HF73" s="64"/>
      <c r="HG73" s="748">
        <f t="shared" si="188"/>
        <v>0.25232615025102001</v>
      </c>
      <c r="HH73" s="84">
        <v>340000</v>
      </c>
      <c r="HI73" s="64"/>
      <c r="HJ73" s="86">
        <f t="shared" si="148"/>
        <v>0</v>
      </c>
      <c r="HK73" s="19">
        <f t="shared" si="189"/>
        <v>6250</v>
      </c>
      <c r="HL73" s="78">
        <f t="shared" si="190"/>
        <v>6250</v>
      </c>
      <c r="HM73" s="390">
        <f>HJ73/AH73</f>
        <v>0</v>
      </c>
      <c r="HN73" s="394">
        <v>6.31</v>
      </c>
      <c r="HO73" s="394"/>
      <c r="HP73" s="390"/>
      <c r="HQ73" s="390"/>
      <c r="HR73" s="390">
        <f>(GR73+HD73+HQ73)/AH73</f>
        <v>6250</v>
      </c>
      <c r="HS73" s="390"/>
      <c r="HT73" s="390">
        <f>(GS73+HE73+HQ73+HS73)/AH73</f>
        <v>6250</v>
      </c>
      <c r="HU73" s="107">
        <f t="shared" si="143"/>
        <v>0.25232615025102001</v>
      </c>
      <c r="HV73" s="390"/>
      <c r="HW73" s="390"/>
      <c r="HX73" s="390">
        <f t="shared" si="161"/>
        <v>0</v>
      </c>
      <c r="HY73" s="395">
        <f t="shared" si="197"/>
        <v>842164</v>
      </c>
      <c r="HZ73" s="276"/>
      <c r="IA73" s="276">
        <f t="shared" si="150"/>
        <v>0</v>
      </c>
      <c r="IB73" s="277"/>
      <c r="IC73" s="280">
        <v>0</v>
      </c>
      <c r="ID73" s="280"/>
      <c r="IE73" s="254"/>
      <c r="IF73" s="254"/>
      <c r="IG73" s="388">
        <v>0</v>
      </c>
      <c r="IH73" s="262"/>
      <c r="II73" s="273">
        <v>0</v>
      </c>
      <c r="IJ73" s="262"/>
      <c r="IK73" s="466"/>
      <c r="IL73" s="278"/>
      <c r="IM73" s="283"/>
      <c r="IN73" s="281"/>
      <c r="IO73" s="281"/>
      <c r="IP73" s="275"/>
      <c r="IQ73" s="280"/>
      <c r="IR73" s="275"/>
      <c r="IS73" s="280"/>
      <c r="IT73" s="299"/>
      <c r="IU73" s="299"/>
      <c r="IV73" s="299"/>
      <c r="IW73" s="299"/>
      <c r="IX73" s="268"/>
      <c r="IY73" s="268"/>
      <c r="IZ73" s="268"/>
      <c r="JA73" s="268"/>
      <c r="JB73" s="268"/>
      <c r="JC73" s="268"/>
      <c r="JD73" s="280" t="e">
        <f>$JD$1*HZ73</f>
        <v>#VALUE!</v>
      </c>
      <c r="JE73" s="118"/>
      <c r="JF73" s="278"/>
      <c r="JG73" s="118"/>
      <c r="JH73" s="118"/>
      <c r="JI73" s="278"/>
    </row>
    <row r="74" spans="1:269" ht="15" customHeight="1">
      <c r="A74" s="83" t="s">
        <v>731</v>
      </c>
      <c r="B74" s="50" t="s">
        <v>259</v>
      </c>
      <c r="C74" s="50" t="s">
        <v>112</v>
      </c>
      <c r="D74" s="50">
        <v>2017</v>
      </c>
      <c r="E74" s="50" t="s">
        <v>413</v>
      </c>
      <c r="F74" s="50" t="s">
        <v>382</v>
      </c>
      <c r="G74" s="50" t="s">
        <v>624</v>
      </c>
      <c r="H74" s="50" t="s">
        <v>172</v>
      </c>
      <c r="I74" s="50"/>
      <c r="J74" s="50" t="s">
        <v>405</v>
      </c>
      <c r="K74" s="256" t="s">
        <v>642</v>
      </c>
      <c r="L74" s="166"/>
      <c r="M74" s="167"/>
      <c r="N74" s="168"/>
      <c r="O74" s="207">
        <v>5443</v>
      </c>
      <c r="P74" s="207">
        <v>381010</v>
      </c>
      <c r="Q74" s="219">
        <v>381010</v>
      </c>
      <c r="R74" s="207">
        <f>P74/AD74</f>
        <v>18143.333333333332</v>
      </c>
      <c r="S74" s="213">
        <f>P74/O74</f>
        <v>70</v>
      </c>
      <c r="T74" s="219">
        <f>Q74/O74</f>
        <v>70</v>
      </c>
      <c r="U74" s="219">
        <f>Q74/AL74</f>
        <v>238.72208716573519</v>
      </c>
      <c r="V74" s="219">
        <f>Q74/AD74</f>
        <v>18143.333333333332</v>
      </c>
      <c r="W74" s="207">
        <f>O74/AD74</f>
        <v>259.1904761904762</v>
      </c>
      <c r="X74" s="208"/>
      <c r="Y74" s="209">
        <f t="shared" si="78"/>
        <v>0.29322799926511117</v>
      </c>
      <c r="Z74" s="208"/>
      <c r="AA74" s="208">
        <v>900</v>
      </c>
      <c r="AB74" s="209"/>
      <c r="AC74" s="50" t="s">
        <v>16</v>
      </c>
      <c r="AD74" s="318">
        <f t="shared" si="163"/>
        <v>21</v>
      </c>
      <c r="AE74" s="61"/>
      <c r="AF74" s="50">
        <v>21</v>
      </c>
      <c r="AG74" s="50"/>
      <c r="AH74" s="50"/>
      <c r="AI74" s="268"/>
      <c r="AJ74" s="54">
        <v>1580.35</v>
      </c>
      <c r="AK74" s="54"/>
      <c r="AL74" s="89">
        <v>1596.04</v>
      </c>
      <c r="AM74" s="54">
        <f>AL74/AD74</f>
        <v>76.001904761904754</v>
      </c>
      <c r="AN74" s="75"/>
      <c r="AO74" s="75"/>
      <c r="AP74" s="75"/>
      <c r="AQ74" s="75"/>
      <c r="AR74" s="75"/>
      <c r="AS74" s="54"/>
      <c r="AT74" s="73"/>
      <c r="AU74" s="75"/>
      <c r="AV74" s="54"/>
      <c r="AW74" s="50" t="s">
        <v>560</v>
      </c>
      <c r="AX74" s="50"/>
      <c r="AY74" s="806"/>
      <c r="AZ74" s="50"/>
      <c r="BA74" s="238">
        <v>42761</v>
      </c>
      <c r="BB74" s="50"/>
      <c r="BC74" s="110"/>
      <c r="BD74" s="110"/>
      <c r="BE74" s="94"/>
      <c r="BF74" s="204">
        <v>43017</v>
      </c>
      <c r="BG74" s="96">
        <v>43045</v>
      </c>
      <c r="BH74" s="96"/>
      <c r="BI74" s="204"/>
      <c r="BJ74" s="96"/>
      <c r="BK74" s="160">
        <v>43168</v>
      </c>
      <c r="BL74" s="203">
        <v>43249</v>
      </c>
      <c r="BM74" s="160">
        <f t="shared" si="159"/>
        <v>43341</v>
      </c>
      <c r="BN74" s="160">
        <v>43263</v>
      </c>
      <c r="BO74" s="298">
        <f t="shared" si="135"/>
        <v>43249</v>
      </c>
      <c r="BP74" s="297">
        <f t="shared" si="136"/>
        <v>43980</v>
      </c>
      <c r="BQ74" s="297">
        <f t="shared" si="144"/>
        <v>44345</v>
      </c>
      <c r="BR74" s="686">
        <f>13884+73092</f>
        <v>86976</v>
      </c>
      <c r="BS74" s="297" t="str">
        <f>IF(EU74&gt;BQ74,"oui","non")</f>
        <v>non</v>
      </c>
      <c r="BT74" s="686">
        <f t="shared" si="164"/>
        <v>12</v>
      </c>
      <c r="BU74" s="686">
        <f t="shared" si="165"/>
        <v>102276</v>
      </c>
      <c r="BV74" s="686">
        <f t="shared" si="166"/>
        <v>0</v>
      </c>
      <c r="BW74" s="160"/>
      <c r="BX74" s="165"/>
      <c r="BY74" s="97"/>
      <c r="BZ74" s="98"/>
      <c r="CA74" s="98"/>
      <c r="CB74" s="98"/>
      <c r="CC74" s="158"/>
      <c r="CD74" s="251"/>
      <c r="CE74" s="251"/>
      <c r="CF74" s="157"/>
      <c r="CG74" s="251"/>
      <c r="CH74" s="251"/>
      <c r="CI74" s="251"/>
      <c r="CJ74" s="251" t="s">
        <v>165</v>
      </c>
      <c r="CK74" s="604"/>
      <c r="CL74" s="316">
        <v>42585</v>
      </c>
      <c r="CM74" s="123">
        <v>42600</v>
      </c>
      <c r="CN74" s="123">
        <v>42585</v>
      </c>
      <c r="CO74" s="529">
        <f t="shared" si="167"/>
        <v>-15</v>
      </c>
      <c r="CP74" s="123">
        <v>42740</v>
      </c>
      <c r="CQ74" s="123">
        <v>42751</v>
      </c>
      <c r="CR74" s="529">
        <f t="shared" si="168"/>
        <v>11</v>
      </c>
      <c r="CS74" s="316">
        <v>42751</v>
      </c>
      <c r="CT74" s="316">
        <v>42744</v>
      </c>
      <c r="CU74" s="529">
        <f t="shared" si="169"/>
        <v>-7</v>
      </c>
      <c r="CV74" s="123">
        <v>42803</v>
      </c>
      <c r="CW74" s="123">
        <v>42837</v>
      </c>
      <c r="CX74" s="529">
        <f t="shared" si="170"/>
        <v>34</v>
      </c>
      <c r="CY74" s="123">
        <v>42895</v>
      </c>
      <c r="CZ74" s="123">
        <v>42947</v>
      </c>
      <c r="DA74" s="529">
        <f t="shared" si="171"/>
        <v>52</v>
      </c>
      <c r="DB74" s="457"/>
      <c r="DC74" s="546">
        <v>43326</v>
      </c>
      <c r="DD74" s="543">
        <v>43144</v>
      </c>
      <c r="DE74" s="539">
        <f t="shared" ca="1" si="155"/>
        <v>43332</v>
      </c>
      <c r="DF74" s="535">
        <f t="shared" ca="1" si="172"/>
        <v>188</v>
      </c>
      <c r="DG74" s="543">
        <v>43159</v>
      </c>
      <c r="DH74" s="703">
        <v>43434</v>
      </c>
      <c r="DI74" s="348"/>
      <c r="DJ74" s="446">
        <f t="shared" si="173"/>
        <v>13.9</v>
      </c>
      <c r="DK74" s="535">
        <f t="shared" si="174"/>
        <v>275</v>
      </c>
      <c r="DL74" s="704">
        <v>16</v>
      </c>
      <c r="DM74" s="243">
        <f t="shared" si="175"/>
        <v>17</v>
      </c>
      <c r="DN74" s="533"/>
      <c r="DO74" s="539">
        <f t="shared" ca="1" si="156"/>
        <v>43332</v>
      </c>
      <c r="DP74" s="535" t="str">
        <f t="shared" ca="1" si="176"/>
        <v>0</v>
      </c>
      <c r="DQ74" s="533"/>
      <c r="DR74" s="557">
        <f t="shared" ca="1" si="157"/>
        <v>43332</v>
      </c>
      <c r="DS74" s="536" t="str">
        <f t="shared" ca="1" si="177"/>
        <v>0</v>
      </c>
      <c r="DT74" s="539"/>
      <c r="DU74" s="539">
        <f t="shared" ca="1" si="140"/>
        <v>43332</v>
      </c>
      <c r="DV74" s="535" t="str">
        <f t="shared" ca="1" si="178"/>
        <v>0</v>
      </c>
      <c r="DW74" s="543"/>
      <c r="DX74" s="539">
        <f t="shared" ca="1" si="141"/>
        <v>43332</v>
      </c>
      <c r="DY74" s="535" t="str">
        <f t="shared" ca="1" si="179"/>
        <v>0</v>
      </c>
      <c r="DZ74" s="539"/>
      <c r="EA74" s="539">
        <f t="shared" ca="1" si="160"/>
        <v>43332</v>
      </c>
      <c r="EB74" s="535" t="str">
        <f t="shared" ca="1" si="180"/>
        <v>0</v>
      </c>
      <c r="EC74" s="539"/>
      <c r="ED74" s="539">
        <f t="shared" ca="1" si="152"/>
        <v>43332</v>
      </c>
      <c r="EE74" s="535" t="str">
        <f t="shared" ca="1" si="181"/>
        <v>0</v>
      </c>
      <c r="EF74" s="539"/>
      <c r="EG74" s="539">
        <f t="shared" ca="1" si="131"/>
        <v>43332</v>
      </c>
      <c r="EH74" s="535" t="str">
        <f t="shared" ca="1" si="182"/>
        <v>0</v>
      </c>
      <c r="EI74" s="539"/>
      <c r="EJ74" s="539"/>
      <c r="EK74" s="539"/>
      <c r="EL74" s="625">
        <f t="shared" si="183"/>
        <v>43920</v>
      </c>
      <c r="EM74" s="404">
        <f>DATE(YEAR(EL74),MONTH(EL74)+1,DAY(EL74))</f>
        <v>43951</v>
      </c>
      <c r="EN74" s="756">
        <f t="shared" si="184"/>
        <v>1.0333333333333334</v>
      </c>
      <c r="EO74" s="580">
        <f>DATE(YEAR(CI74)+2,MONTH(CI74),DAY(CI74))</f>
        <v>731</v>
      </c>
      <c r="EP74" s="244"/>
      <c r="EQ74" s="244"/>
      <c r="ER74" s="186">
        <f>DATE(YEAR(EM74),MONTH(EM74),DAY(EM74))</f>
        <v>43951</v>
      </c>
      <c r="ES74" s="467"/>
      <c r="ET74" s="578">
        <f t="shared" si="185"/>
        <v>43951</v>
      </c>
      <c r="EU74" s="455">
        <f>DATE(YEAR(ER74),MONTH(ER74),DAY(ER74))</f>
        <v>43951</v>
      </c>
      <c r="EV74" s="581"/>
      <c r="EW74" s="753">
        <f t="shared" si="186"/>
        <v>0</v>
      </c>
      <c r="EX74" s="722">
        <v>8523</v>
      </c>
      <c r="EY74" s="247">
        <f t="shared" si="187"/>
        <v>0</v>
      </c>
      <c r="EZ74" s="118"/>
      <c r="FA74" s="562">
        <v>200000</v>
      </c>
      <c r="FB74" s="562">
        <v>0</v>
      </c>
      <c r="FC74" s="562"/>
      <c r="FD74" s="562"/>
      <c r="FE74" s="562"/>
      <c r="FF74" s="787">
        <f t="shared" si="154"/>
        <v>0</v>
      </c>
      <c r="FG74" s="559"/>
      <c r="FH74" s="571"/>
      <c r="FI74" s="571"/>
      <c r="FJ74" s="571" t="s">
        <v>772</v>
      </c>
      <c r="FK74" s="122"/>
      <c r="FL74" s="122"/>
      <c r="FM74" s="122"/>
      <c r="FN74" s="122"/>
      <c r="FO74" s="122"/>
      <c r="FP74" s="50"/>
      <c r="FQ74" s="279">
        <f t="shared" si="162"/>
        <v>44316</v>
      </c>
      <c r="FR74" s="279"/>
      <c r="FS74" s="50"/>
      <c r="FT74" s="50"/>
      <c r="FU74" s="50"/>
      <c r="FV74" s="50"/>
      <c r="FW74" s="50"/>
      <c r="FX74" s="50"/>
      <c r="FY74" s="50"/>
      <c r="FZ74" s="50"/>
      <c r="GA74" s="50"/>
      <c r="GB74" s="50"/>
      <c r="GC74" s="50"/>
      <c r="GD74" s="50"/>
      <c r="GE74" s="50"/>
      <c r="GF74" s="113"/>
      <c r="GG74" s="113"/>
      <c r="GH74" s="90">
        <f>+GR74+GW74+HD74+HX74+HI74</f>
        <v>3723712.87</v>
      </c>
      <c r="GI74" s="64">
        <f>GS74+GX74+HE74+HX74+HF74+HI74</f>
        <v>3678266</v>
      </c>
      <c r="GJ74" s="90">
        <f t="shared" si="192"/>
        <v>-45446.870000000112</v>
      </c>
      <c r="GK74" s="46">
        <f>GI74/AJ74</f>
        <v>2327.5008700604299</v>
      </c>
      <c r="GL74" s="46">
        <f>GI74/AD74</f>
        <v>175155.52380952382</v>
      </c>
      <c r="GM74" s="90"/>
      <c r="GN74" s="90">
        <v>3634508</v>
      </c>
      <c r="GO74" s="90">
        <f t="shared" si="193"/>
        <v>3634508</v>
      </c>
      <c r="GP74" s="90">
        <f t="shared" si="194"/>
        <v>1.0088538099202178</v>
      </c>
      <c r="GQ74" s="302"/>
      <c r="GR74" s="90">
        <v>1246192.3500000001</v>
      </c>
      <c r="GS74" s="64">
        <v>1198389</v>
      </c>
      <c r="GT74" s="657">
        <v>1198389</v>
      </c>
      <c r="GU74" s="90">
        <f t="shared" si="195"/>
        <v>57066.142857142855</v>
      </c>
      <c r="GV74" s="90">
        <f>GS74-GR74</f>
        <v>-47803.350000000093</v>
      </c>
      <c r="GW74" s="406">
        <v>1810436.52</v>
      </c>
      <c r="GX74" s="64">
        <f>GY74+GZ74</f>
        <v>1812793</v>
      </c>
      <c r="GY74" s="84">
        <v>576479</v>
      </c>
      <c r="GZ74" s="84">
        <v>1236314</v>
      </c>
      <c r="HA74" s="90">
        <f t="shared" si="196"/>
        <v>2356.4799999999814</v>
      </c>
      <c r="HB74" s="642">
        <f>GX74/AD74</f>
        <v>86323.476190476184</v>
      </c>
      <c r="HC74" s="390"/>
      <c r="HD74" s="90">
        <v>504000</v>
      </c>
      <c r="HE74" s="64">
        <v>504000</v>
      </c>
      <c r="HF74" s="90"/>
      <c r="HG74" s="302">
        <f t="shared" si="188"/>
        <v>0.13702108547886421</v>
      </c>
      <c r="HH74" s="390"/>
      <c r="HI74" s="64">
        <f>114303+48781</f>
        <v>163084</v>
      </c>
      <c r="HJ74" s="86">
        <f t="shared" si="148"/>
        <v>0</v>
      </c>
      <c r="HK74" s="19">
        <f t="shared" si="189"/>
        <v>24000</v>
      </c>
      <c r="HL74" s="78">
        <f t="shared" si="190"/>
        <v>81066.142857142855</v>
      </c>
      <c r="HM74" s="86">
        <f>HJ74/AD74</f>
        <v>0</v>
      </c>
      <c r="HN74" s="87">
        <v>5.35</v>
      </c>
      <c r="HO74" s="87">
        <v>5.34</v>
      </c>
      <c r="HP74" s="88"/>
      <c r="HQ74" s="88"/>
      <c r="HR74" s="46">
        <f>(GR74+HD74+HQ74)/AD74</f>
        <v>83342.492857142861</v>
      </c>
      <c r="HS74" s="88"/>
      <c r="HT74" s="46">
        <f>(GS74+HE74+HQ74+HS74)/AD74</f>
        <v>81066.142857142855</v>
      </c>
      <c r="HU74" s="47">
        <f t="shared" si="143"/>
        <v>0.47001270267113804</v>
      </c>
      <c r="HV74" s="88"/>
      <c r="HW74" s="88"/>
      <c r="HX74" s="64">
        <f t="shared" si="161"/>
        <v>0</v>
      </c>
      <c r="HY74" s="37">
        <f t="shared" si="197"/>
        <v>3723712.87</v>
      </c>
      <c r="HZ74" s="276">
        <v>191612</v>
      </c>
      <c r="IA74" s="276">
        <f t="shared" si="150"/>
        <v>105386</v>
      </c>
      <c r="IB74" s="114">
        <v>42579</v>
      </c>
      <c r="IC74" s="233">
        <v>17147</v>
      </c>
      <c r="ID74" s="233"/>
      <c r="IE74" s="317"/>
      <c r="IF74" s="317">
        <v>42716</v>
      </c>
      <c r="IG74" s="315">
        <v>0</v>
      </c>
      <c r="IH74" s="317">
        <v>42716</v>
      </c>
      <c r="II74" s="233">
        <v>28305</v>
      </c>
      <c r="IJ74" s="114">
        <v>42818</v>
      </c>
      <c r="IK74" s="233">
        <v>21612</v>
      </c>
      <c r="IL74" s="115">
        <v>42915</v>
      </c>
      <c r="IM74" s="322">
        <v>28742</v>
      </c>
      <c r="IN74" s="314"/>
      <c r="IO74" s="314"/>
      <c r="IP74" s="275">
        <v>42989</v>
      </c>
      <c r="IQ74" s="284">
        <v>9580</v>
      </c>
      <c r="IR74" s="275"/>
      <c r="IS74" s="280"/>
      <c r="IT74" s="299"/>
      <c r="IU74" s="299"/>
      <c r="IV74" s="299"/>
      <c r="IW74" s="299"/>
      <c r="IX74" s="268"/>
      <c r="IY74" s="268"/>
      <c r="IZ74" s="268"/>
      <c r="JA74" s="268"/>
      <c r="JB74" s="268"/>
      <c r="JC74" s="268"/>
      <c r="JD74" s="315">
        <v>28305</v>
      </c>
      <c r="JE74" s="237"/>
      <c r="JF74" s="115"/>
      <c r="JG74" s="237"/>
      <c r="JH74" s="237"/>
      <c r="JI74" s="115"/>
    </row>
    <row r="75" spans="1:269" ht="15" customHeight="1">
      <c r="A75" s="456" t="s">
        <v>458</v>
      </c>
      <c r="B75" s="50" t="s">
        <v>35</v>
      </c>
      <c r="C75" s="50" t="s">
        <v>110</v>
      </c>
      <c r="D75" s="50">
        <v>2018</v>
      </c>
      <c r="E75" s="50"/>
      <c r="F75" s="50" t="s">
        <v>441</v>
      </c>
      <c r="G75" s="50" t="s">
        <v>177</v>
      </c>
      <c r="H75" s="50" t="s">
        <v>171</v>
      </c>
      <c r="I75" s="50"/>
      <c r="J75" s="50" t="s">
        <v>463</v>
      </c>
      <c r="K75" s="256" t="s">
        <v>476</v>
      </c>
      <c r="L75" s="166" t="s">
        <v>61</v>
      </c>
      <c r="M75" s="167" t="s">
        <v>475</v>
      </c>
      <c r="N75" s="168">
        <v>34912</v>
      </c>
      <c r="O75" s="233"/>
      <c r="P75" s="233"/>
      <c r="Q75" s="233"/>
      <c r="R75" s="233"/>
      <c r="S75" s="233"/>
      <c r="T75" s="613"/>
      <c r="U75" s="613"/>
      <c r="V75" s="613"/>
      <c r="W75" s="233"/>
      <c r="X75" s="208"/>
      <c r="Y75" s="216" t="e">
        <f t="shared" si="78"/>
        <v>#DIV/0!</v>
      </c>
      <c r="Z75" s="208"/>
      <c r="AA75" s="208"/>
      <c r="AB75" s="209"/>
      <c r="AC75" s="50" t="s">
        <v>440</v>
      </c>
      <c r="AD75" s="318">
        <f t="shared" si="163"/>
        <v>128</v>
      </c>
      <c r="AE75" s="61"/>
      <c r="AF75" s="115"/>
      <c r="AG75" s="115"/>
      <c r="AH75" s="193">
        <v>128</v>
      </c>
      <c r="AI75" s="268"/>
      <c r="AJ75" s="54"/>
      <c r="AK75" s="54"/>
      <c r="AL75" s="89"/>
      <c r="AM75" s="54"/>
      <c r="AN75" s="75"/>
      <c r="AO75" s="75"/>
      <c r="AP75" s="75"/>
      <c r="AQ75" s="75"/>
      <c r="AR75" s="75"/>
      <c r="AS75" s="54"/>
      <c r="AT75" s="73"/>
      <c r="AU75" s="75"/>
      <c r="AV75" s="54"/>
      <c r="AW75" s="50"/>
      <c r="AX75" s="50"/>
      <c r="AY75" s="785"/>
      <c r="AZ75" s="50"/>
      <c r="BA75" s="50"/>
      <c r="BB75" s="50"/>
      <c r="BC75" s="110"/>
      <c r="BD75" s="110"/>
      <c r="BE75" s="94"/>
      <c r="BF75" s="204"/>
      <c r="BG75" s="96"/>
      <c r="BH75" s="96"/>
      <c r="BI75" s="204"/>
      <c r="BJ75" s="96"/>
      <c r="BK75" s="707">
        <v>43311</v>
      </c>
      <c r="BL75" s="736">
        <v>43249</v>
      </c>
      <c r="BM75" s="707">
        <f t="shared" si="159"/>
        <v>43341</v>
      </c>
      <c r="BN75" s="160"/>
      <c r="BO75" s="298">
        <f t="shared" si="135"/>
        <v>43249</v>
      </c>
      <c r="BP75" s="297">
        <f t="shared" si="136"/>
        <v>43980</v>
      </c>
      <c r="BQ75" s="297">
        <f t="shared" si="144"/>
        <v>44345</v>
      </c>
      <c r="BR75" s="297"/>
      <c r="BS75" s="297" t="str">
        <f>IF(EU75&gt;BP75,"oui","non")</f>
        <v>non</v>
      </c>
      <c r="BT75" s="686">
        <f t="shared" si="164"/>
        <v>14</v>
      </c>
      <c r="BU75" s="686">
        <f t="shared" si="165"/>
        <v>0</v>
      </c>
      <c r="BV75" s="686">
        <f t="shared" si="166"/>
        <v>0</v>
      </c>
      <c r="BW75" s="160"/>
      <c r="BX75" s="165"/>
      <c r="BY75" s="97"/>
      <c r="BZ75" s="98"/>
      <c r="CA75" s="98"/>
      <c r="CB75" s="98"/>
      <c r="CC75" s="158"/>
      <c r="CD75" s="251"/>
      <c r="CE75" s="251"/>
      <c r="CF75" s="157"/>
      <c r="CG75" s="251"/>
      <c r="CH75" s="251"/>
      <c r="CI75" s="251"/>
      <c r="CJ75" s="408"/>
      <c r="CK75" s="408"/>
      <c r="CL75" s="546">
        <v>42935</v>
      </c>
      <c r="CM75" s="547"/>
      <c r="CN75" s="547"/>
      <c r="CO75" s="551" t="str">
        <f t="shared" si="167"/>
        <v>0</v>
      </c>
      <c r="CP75" s="549">
        <v>43038</v>
      </c>
      <c r="CQ75" s="549">
        <f ca="1">IF(CP75&lt;TODAY(),TODAY(),CP75)</f>
        <v>43332</v>
      </c>
      <c r="CR75" s="551">
        <f t="shared" ca="1" si="168"/>
        <v>294</v>
      </c>
      <c r="CS75" s="549">
        <v>43017</v>
      </c>
      <c r="CT75" s="546">
        <f ca="1">IF(CS75&lt;TODAY(),TODAY(),CS75)</f>
        <v>43332</v>
      </c>
      <c r="CU75" s="551">
        <f t="shared" ca="1" si="169"/>
        <v>315</v>
      </c>
      <c r="CV75" s="549">
        <v>43098</v>
      </c>
      <c r="CW75" s="546">
        <f ca="1">IF(CV75&lt;TODAY(),TODAY(),CV75)</f>
        <v>43332</v>
      </c>
      <c r="CX75" s="551">
        <f t="shared" ca="1" si="170"/>
        <v>234</v>
      </c>
      <c r="CY75" s="549">
        <v>43158</v>
      </c>
      <c r="CZ75" s="549">
        <f ca="1">IF(CY75&lt;TODAY(),TODAY(),CY75)</f>
        <v>43332</v>
      </c>
      <c r="DA75" s="551">
        <f t="shared" ca="1" si="171"/>
        <v>174</v>
      </c>
      <c r="DB75" s="457"/>
      <c r="DC75" s="546">
        <v>43403</v>
      </c>
      <c r="DD75" s="533">
        <v>43602</v>
      </c>
      <c r="DE75" s="539">
        <f t="shared" ca="1" si="155"/>
        <v>43602</v>
      </c>
      <c r="DF75" s="535">
        <f t="shared" ca="1" si="172"/>
        <v>0</v>
      </c>
      <c r="DG75" s="533">
        <v>43616</v>
      </c>
      <c r="DH75" s="703">
        <v>43441</v>
      </c>
      <c r="DI75" s="348"/>
      <c r="DJ75" s="446">
        <f t="shared" si="173"/>
        <v>1448.0333333333333</v>
      </c>
      <c r="DK75" s="535">
        <f t="shared" si="174"/>
        <v>-175</v>
      </c>
      <c r="DL75" s="704">
        <v>12</v>
      </c>
      <c r="DM75" s="243">
        <f t="shared" si="175"/>
        <v>13</v>
      </c>
      <c r="DN75" s="533"/>
      <c r="DO75" s="539">
        <f t="shared" ca="1" si="156"/>
        <v>43332</v>
      </c>
      <c r="DP75" s="535" t="str">
        <f t="shared" ca="1" si="176"/>
        <v>0</v>
      </c>
      <c r="DQ75" s="533"/>
      <c r="DR75" s="557">
        <f t="shared" ca="1" si="157"/>
        <v>43332</v>
      </c>
      <c r="DS75" s="536" t="str">
        <f t="shared" ca="1" si="177"/>
        <v>0</v>
      </c>
      <c r="DT75" s="537"/>
      <c r="DU75" s="539">
        <f t="shared" ca="1" si="140"/>
        <v>43332</v>
      </c>
      <c r="DV75" s="535" t="str">
        <f t="shared" ca="1" si="178"/>
        <v>0</v>
      </c>
      <c r="DW75" s="534"/>
      <c r="DX75" s="539">
        <f t="shared" ca="1" si="141"/>
        <v>43332</v>
      </c>
      <c r="DY75" s="535" t="str">
        <f t="shared" ca="1" si="179"/>
        <v>0</v>
      </c>
      <c r="DZ75" s="541"/>
      <c r="EA75" s="539">
        <f t="shared" ca="1" si="160"/>
        <v>43332</v>
      </c>
      <c r="EB75" s="535" t="str">
        <f t="shared" ca="1" si="180"/>
        <v>0</v>
      </c>
      <c r="EC75" s="541"/>
      <c r="ED75" s="539">
        <f t="shared" ca="1" si="152"/>
        <v>43332</v>
      </c>
      <c r="EE75" s="535" t="str">
        <f t="shared" ca="1" si="181"/>
        <v>0</v>
      </c>
      <c r="EF75" s="541"/>
      <c r="EG75" s="539">
        <f t="shared" ca="1" si="131"/>
        <v>43332</v>
      </c>
      <c r="EH75" s="535" t="str">
        <f t="shared" ca="1" si="182"/>
        <v>0</v>
      </c>
      <c r="EI75" s="541"/>
      <c r="EJ75" s="541"/>
      <c r="EK75" s="541"/>
      <c r="EL75" s="625">
        <f t="shared" si="183"/>
        <v>43806</v>
      </c>
      <c r="EM75" s="404">
        <f>DATE(YEAR(DH75),MONTH(DH75)+DL75+1,DAY(DH75))</f>
        <v>43837</v>
      </c>
      <c r="EN75" s="756">
        <f t="shared" si="184"/>
        <v>1.0333333333333334</v>
      </c>
      <c r="EO75" s="580"/>
      <c r="EP75" s="244"/>
      <c r="EQ75" s="244"/>
      <c r="ER75" s="186">
        <f>DATE(YEAR(EM75),MONTH(EM75)+1,DAY(EM75))</f>
        <v>43868</v>
      </c>
      <c r="ES75" s="467"/>
      <c r="ET75" s="578">
        <f t="shared" si="185"/>
        <v>43837</v>
      </c>
      <c r="EU75" s="455">
        <f t="shared" ref="EU75:EU80" si="198">DATE(YEAR(ER75),MONTH(ER75)+1,DAY(ER75))</f>
        <v>43897</v>
      </c>
      <c r="EV75" s="581"/>
      <c r="EW75" s="753">
        <f t="shared" si="186"/>
        <v>2</v>
      </c>
      <c r="EX75" s="722"/>
      <c r="EY75" s="247">
        <f t="shared" si="187"/>
        <v>0</v>
      </c>
      <c r="EZ75" s="118"/>
      <c r="FA75" s="562">
        <v>0</v>
      </c>
      <c r="FB75" s="562">
        <v>0</v>
      </c>
      <c r="FC75" s="562"/>
      <c r="FD75" s="562"/>
      <c r="FE75" s="562"/>
      <c r="FF75" s="787">
        <f t="shared" si="154"/>
        <v>0</v>
      </c>
      <c r="FG75" s="559"/>
      <c r="FH75" s="571"/>
      <c r="FI75" s="559" t="s">
        <v>735</v>
      </c>
      <c r="FJ75" s="559"/>
      <c r="FK75" s="122"/>
      <c r="FL75" s="122"/>
      <c r="FM75" s="122"/>
      <c r="FN75" s="122"/>
      <c r="FO75" s="122"/>
      <c r="FP75" s="50"/>
      <c r="FQ75" s="279">
        <f t="shared" si="162"/>
        <v>44203</v>
      </c>
      <c r="FR75" s="279"/>
      <c r="FS75" s="50"/>
      <c r="FT75" s="50"/>
      <c r="FU75" s="50"/>
      <c r="FV75" s="50"/>
      <c r="FW75" s="50"/>
      <c r="FX75" s="50"/>
      <c r="FY75" s="50"/>
      <c r="FZ75" s="50"/>
      <c r="GA75" s="50"/>
      <c r="GB75" s="50"/>
      <c r="GC75" s="50"/>
      <c r="GD75" s="50"/>
      <c r="GE75" s="50"/>
      <c r="GF75" s="113"/>
      <c r="GG75" s="113"/>
      <c r="GH75" s="90">
        <f>+GR75+GW75+HD75+HX75+HI75+HH75</f>
        <v>3625157</v>
      </c>
      <c r="GI75" s="64">
        <f>GS75+GX75+HC75+HE75+HI75+HH75</f>
        <v>3625157</v>
      </c>
      <c r="GJ75" s="64">
        <f t="shared" si="192"/>
        <v>0</v>
      </c>
      <c r="GK75" s="64"/>
      <c r="GL75" s="84"/>
      <c r="GM75" s="84"/>
      <c r="GN75" s="64"/>
      <c r="GO75" s="85">
        <f t="shared" si="193"/>
        <v>0</v>
      </c>
      <c r="GP75" s="64">
        <f t="shared" si="194"/>
        <v>0</v>
      </c>
      <c r="GQ75" s="64">
        <v>0.4</v>
      </c>
      <c r="GR75" s="64"/>
      <c r="GS75" s="84"/>
      <c r="GT75" s="84"/>
      <c r="GU75" s="64">
        <f t="shared" si="195"/>
        <v>0</v>
      </c>
      <c r="GV75" s="85"/>
      <c r="GW75" s="64">
        <f>2825157-HH75</f>
        <v>2145157</v>
      </c>
      <c r="GX75" s="64">
        <v>2145157</v>
      </c>
      <c r="GY75" s="64"/>
      <c r="GZ75" s="84"/>
      <c r="HA75" s="84">
        <f t="shared" si="196"/>
        <v>0</v>
      </c>
      <c r="HB75" s="64">
        <f>GW75/AD75</f>
        <v>16759.0390625</v>
      </c>
      <c r="HC75" s="85"/>
      <c r="HD75" s="90">
        <v>800000</v>
      </c>
      <c r="HE75" s="64">
        <v>800000</v>
      </c>
      <c r="HF75" s="64"/>
      <c r="HG75" s="748">
        <f t="shared" si="188"/>
        <v>0.22068009744129702</v>
      </c>
      <c r="HH75" s="84">
        <f>265625+414375</f>
        <v>680000</v>
      </c>
      <c r="HI75" s="64"/>
      <c r="HJ75" s="86">
        <f t="shared" si="148"/>
        <v>0</v>
      </c>
      <c r="HK75" s="19">
        <f t="shared" si="189"/>
        <v>6250</v>
      </c>
      <c r="HL75" s="78">
        <f t="shared" si="190"/>
        <v>6250</v>
      </c>
      <c r="HM75" s="390">
        <f>HJ75/AD75</f>
        <v>0</v>
      </c>
      <c r="HN75" s="394">
        <v>6.31</v>
      </c>
      <c r="HO75" s="394"/>
      <c r="HP75" s="390"/>
      <c r="HQ75" s="390"/>
      <c r="HR75" s="390">
        <f>(GR75+HD75+HQ75)/AD75</f>
        <v>6250</v>
      </c>
      <c r="HS75" s="390"/>
      <c r="HT75" s="390">
        <f>(GS75+HE75+HQ75+HS75)/AD75</f>
        <v>6250</v>
      </c>
      <c r="HU75" s="107">
        <f t="shared" si="143"/>
        <v>0.22068009744129702</v>
      </c>
      <c r="HV75" s="390"/>
      <c r="HW75" s="390"/>
      <c r="HX75" s="390">
        <f t="shared" si="161"/>
        <v>0</v>
      </c>
      <c r="HY75" s="397">
        <f t="shared" si="197"/>
        <v>3625157</v>
      </c>
      <c r="HZ75" s="276"/>
      <c r="IA75" s="276">
        <f t="shared" si="150"/>
        <v>0</v>
      </c>
      <c r="IB75" s="277"/>
      <c r="IC75" s="280">
        <v>0</v>
      </c>
      <c r="ID75" s="280"/>
      <c r="IE75" s="254"/>
      <c r="IF75" s="254"/>
      <c r="IG75" s="388">
        <v>0</v>
      </c>
      <c r="IH75" s="262"/>
      <c r="II75" s="273">
        <v>0</v>
      </c>
      <c r="IJ75" s="262"/>
      <c r="IK75" s="466"/>
      <c r="IL75" s="278"/>
      <c r="IM75" s="283"/>
      <c r="IN75" s="281"/>
      <c r="IO75" s="281"/>
      <c r="IP75" s="275"/>
      <c r="IQ75" s="276"/>
      <c r="IR75" s="275"/>
      <c r="IS75" s="276"/>
      <c r="IT75" s="299"/>
      <c r="IU75" s="299"/>
      <c r="IV75" s="299"/>
      <c r="IW75" s="299"/>
      <c r="IX75" s="268"/>
      <c r="IY75" s="268"/>
      <c r="IZ75" s="268"/>
      <c r="JA75" s="268"/>
      <c r="JB75" s="268"/>
      <c r="JC75" s="268"/>
      <c r="JD75" s="280" t="e">
        <f>$JD$1*HZ75</f>
        <v>#VALUE!</v>
      </c>
      <c r="JE75" s="118"/>
      <c r="JF75" s="278"/>
      <c r="JG75" s="118"/>
      <c r="JH75" s="118"/>
      <c r="JI75" s="278"/>
    </row>
    <row r="76" spans="1:269" ht="15" customHeight="1">
      <c r="A76" s="667" t="s">
        <v>430</v>
      </c>
      <c r="B76" s="50" t="s">
        <v>34</v>
      </c>
      <c r="C76" s="50" t="s">
        <v>111</v>
      </c>
      <c r="D76" s="50">
        <v>2018</v>
      </c>
      <c r="E76" s="50" t="s">
        <v>593</v>
      </c>
      <c r="F76" s="50" t="s">
        <v>378</v>
      </c>
      <c r="G76" s="5" t="s">
        <v>178</v>
      </c>
      <c r="H76" s="52" t="s">
        <v>171</v>
      </c>
      <c r="I76" s="50"/>
      <c r="J76" s="50" t="s">
        <v>432</v>
      </c>
      <c r="K76" s="256" t="s">
        <v>615</v>
      </c>
      <c r="L76" s="166"/>
      <c r="M76" s="167"/>
      <c r="N76" s="168"/>
      <c r="O76" s="207">
        <f>10872*0.44</f>
        <v>4783.68</v>
      </c>
      <c r="P76" s="207">
        <v>230090</v>
      </c>
      <c r="Q76" s="207"/>
      <c r="R76" s="207">
        <f>P76/AD76</f>
        <v>10458.636363636364</v>
      </c>
      <c r="S76" s="207">
        <f t="shared" ref="S76:S81" si="199">P76/O76</f>
        <v>48.098953107231253</v>
      </c>
      <c r="T76" s="213">
        <f t="shared" ref="T76:T81" si="200">Q76/O76</f>
        <v>0</v>
      </c>
      <c r="U76" s="213">
        <f t="shared" ref="U76:U81" si="201">Q76/AL76</f>
        <v>0</v>
      </c>
      <c r="V76" s="213">
        <f t="shared" ref="V76:V81" si="202">Q76/AD76</f>
        <v>0</v>
      </c>
      <c r="W76" s="207">
        <f t="shared" ref="W76:W81" si="203">O76/AD76</f>
        <v>217.44000000000003</v>
      </c>
      <c r="X76" s="208"/>
      <c r="Y76" s="216">
        <f t="shared" si="78"/>
        <v>0.43694603317947689</v>
      </c>
      <c r="Z76" s="208"/>
      <c r="AA76" s="208"/>
      <c r="AB76" s="209"/>
      <c r="AC76" s="50" t="s">
        <v>15</v>
      </c>
      <c r="AD76" s="318">
        <f t="shared" si="163"/>
        <v>22</v>
      </c>
      <c r="AE76" s="50">
        <v>22</v>
      </c>
      <c r="AF76" s="61"/>
      <c r="AG76" s="61"/>
      <c r="AH76" s="61"/>
      <c r="AI76" s="268"/>
      <c r="AJ76" s="54">
        <v>2090.21</v>
      </c>
      <c r="AK76" s="54"/>
      <c r="AL76" s="89">
        <v>2090.21</v>
      </c>
      <c r="AM76" s="54">
        <f>AL76/AD76</f>
        <v>95.00954545454546</v>
      </c>
      <c r="AN76" s="656"/>
      <c r="AO76" s="656"/>
      <c r="AP76" s="656"/>
      <c r="AQ76" s="75">
        <f>12/AD76</f>
        <v>0.54545454545454541</v>
      </c>
      <c r="AR76" s="75">
        <f>10/AD76</f>
        <v>0.45454545454545453</v>
      </c>
      <c r="AS76" s="54"/>
      <c r="AT76" s="73"/>
      <c r="AU76" s="75"/>
      <c r="AV76" s="54"/>
      <c r="AW76" s="53" t="s">
        <v>561</v>
      </c>
      <c r="AX76" s="50"/>
      <c r="AY76" s="785"/>
      <c r="AZ76" s="50"/>
      <c r="BA76" s="239" t="s">
        <v>564</v>
      </c>
      <c r="BB76" s="184"/>
      <c r="BC76" s="110"/>
      <c r="BD76" s="110"/>
      <c r="BE76" s="94"/>
      <c r="BF76" s="204"/>
      <c r="BG76" s="96"/>
      <c r="BH76" s="96"/>
      <c r="BI76" s="204"/>
      <c r="BJ76" s="96"/>
      <c r="BK76" s="160">
        <v>43357</v>
      </c>
      <c r="BL76" s="203">
        <f t="shared" ref="BL76:BL81" si="204">DATE(YEAR(BK76),MONTH(BK76)+1,DAY(BK76))</f>
        <v>43387</v>
      </c>
      <c r="BM76" s="160">
        <f t="shared" si="159"/>
        <v>43479</v>
      </c>
      <c r="BN76" s="160"/>
      <c r="BO76" s="298">
        <f t="shared" si="135"/>
        <v>43387</v>
      </c>
      <c r="BP76" s="297">
        <f t="shared" si="136"/>
        <v>44118</v>
      </c>
      <c r="BQ76" s="297">
        <f t="shared" si="144"/>
        <v>44483</v>
      </c>
      <c r="BR76" s="686">
        <f>55398+10338</f>
        <v>65736</v>
      </c>
      <c r="BS76" s="297" t="str">
        <f t="shared" ref="BS76:BS81" si="205">IF(EU76&gt;BQ76,"oui","non")</f>
        <v>non</v>
      </c>
      <c r="BT76" s="686">
        <f t="shared" si="164"/>
        <v>5</v>
      </c>
      <c r="BU76" s="686">
        <f t="shared" si="165"/>
        <v>66155</v>
      </c>
      <c r="BV76" s="686">
        <f t="shared" si="166"/>
        <v>0</v>
      </c>
      <c r="BW76" s="160"/>
      <c r="BX76" s="165"/>
      <c r="BY76" s="97"/>
      <c r="BZ76" s="98"/>
      <c r="CA76" s="98"/>
      <c r="CB76" s="98"/>
      <c r="CC76" s="158"/>
      <c r="CD76" s="251"/>
      <c r="CE76" s="251"/>
      <c r="CF76" s="157"/>
      <c r="CG76" s="251"/>
      <c r="CH76" s="251"/>
      <c r="CI76" s="251"/>
      <c r="CJ76" s="251" t="s">
        <v>165</v>
      </c>
      <c r="CK76" s="604"/>
      <c r="CL76" s="546">
        <v>42619</v>
      </c>
      <c r="CM76" s="549">
        <v>42619</v>
      </c>
      <c r="CN76" s="549">
        <v>42619</v>
      </c>
      <c r="CO76" s="551">
        <f t="shared" si="167"/>
        <v>0</v>
      </c>
      <c r="CP76" s="549">
        <v>43119</v>
      </c>
      <c r="CQ76" s="549">
        <f ca="1">IF(CP76&lt;TODAY(),TODAY(),CP76)</f>
        <v>43332</v>
      </c>
      <c r="CR76" s="551">
        <f t="shared" ca="1" si="168"/>
        <v>213</v>
      </c>
      <c r="CS76" s="549">
        <v>42772</v>
      </c>
      <c r="CT76" s="549">
        <v>42849</v>
      </c>
      <c r="CU76" s="551">
        <f t="shared" si="169"/>
        <v>77</v>
      </c>
      <c r="CV76" s="549">
        <v>43053</v>
      </c>
      <c r="CW76" s="549">
        <f ca="1">IF(CV76&lt;TODAY(),TODAY(),CV76)</f>
        <v>43332</v>
      </c>
      <c r="CX76" s="551">
        <f t="shared" ca="1" si="170"/>
        <v>279</v>
      </c>
      <c r="CY76" s="549">
        <v>43151</v>
      </c>
      <c r="CZ76" s="549">
        <f ca="1">IF(CY76&lt;TODAY(),TODAY(),CY76)</f>
        <v>43332</v>
      </c>
      <c r="DA76" s="551">
        <f t="shared" ca="1" si="171"/>
        <v>181</v>
      </c>
      <c r="DB76" s="457"/>
      <c r="DC76" s="554"/>
      <c r="DD76" s="533">
        <v>43441</v>
      </c>
      <c r="DE76" s="539">
        <f t="shared" ca="1" si="155"/>
        <v>43441</v>
      </c>
      <c r="DF76" s="535">
        <f t="shared" ca="1" si="172"/>
        <v>0</v>
      </c>
      <c r="DG76" s="533">
        <v>43486</v>
      </c>
      <c r="DH76" s="703">
        <v>43486</v>
      </c>
      <c r="DI76" s="348"/>
      <c r="DJ76" s="446">
        <f t="shared" si="173"/>
        <v>1449.5333333333333</v>
      </c>
      <c r="DK76" s="535">
        <f t="shared" si="174"/>
        <v>0</v>
      </c>
      <c r="DL76" s="704">
        <v>24</v>
      </c>
      <c r="DM76" s="243">
        <f t="shared" si="175"/>
        <v>25</v>
      </c>
      <c r="DN76" s="533"/>
      <c r="DO76" s="539">
        <f t="shared" ca="1" si="156"/>
        <v>43332</v>
      </c>
      <c r="DP76" s="535" t="str">
        <f t="shared" ca="1" si="176"/>
        <v>0</v>
      </c>
      <c r="DQ76" s="533"/>
      <c r="DR76" s="557">
        <f t="shared" ca="1" si="157"/>
        <v>43332</v>
      </c>
      <c r="DS76" s="536" t="str">
        <f t="shared" ca="1" si="177"/>
        <v>0</v>
      </c>
      <c r="DT76" s="537"/>
      <c r="DU76" s="539">
        <f t="shared" ca="1" si="140"/>
        <v>43332</v>
      </c>
      <c r="DV76" s="535" t="str">
        <f t="shared" ca="1" si="178"/>
        <v>0</v>
      </c>
      <c r="DW76" s="540"/>
      <c r="DX76" s="539">
        <f t="shared" ca="1" si="141"/>
        <v>43332</v>
      </c>
      <c r="DY76" s="535" t="str">
        <f t="shared" ca="1" si="179"/>
        <v>0</v>
      </c>
      <c r="DZ76" s="541"/>
      <c r="EA76" s="539">
        <f t="shared" ca="1" si="160"/>
        <v>43332</v>
      </c>
      <c r="EB76" s="535" t="str">
        <f t="shared" ca="1" si="180"/>
        <v>0</v>
      </c>
      <c r="EC76" s="541"/>
      <c r="ED76" s="539">
        <f t="shared" ca="1" si="152"/>
        <v>43332</v>
      </c>
      <c r="EE76" s="535" t="str">
        <f t="shared" ca="1" si="181"/>
        <v>0</v>
      </c>
      <c r="EF76" s="539"/>
      <c r="EG76" s="539">
        <f t="shared" ca="1" si="131"/>
        <v>43332</v>
      </c>
      <c r="EH76" s="535" t="str">
        <f t="shared" ca="1" si="182"/>
        <v>0</v>
      </c>
      <c r="EI76" s="541"/>
      <c r="EJ76" s="541"/>
      <c r="EK76" s="541"/>
      <c r="EL76" s="625">
        <f t="shared" si="183"/>
        <v>44217</v>
      </c>
      <c r="EM76" s="404">
        <f>DATE(YEAR(EL76),MONTH(EL76)+1,DAY(EL76))</f>
        <v>44248</v>
      </c>
      <c r="EN76" s="756">
        <f t="shared" si="184"/>
        <v>1.0333333333333334</v>
      </c>
      <c r="EO76" s="580">
        <f>DATE(YEAR(CI76)+2,MONTH(CI76),DAY(CI76))</f>
        <v>731</v>
      </c>
      <c r="EP76" s="244"/>
      <c r="EQ76" s="244"/>
      <c r="ER76" s="186">
        <f>DATE(YEAR(EM76),MONTH(EM76)+1,DAY(EM76))</f>
        <v>44276</v>
      </c>
      <c r="ES76" s="467"/>
      <c r="ET76" s="578">
        <f t="shared" si="185"/>
        <v>44248</v>
      </c>
      <c r="EU76" s="455">
        <f t="shared" si="198"/>
        <v>44307</v>
      </c>
      <c r="EV76" s="581"/>
      <c r="EW76" s="753">
        <f t="shared" si="186"/>
        <v>1.9666666666666666</v>
      </c>
      <c r="EX76" s="722">
        <v>13231</v>
      </c>
      <c r="EY76" s="247">
        <f t="shared" si="187"/>
        <v>26020.966666666664</v>
      </c>
      <c r="EZ76" s="118"/>
      <c r="FA76" s="562">
        <v>0</v>
      </c>
      <c r="FB76" s="562">
        <v>0</v>
      </c>
      <c r="FC76" s="562"/>
      <c r="FD76" s="562"/>
      <c r="FE76" s="562"/>
      <c r="FF76" s="787">
        <f t="shared" si="154"/>
        <v>0</v>
      </c>
      <c r="FG76" s="559"/>
      <c r="FH76" s="571"/>
      <c r="FI76" s="571" t="s">
        <v>737</v>
      </c>
      <c r="FJ76" s="559"/>
      <c r="FK76" s="122"/>
      <c r="FL76" s="122"/>
      <c r="FM76" s="122"/>
      <c r="FN76" s="122"/>
      <c r="FO76" s="122"/>
      <c r="FP76" s="50"/>
      <c r="FQ76" s="279">
        <f t="shared" si="162"/>
        <v>44613</v>
      </c>
      <c r="FR76" s="279"/>
      <c r="FS76" s="50"/>
      <c r="FT76" s="50"/>
      <c r="FU76" s="50"/>
      <c r="FV76" s="50"/>
      <c r="FW76" s="50"/>
      <c r="FX76" s="50"/>
      <c r="FY76" s="50"/>
      <c r="FZ76" s="50"/>
      <c r="GA76" s="50"/>
      <c r="GB76" s="50"/>
      <c r="GC76" s="50"/>
      <c r="GD76" s="50"/>
      <c r="GE76" s="50"/>
      <c r="GF76" s="113"/>
      <c r="GG76" s="113"/>
      <c r="GH76" s="90">
        <f t="shared" ref="GH76:GH88" si="206">+GR76+GW76+HD76+HX76+HI76</f>
        <v>4056688</v>
      </c>
      <c r="GI76" s="64">
        <f t="shared" ref="GI76:GI81" si="207">GS76+GX76+HE76+HX76+HF76+HI76</f>
        <v>4056688</v>
      </c>
      <c r="GJ76" s="91">
        <f t="shared" si="192"/>
        <v>0</v>
      </c>
      <c r="GK76" s="46">
        <f t="shared" ref="GK76:GK88" si="208">GI76/AJ76</f>
        <v>1940.8040340444261</v>
      </c>
      <c r="GL76" s="46">
        <f t="shared" ref="GL76:GL88" si="209">GI76/AD76</f>
        <v>184394.90909090909</v>
      </c>
      <c r="GM76" s="90"/>
      <c r="GN76" s="64"/>
      <c r="GO76" s="91">
        <f t="shared" si="193"/>
        <v>0</v>
      </c>
      <c r="GP76" s="129">
        <f t="shared" si="194"/>
        <v>0</v>
      </c>
      <c r="GQ76" s="130">
        <v>0.4</v>
      </c>
      <c r="GR76" s="90">
        <v>1260329</v>
      </c>
      <c r="GS76" s="64">
        <v>1260329</v>
      </c>
      <c r="GT76" s="64"/>
      <c r="GU76" s="46">
        <f t="shared" si="195"/>
        <v>57287.681818181816</v>
      </c>
      <c r="GV76" s="92"/>
      <c r="GW76" s="90">
        <v>2356728</v>
      </c>
      <c r="GX76" s="64">
        <f t="shared" ref="GX76:GX81" si="210">GY76+GZ76</f>
        <v>2356728</v>
      </c>
      <c r="GY76" s="84">
        <v>438150</v>
      </c>
      <c r="GZ76" s="84">
        <v>1918578</v>
      </c>
      <c r="HA76" s="92">
        <f t="shared" si="196"/>
        <v>0</v>
      </c>
      <c r="HB76" s="641">
        <f t="shared" ref="HB76:HB88" si="211">GX76/AD76</f>
        <v>107124</v>
      </c>
      <c r="HC76" s="64"/>
      <c r="HD76" s="286">
        <v>418000</v>
      </c>
      <c r="HE76" s="64">
        <f>HD76</f>
        <v>418000</v>
      </c>
      <c r="HF76" s="64"/>
      <c r="HG76" s="36">
        <f t="shared" si="188"/>
        <v>0.10303972107295409</v>
      </c>
      <c r="HH76" s="90"/>
      <c r="HI76" s="64">
        <v>21631</v>
      </c>
      <c r="HJ76" s="86">
        <f t="shared" si="148"/>
        <v>0</v>
      </c>
      <c r="HK76" s="19">
        <f t="shared" si="189"/>
        <v>19000</v>
      </c>
      <c r="HL76" s="78">
        <f t="shared" si="190"/>
        <v>76287.681818181823</v>
      </c>
      <c r="HM76" s="86">
        <f>HJ76/AD76</f>
        <v>0</v>
      </c>
      <c r="HN76" s="87">
        <v>6.31</v>
      </c>
      <c r="HO76" s="87"/>
      <c r="HP76" s="88"/>
      <c r="HQ76" s="88"/>
      <c r="HR76" s="46">
        <f>(GR76+HD76+HQ76)/AD76</f>
        <v>76287.681818181823</v>
      </c>
      <c r="HS76" s="88"/>
      <c r="HT76" s="46">
        <f>(GS76+HE76+HQ76+HS76)/AD76</f>
        <v>76287.681818181823</v>
      </c>
      <c r="HU76" s="47">
        <f t="shared" si="143"/>
        <v>0.41371902399198557</v>
      </c>
      <c r="HV76" s="88"/>
      <c r="HW76" s="88"/>
      <c r="HX76" s="64">
        <f t="shared" si="161"/>
        <v>0</v>
      </c>
      <c r="HY76" s="37">
        <f t="shared" si="197"/>
        <v>4056688</v>
      </c>
      <c r="HZ76" s="276">
        <v>461347</v>
      </c>
      <c r="IA76" s="276">
        <f t="shared" si="150"/>
        <v>161472</v>
      </c>
      <c r="IB76" s="238"/>
      <c r="IC76" s="327"/>
      <c r="ID76" s="327"/>
      <c r="IE76" s="238"/>
      <c r="IF76" s="238"/>
      <c r="IG76" s="332"/>
      <c r="IH76" s="238">
        <v>43145</v>
      </c>
      <c r="II76" s="332">
        <v>47870</v>
      </c>
      <c r="IJ76" s="238" t="s">
        <v>653</v>
      </c>
      <c r="IK76" s="332">
        <v>113602</v>
      </c>
      <c r="IL76" s="290"/>
      <c r="IM76" s="333">
        <v>0</v>
      </c>
      <c r="IN76" s="329"/>
      <c r="IO76" s="329"/>
      <c r="IP76" s="275"/>
      <c r="IQ76" s="280"/>
      <c r="IR76" s="275"/>
      <c r="IS76" s="280"/>
      <c r="IT76" s="299"/>
      <c r="IU76" s="299"/>
      <c r="IV76" s="299"/>
      <c r="IW76" s="299"/>
      <c r="IX76" s="268"/>
      <c r="IY76" s="268"/>
      <c r="IZ76" s="268"/>
      <c r="JA76" s="268"/>
      <c r="JB76" s="268"/>
      <c r="JC76" s="268"/>
      <c r="JD76" s="327">
        <v>47870</v>
      </c>
      <c r="JE76" s="316"/>
      <c r="JF76" s="115"/>
      <c r="JG76" s="316"/>
      <c r="JH76" s="316"/>
      <c r="JI76" s="278"/>
    </row>
    <row r="77" spans="1:269" ht="15" customHeight="1">
      <c r="A77" s="667" t="s">
        <v>431</v>
      </c>
      <c r="B77" s="50" t="s">
        <v>34</v>
      </c>
      <c r="C77" s="50" t="s">
        <v>111</v>
      </c>
      <c r="D77" s="50">
        <v>2018</v>
      </c>
      <c r="E77" s="50" t="s">
        <v>593</v>
      </c>
      <c r="F77" s="50" t="s">
        <v>378</v>
      </c>
      <c r="G77" s="5"/>
      <c r="H77" s="52" t="s">
        <v>171</v>
      </c>
      <c r="I77" s="50"/>
      <c r="J77" s="50" t="s">
        <v>432</v>
      </c>
      <c r="K77" s="256" t="s">
        <v>615</v>
      </c>
      <c r="L77" s="166"/>
      <c r="M77" s="167"/>
      <c r="N77" s="168"/>
      <c r="O77" s="207">
        <f>10872*0.56</f>
        <v>6088.3200000000006</v>
      </c>
      <c r="P77" s="207">
        <v>290092</v>
      </c>
      <c r="Q77" s="207"/>
      <c r="R77" s="207">
        <f>P77/AD77</f>
        <v>8532.1176470588234</v>
      </c>
      <c r="S77" s="207">
        <f t="shared" si="199"/>
        <v>47.64729843372227</v>
      </c>
      <c r="T77" s="213">
        <f t="shared" si="200"/>
        <v>0</v>
      </c>
      <c r="U77" s="213">
        <f t="shared" si="201"/>
        <v>0</v>
      </c>
      <c r="V77" s="213">
        <f t="shared" si="202"/>
        <v>0</v>
      </c>
      <c r="W77" s="207">
        <f t="shared" si="203"/>
        <v>179.06823529411767</v>
      </c>
      <c r="X77" s="208"/>
      <c r="Y77" s="216">
        <f t="shared" si="78"/>
        <v>0.43284354304635758</v>
      </c>
      <c r="Z77" s="208"/>
      <c r="AA77" s="208"/>
      <c r="AB77" s="209"/>
      <c r="AC77" s="50" t="s">
        <v>16</v>
      </c>
      <c r="AD77" s="318">
        <f t="shared" si="163"/>
        <v>34</v>
      </c>
      <c r="AE77" s="61"/>
      <c r="AF77" s="50">
        <v>34</v>
      </c>
      <c r="AG77" s="115"/>
      <c r="AH77" s="115"/>
      <c r="AI77" s="268"/>
      <c r="AJ77" s="54">
        <v>2635.29</v>
      </c>
      <c r="AK77" s="54"/>
      <c r="AL77" s="89">
        <v>2635.29</v>
      </c>
      <c r="AM77" s="54">
        <f>AL77/AD77</f>
        <v>77.508529411764698</v>
      </c>
      <c r="AN77" s="75">
        <f>1/AD77</f>
        <v>2.9411764705882353E-2</v>
      </c>
      <c r="AO77" s="75">
        <f>10/AD77</f>
        <v>0.29411764705882354</v>
      </c>
      <c r="AP77" s="75">
        <f>16/AD77</f>
        <v>0.47058823529411764</v>
      </c>
      <c r="AQ77" s="75">
        <f>7/AD77</f>
        <v>0.20588235294117646</v>
      </c>
      <c r="AR77" s="75"/>
      <c r="AS77" s="54"/>
      <c r="AT77" s="73"/>
      <c r="AU77" s="75"/>
      <c r="AV77" s="54"/>
      <c r="AW77" s="53" t="s">
        <v>561</v>
      </c>
      <c r="AX77" s="50"/>
      <c r="AY77" s="785"/>
      <c r="AZ77" s="50"/>
      <c r="BA77" s="239" t="s">
        <v>564</v>
      </c>
      <c r="BB77" s="184"/>
      <c r="BC77" s="110"/>
      <c r="BD77" s="110"/>
      <c r="BE77" s="94"/>
      <c r="BF77" s="204"/>
      <c r="BG77" s="96"/>
      <c r="BH77" s="96"/>
      <c r="BI77" s="204"/>
      <c r="BJ77" s="96"/>
      <c r="BK77" s="160">
        <v>43357</v>
      </c>
      <c r="BL77" s="203">
        <f t="shared" si="204"/>
        <v>43387</v>
      </c>
      <c r="BM77" s="160">
        <f t="shared" si="159"/>
        <v>43479</v>
      </c>
      <c r="BN77" s="160"/>
      <c r="BO77" s="298">
        <f t="shared" si="135"/>
        <v>43387</v>
      </c>
      <c r="BP77" s="297">
        <f t="shared" si="136"/>
        <v>44118</v>
      </c>
      <c r="BQ77" s="297">
        <f t="shared" si="144"/>
        <v>44483</v>
      </c>
      <c r="BR77" s="686">
        <f>12774+71092</f>
        <v>83866</v>
      </c>
      <c r="BS77" s="297" t="str">
        <f t="shared" si="205"/>
        <v>non</v>
      </c>
      <c r="BT77" s="686">
        <f t="shared" si="164"/>
        <v>5</v>
      </c>
      <c r="BU77" s="686">
        <f t="shared" si="165"/>
        <v>70495</v>
      </c>
      <c r="BV77" s="686">
        <f t="shared" si="166"/>
        <v>-13371</v>
      </c>
      <c r="BW77" s="160"/>
      <c r="BX77" s="165"/>
      <c r="BY77" s="97"/>
      <c r="BZ77" s="98"/>
      <c r="CA77" s="98"/>
      <c r="CB77" s="98"/>
      <c r="CC77" s="158"/>
      <c r="CD77" s="251"/>
      <c r="CE77" s="251"/>
      <c r="CF77" s="157"/>
      <c r="CG77" s="251"/>
      <c r="CH77" s="251"/>
      <c r="CI77" s="251"/>
      <c r="CJ77" s="251" t="s">
        <v>165</v>
      </c>
      <c r="CK77" s="604"/>
      <c r="CL77" s="546"/>
      <c r="CM77" s="549"/>
      <c r="CN77" s="549"/>
      <c r="CO77" s="551" t="str">
        <f t="shared" si="167"/>
        <v>0</v>
      </c>
      <c r="CP77" s="549"/>
      <c r="CQ77" s="549"/>
      <c r="CR77" s="551" t="str">
        <f t="shared" si="168"/>
        <v>0</v>
      </c>
      <c r="CS77" s="549"/>
      <c r="CT77" s="549"/>
      <c r="CU77" s="551" t="str">
        <f t="shared" si="169"/>
        <v>0</v>
      </c>
      <c r="CV77" s="549"/>
      <c r="CW77" s="549"/>
      <c r="CX77" s="551" t="str">
        <f t="shared" si="170"/>
        <v>0</v>
      </c>
      <c r="CY77" s="552"/>
      <c r="CZ77" s="553"/>
      <c r="DA77" s="551" t="str">
        <f t="shared" si="171"/>
        <v>0</v>
      </c>
      <c r="DB77" s="457"/>
      <c r="DC77" s="554"/>
      <c r="DD77" s="533"/>
      <c r="DE77" s="534"/>
      <c r="DF77" s="535" t="str">
        <f t="shared" si="172"/>
        <v>0</v>
      </c>
      <c r="DG77" s="533">
        <v>43486</v>
      </c>
      <c r="DH77" s="703">
        <v>43486</v>
      </c>
      <c r="DI77" s="348"/>
      <c r="DJ77" s="446">
        <f t="shared" si="173"/>
        <v>1449.5333333333333</v>
      </c>
      <c r="DK77" s="535">
        <f t="shared" si="174"/>
        <v>0</v>
      </c>
      <c r="DL77" s="704">
        <v>24</v>
      </c>
      <c r="DM77" s="243">
        <f t="shared" si="175"/>
        <v>25</v>
      </c>
      <c r="DN77" s="533"/>
      <c r="DO77" s="534"/>
      <c r="DP77" s="535" t="str">
        <f t="shared" si="176"/>
        <v>0</v>
      </c>
      <c r="DQ77" s="533"/>
      <c r="DR77" s="557"/>
      <c r="DS77" s="536" t="str">
        <f t="shared" si="177"/>
        <v>0</v>
      </c>
      <c r="DT77" s="537"/>
      <c r="DU77" s="538"/>
      <c r="DV77" s="535" t="str">
        <f t="shared" si="178"/>
        <v>0</v>
      </c>
      <c r="DW77" s="540"/>
      <c r="DX77" s="539"/>
      <c r="DY77" s="535" t="str">
        <f t="shared" si="179"/>
        <v>0</v>
      </c>
      <c r="DZ77" s="541"/>
      <c r="EA77" s="541"/>
      <c r="EB77" s="535" t="str">
        <f t="shared" si="180"/>
        <v>0</v>
      </c>
      <c r="EC77" s="541"/>
      <c r="ED77" s="541"/>
      <c r="EE77" s="535" t="str">
        <f t="shared" si="181"/>
        <v>0</v>
      </c>
      <c r="EF77" s="539"/>
      <c r="EG77" s="539">
        <f t="shared" ca="1" si="131"/>
        <v>43332</v>
      </c>
      <c r="EH77" s="535" t="str">
        <f t="shared" ca="1" si="182"/>
        <v>0</v>
      </c>
      <c r="EI77" s="541"/>
      <c r="EJ77" s="541"/>
      <c r="EK77" s="541"/>
      <c r="EL77" s="625">
        <f t="shared" si="183"/>
        <v>44217</v>
      </c>
      <c r="EM77" s="404">
        <f>DATE(YEAR(EL77),MONTH(EL77)+1,DAY(EL77))</f>
        <v>44248</v>
      </c>
      <c r="EN77" s="756">
        <f t="shared" si="184"/>
        <v>1.0333333333333334</v>
      </c>
      <c r="EO77" s="580">
        <f>DATE(YEAR(CI77)+2,MONTH(CI77),DAY(CI77))</f>
        <v>731</v>
      </c>
      <c r="EP77" s="244"/>
      <c r="EQ77" s="244"/>
      <c r="ER77" s="186">
        <f>DATE(YEAR(EM77),MONTH(EM77)+1,DAY(EM77))</f>
        <v>44276</v>
      </c>
      <c r="ES77" s="467"/>
      <c r="ET77" s="578">
        <f t="shared" si="185"/>
        <v>44248</v>
      </c>
      <c r="EU77" s="455">
        <f t="shared" si="198"/>
        <v>44307</v>
      </c>
      <c r="EV77" s="581"/>
      <c r="EW77" s="753">
        <f t="shared" si="186"/>
        <v>1.9666666666666666</v>
      </c>
      <c r="EX77" s="722">
        <v>14099</v>
      </c>
      <c r="EY77" s="247">
        <f t="shared" si="187"/>
        <v>27728.033333333333</v>
      </c>
      <c r="EZ77" s="118"/>
      <c r="FA77" s="562"/>
      <c r="FB77" s="562">
        <v>0</v>
      </c>
      <c r="FC77" s="562"/>
      <c r="FD77" s="562"/>
      <c r="FE77" s="562"/>
      <c r="FF77" s="787">
        <f t="shared" si="154"/>
        <v>0</v>
      </c>
      <c r="FG77" s="559"/>
      <c r="FH77" s="571"/>
      <c r="FI77" s="571"/>
      <c r="FJ77" s="559"/>
      <c r="FK77" s="122"/>
      <c r="FL77" s="122"/>
      <c r="FM77" s="122"/>
      <c r="FN77" s="122"/>
      <c r="FO77" s="122"/>
      <c r="FP77" s="50"/>
      <c r="FQ77" s="279">
        <f t="shared" si="162"/>
        <v>44613</v>
      </c>
      <c r="FR77" s="279"/>
      <c r="FS77" s="50"/>
      <c r="FT77" s="50"/>
      <c r="FU77" s="50"/>
      <c r="FV77" s="50"/>
      <c r="FW77" s="50"/>
      <c r="FX77" s="50"/>
      <c r="FY77" s="50"/>
      <c r="FZ77" s="50"/>
      <c r="GA77" s="50"/>
      <c r="GB77" s="50"/>
      <c r="GC77" s="50"/>
      <c r="GD77" s="50"/>
      <c r="GE77" s="50"/>
      <c r="GF77" s="113"/>
      <c r="GG77" s="113"/>
      <c r="GH77" s="90">
        <f t="shared" si="206"/>
        <v>5275081.05</v>
      </c>
      <c r="GI77" s="64">
        <f t="shared" si="207"/>
        <v>5275083.05</v>
      </c>
      <c r="GJ77" s="91">
        <f t="shared" si="192"/>
        <v>2</v>
      </c>
      <c r="GK77" s="46">
        <f t="shared" si="208"/>
        <v>2001.7087493217066</v>
      </c>
      <c r="GL77" s="46">
        <f t="shared" si="209"/>
        <v>155149.50147058823</v>
      </c>
      <c r="GM77" s="90"/>
      <c r="GN77" s="64"/>
      <c r="GO77" s="91">
        <f t="shared" si="193"/>
        <v>0</v>
      </c>
      <c r="GP77" s="129">
        <f t="shared" si="194"/>
        <v>0</v>
      </c>
      <c r="GQ77" s="130">
        <v>0.4</v>
      </c>
      <c r="GR77" s="90">
        <v>1530341</v>
      </c>
      <c r="GS77" s="64">
        <v>1530342</v>
      </c>
      <c r="GT77" s="64"/>
      <c r="GU77" s="46">
        <f t="shared" si="195"/>
        <v>45010.058823529413</v>
      </c>
      <c r="GV77" s="92"/>
      <c r="GW77" s="90">
        <v>3003468</v>
      </c>
      <c r="GX77" s="64">
        <f t="shared" si="210"/>
        <v>3003469</v>
      </c>
      <c r="GY77" s="84">
        <v>541398</v>
      </c>
      <c r="GZ77" s="84">
        <v>2462071</v>
      </c>
      <c r="HA77" s="92">
        <f t="shared" si="196"/>
        <v>1</v>
      </c>
      <c r="HB77" s="641">
        <f t="shared" si="211"/>
        <v>88337.323529411762</v>
      </c>
      <c r="HC77" s="64"/>
      <c r="HD77" s="286">
        <v>714000</v>
      </c>
      <c r="HE77" s="64">
        <f>HD77</f>
        <v>714000</v>
      </c>
      <c r="HF77" s="64"/>
      <c r="HG77" s="36">
        <f t="shared" si="188"/>
        <v>0.1353533192240452</v>
      </c>
      <c r="HH77" s="90"/>
      <c r="HI77" s="64">
        <v>27272.05</v>
      </c>
      <c r="HJ77" s="86">
        <f t="shared" si="148"/>
        <v>0</v>
      </c>
      <c r="HK77" s="19">
        <f t="shared" si="189"/>
        <v>21000</v>
      </c>
      <c r="HL77" s="78">
        <f t="shared" si="190"/>
        <v>66010.058823529413</v>
      </c>
      <c r="HM77" s="86">
        <f>HJ77/AD77</f>
        <v>0</v>
      </c>
      <c r="HN77" s="87">
        <v>6.31</v>
      </c>
      <c r="HO77" s="87"/>
      <c r="HP77" s="88"/>
      <c r="HQ77" s="88"/>
      <c r="HR77" s="46">
        <f>(GR77+HD77+HQ77)/AD77</f>
        <v>66010.029411764699</v>
      </c>
      <c r="HS77" s="88"/>
      <c r="HT77" s="46">
        <f>(GS77+HE77+HQ77+HS77)/AD77</f>
        <v>66010.058823529413</v>
      </c>
      <c r="HU77" s="47">
        <f t="shared" si="143"/>
        <v>0.42546095097439313</v>
      </c>
      <c r="HV77" s="88"/>
      <c r="HW77" s="88"/>
      <c r="HX77" s="64">
        <f t="shared" si="161"/>
        <v>0</v>
      </c>
      <c r="HY77" s="37">
        <f t="shared" si="197"/>
        <v>5275081.05</v>
      </c>
      <c r="HZ77" s="233"/>
      <c r="IA77" s="233">
        <f t="shared" si="150"/>
        <v>0</v>
      </c>
      <c r="IB77" s="114"/>
      <c r="IC77" s="315"/>
      <c r="ID77" s="315"/>
      <c r="IE77" s="241"/>
      <c r="IF77" s="241"/>
      <c r="IG77" s="331"/>
      <c r="IH77" s="238"/>
      <c r="II77" s="332"/>
      <c r="IJ77" s="238"/>
      <c r="IK77" s="332"/>
      <c r="IL77" s="290"/>
      <c r="IM77" s="333"/>
      <c r="IN77" s="329"/>
      <c r="IO77" s="329"/>
      <c r="IP77" s="194"/>
      <c r="IQ77" s="331"/>
      <c r="IR77" s="194"/>
      <c r="IS77" s="331"/>
      <c r="IT77" s="290"/>
      <c r="IU77" s="290"/>
      <c r="IV77" s="290"/>
      <c r="IW77" s="290"/>
      <c r="IX77" s="268"/>
      <c r="IY77" s="268"/>
      <c r="IZ77" s="268"/>
      <c r="JA77" s="268"/>
      <c r="JB77" s="268"/>
      <c r="JC77" s="268"/>
      <c r="JD77" s="331"/>
      <c r="JE77" s="330"/>
      <c r="JF77" s="290"/>
      <c r="JG77" s="330"/>
      <c r="JH77" s="330"/>
      <c r="JI77" s="290"/>
    </row>
    <row r="78" spans="1:269" ht="15" customHeight="1">
      <c r="A78" s="83" t="s">
        <v>565</v>
      </c>
      <c r="B78" s="50" t="s">
        <v>40</v>
      </c>
      <c r="C78" s="50" t="s">
        <v>112</v>
      </c>
      <c r="D78" s="50">
        <v>2018</v>
      </c>
      <c r="E78" s="50" t="s">
        <v>567</v>
      </c>
      <c r="F78" s="50" t="s">
        <v>382</v>
      </c>
      <c r="G78" s="50" t="s">
        <v>279</v>
      </c>
      <c r="H78" s="52" t="s">
        <v>173</v>
      </c>
      <c r="I78" s="50"/>
      <c r="J78" s="50"/>
      <c r="K78" s="256"/>
      <c r="L78" s="166"/>
      <c r="M78" s="167"/>
      <c r="N78" s="168"/>
      <c r="O78" s="207">
        <v>1627</v>
      </c>
      <c r="P78" s="207">
        <v>154050</v>
      </c>
      <c r="Q78" s="207">
        <v>154050</v>
      </c>
      <c r="R78" s="207" t="e">
        <f>P78/AH78</f>
        <v>#DIV/0!</v>
      </c>
      <c r="S78" s="207">
        <f t="shared" si="199"/>
        <v>94.683466502765825</v>
      </c>
      <c r="T78" s="213">
        <f t="shared" si="200"/>
        <v>94.683466502765825</v>
      </c>
      <c r="U78" s="213">
        <f t="shared" si="201"/>
        <v>98.772160420607179</v>
      </c>
      <c r="V78" s="213">
        <f t="shared" si="202"/>
        <v>9061.7647058823532</v>
      </c>
      <c r="W78" s="207">
        <f t="shared" si="203"/>
        <v>95.705882352941174</v>
      </c>
      <c r="X78" s="208"/>
      <c r="Y78" s="209"/>
      <c r="Z78" s="208"/>
      <c r="AA78" s="208"/>
      <c r="AB78" s="209"/>
      <c r="AC78" s="50" t="s">
        <v>15</v>
      </c>
      <c r="AD78" s="318">
        <f t="shared" si="163"/>
        <v>17</v>
      </c>
      <c r="AE78" s="50">
        <v>17</v>
      </c>
      <c r="AF78" s="61"/>
      <c r="AG78" s="61"/>
      <c r="AH78" s="126"/>
      <c r="AI78" s="268"/>
      <c r="AJ78" s="54">
        <v>1598.71</v>
      </c>
      <c r="AK78" s="54"/>
      <c r="AL78" s="89">
        <v>1559.65</v>
      </c>
      <c r="AM78" s="7">
        <f>AL78/AD78</f>
        <v>91.744117647058829</v>
      </c>
      <c r="AN78" s="75"/>
      <c r="AO78" s="75">
        <f>4/AD78</f>
        <v>0.23529411764705882</v>
      </c>
      <c r="AP78" s="75">
        <f>6/AD78</f>
        <v>0.35294117647058826</v>
      </c>
      <c r="AQ78" s="75">
        <f>5/AD78</f>
        <v>0.29411764705882354</v>
      </c>
      <c r="AR78" s="75">
        <f>2/AD78</f>
        <v>0.11764705882352941</v>
      </c>
      <c r="AS78" s="54"/>
      <c r="AT78" s="73"/>
      <c r="AU78" s="75"/>
      <c r="AV78" s="54"/>
      <c r="AW78" s="53"/>
      <c r="AX78" s="50"/>
      <c r="AY78" s="785"/>
      <c r="AZ78" s="50"/>
      <c r="BA78" s="239">
        <v>42978</v>
      </c>
      <c r="BB78" s="184"/>
      <c r="BC78" s="110"/>
      <c r="BD78" s="110"/>
      <c r="BE78" s="94"/>
      <c r="BF78" s="204"/>
      <c r="BG78" s="96"/>
      <c r="BH78" s="96"/>
      <c r="BI78" s="204"/>
      <c r="BJ78" s="96"/>
      <c r="BK78" s="707">
        <v>43347</v>
      </c>
      <c r="BL78" s="736">
        <f t="shared" si="204"/>
        <v>43377</v>
      </c>
      <c r="BM78" s="707">
        <f t="shared" si="159"/>
        <v>43469</v>
      </c>
      <c r="BN78" s="160"/>
      <c r="BO78" s="298">
        <f t="shared" si="135"/>
        <v>43377</v>
      </c>
      <c r="BP78" s="297">
        <f t="shared" si="136"/>
        <v>44108</v>
      </c>
      <c r="BQ78" s="297">
        <f t="shared" si="144"/>
        <v>44473</v>
      </c>
      <c r="BR78" s="686">
        <f>44432+6307</f>
        <v>50739</v>
      </c>
      <c r="BS78" s="297" t="str">
        <f t="shared" si="205"/>
        <v>non</v>
      </c>
      <c r="BT78" s="686">
        <f t="shared" si="164"/>
        <v>13</v>
      </c>
      <c r="BU78" s="686">
        <f t="shared" si="165"/>
        <v>129558</v>
      </c>
      <c r="BV78" s="686">
        <f t="shared" si="166"/>
        <v>0</v>
      </c>
      <c r="BW78" s="160"/>
      <c r="BX78" s="165"/>
      <c r="BY78" s="97"/>
      <c r="BZ78" s="98"/>
      <c r="CA78" s="98"/>
      <c r="CB78" s="98"/>
      <c r="CC78" s="158"/>
      <c r="CD78" s="251"/>
      <c r="CE78" s="251"/>
      <c r="CF78" s="157"/>
      <c r="CG78" s="251"/>
      <c r="CH78" s="251"/>
      <c r="CI78" s="251"/>
      <c r="CJ78" s="251" t="s">
        <v>165</v>
      </c>
      <c r="CK78" s="604"/>
      <c r="CL78" s="316">
        <v>42927</v>
      </c>
      <c r="CM78" s="123">
        <v>42942</v>
      </c>
      <c r="CN78" s="123">
        <v>42927</v>
      </c>
      <c r="CO78" s="529">
        <f t="shared" si="167"/>
        <v>-15</v>
      </c>
      <c r="CP78" s="123">
        <v>43140</v>
      </c>
      <c r="CQ78" s="123">
        <v>43138</v>
      </c>
      <c r="CR78" s="529">
        <f t="shared" si="168"/>
        <v>-2</v>
      </c>
      <c r="CS78" s="123">
        <v>43069</v>
      </c>
      <c r="CT78" s="123">
        <v>43073</v>
      </c>
      <c r="CU78" s="529">
        <f t="shared" si="169"/>
        <v>4</v>
      </c>
      <c r="CV78" s="549">
        <v>43125</v>
      </c>
      <c r="CW78" s="549">
        <f ca="1">IF(CV78&lt;TODAY(),TODAY(),CV78)</f>
        <v>43332</v>
      </c>
      <c r="CX78" s="551">
        <f t="shared" ca="1" si="170"/>
        <v>207</v>
      </c>
      <c r="CY78" s="549">
        <v>43245</v>
      </c>
      <c r="CZ78" s="549">
        <f ca="1">IF(CY78&lt;TODAY(),TODAY(),CY78)</f>
        <v>43332</v>
      </c>
      <c r="DA78" s="551">
        <f t="shared" ca="1" si="171"/>
        <v>87</v>
      </c>
      <c r="DB78" s="457"/>
      <c r="DC78" s="546">
        <v>43416</v>
      </c>
      <c r="DD78" s="533">
        <v>43552</v>
      </c>
      <c r="DE78" s="539">
        <f ca="1">IF(DD78&lt;TODAY(),TODAY(),DD78)</f>
        <v>43552</v>
      </c>
      <c r="DF78" s="535">
        <f t="shared" ca="1" si="172"/>
        <v>0</v>
      </c>
      <c r="DG78" s="533">
        <v>43567</v>
      </c>
      <c r="DH78" s="703">
        <v>43489</v>
      </c>
      <c r="DI78" s="348"/>
      <c r="DJ78" s="446">
        <f t="shared" si="173"/>
        <v>1449.6333333333334</v>
      </c>
      <c r="DK78" s="535">
        <f t="shared" si="174"/>
        <v>-78</v>
      </c>
      <c r="DL78" s="704">
        <v>14</v>
      </c>
      <c r="DM78" s="243">
        <f t="shared" si="175"/>
        <v>17</v>
      </c>
      <c r="DN78" s="533"/>
      <c r="DO78" s="539">
        <f ca="1">IF(DN78&lt;TODAY(),TODAY(),DN78)</f>
        <v>43332</v>
      </c>
      <c r="DP78" s="535" t="str">
        <f t="shared" ca="1" si="176"/>
        <v>0</v>
      </c>
      <c r="DQ78" s="533"/>
      <c r="DR78" s="557">
        <f ca="1">IF(DQ78&lt;TODAY(),TODAY(),DQ78)</f>
        <v>43332</v>
      </c>
      <c r="DS78" s="536" t="str">
        <f t="shared" ca="1" si="177"/>
        <v>0</v>
      </c>
      <c r="DT78" s="537"/>
      <c r="DU78" s="539">
        <f ca="1">IF(DT78&lt;TODAY(),TODAY(),DT78)</f>
        <v>43332</v>
      </c>
      <c r="DV78" s="535" t="str">
        <f t="shared" ca="1" si="178"/>
        <v>0</v>
      </c>
      <c r="DW78" s="539"/>
      <c r="DX78" s="539">
        <f ca="1">IF(DW78&lt;TODAY(),TODAY(),DW78)</f>
        <v>43332</v>
      </c>
      <c r="DY78" s="535" t="str">
        <f t="shared" ca="1" si="179"/>
        <v>0</v>
      </c>
      <c r="DZ78" s="539"/>
      <c r="EA78" s="539">
        <f ca="1">IF(DZ78&lt;TODAY(),TODAY(),DZ78)</f>
        <v>43332</v>
      </c>
      <c r="EB78" s="535" t="str">
        <f t="shared" ca="1" si="180"/>
        <v>0</v>
      </c>
      <c r="EC78" s="539"/>
      <c r="ED78" s="539">
        <f ca="1">IF(EC78&lt;TODAY(),TODAY(),EC78)</f>
        <v>43332</v>
      </c>
      <c r="EE78" s="535" t="str">
        <f t="shared" ca="1" si="181"/>
        <v>0</v>
      </c>
      <c r="EF78" s="539"/>
      <c r="EG78" s="539">
        <f t="shared" ca="1" si="131"/>
        <v>43332</v>
      </c>
      <c r="EH78" s="535" t="str">
        <f t="shared" ca="1" si="182"/>
        <v>0</v>
      </c>
      <c r="EI78" s="539"/>
      <c r="EJ78" s="539"/>
      <c r="EK78" s="539"/>
      <c r="EL78" s="760">
        <f t="shared" si="183"/>
        <v>43914</v>
      </c>
      <c r="EM78" s="759">
        <f>DATE(YEAR(EL78),MONTH(EL78)+3,DAY(EL78))</f>
        <v>44006</v>
      </c>
      <c r="EN78" s="756">
        <f t="shared" si="184"/>
        <v>3.0666666666666669</v>
      </c>
      <c r="EO78" s="580"/>
      <c r="EP78" s="244"/>
      <c r="EQ78" s="244"/>
      <c r="ER78" s="121">
        <f>DATE(YEAR(EM78),MONTH(EM78)+1,DAY(EM78))</f>
        <v>44036</v>
      </c>
      <c r="ES78" s="580"/>
      <c r="ET78" s="578">
        <f t="shared" si="185"/>
        <v>43945</v>
      </c>
      <c r="EU78" s="759">
        <f t="shared" si="198"/>
        <v>44067</v>
      </c>
      <c r="EV78" s="581"/>
      <c r="EW78" s="753">
        <f t="shared" si="186"/>
        <v>4.0666666666666664</v>
      </c>
      <c r="EX78" s="722">
        <v>9966</v>
      </c>
      <c r="EY78" s="247">
        <f t="shared" si="187"/>
        <v>40528.399999999994</v>
      </c>
      <c r="EZ78" s="118"/>
      <c r="FA78" s="562">
        <v>0</v>
      </c>
      <c r="FB78" s="562">
        <v>0</v>
      </c>
      <c r="FC78" s="562"/>
      <c r="FD78" s="562"/>
      <c r="FE78" s="562"/>
      <c r="FF78" s="562"/>
      <c r="FG78" s="559"/>
      <c r="FH78" s="571"/>
      <c r="FI78" s="559" t="s">
        <v>737</v>
      </c>
      <c r="FJ78" s="559"/>
      <c r="FK78" s="122"/>
      <c r="FL78" s="122"/>
      <c r="FM78" s="122"/>
      <c r="FN78" s="122"/>
      <c r="FO78" s="122"/>
      <c r="FP78" s="50"/>
      <c r="FQ78" s="279">
        <f t="shared" si="162"/>
        <v>44371</v>
      </c>
      <c r="FR78" s="279"/>
      <c r="FS78" s="50"/>
      <c r="FT78" s="50"/>
      <c r="FU78" s="50"/>
      <c r="FV78" s="50"/>
      <c r="FW78" s="50"/>
      <c r="FX78" s="50"/>
      <c r="FY78" s="50"/>
      <c r="FZ78" s="50"/>
      <c r="GA78" s="50"/>
      <c r="GB78" s="50"/>
      <c r="GC78" s="50"/>
      <c r="GD78" s="50"/>
      <c r="GE78" s="50"/>
      <c r="GF78" s="113"/>
      <c r="GG78" s="113"/>
      <c r="GH78" s="90">
        <f t="shared" si="206"/>
        <v>3121942</v>
      </c>
      <c r="GI78" s="64">
        <f t="shared" si="207"/>
        <v>3091517</v>
      </c>
      <c r="GJ78" s="91">
        <f t="shared" si="192"/>
        <v>-30425</v>
      </c>
      <c r="GK78" s="46">
        <f t="shared" si="208"/>
        <v>1933.7572167560095</v>
      </c>
      <c r="GL78" s="46">
        <f t="shared" si="209"/>
        <v>181853.9411764706</v>
      </c>
      <c r="GM78" s="90"/>
      <c r="GN78" s="64"/>
      <c r="GO78" s="91">
        <f t="shared" si="193"/>
        <v>0</v>
      </c>
      <c r="GP78" s="129">
        <f t="shared" si="194"/>
        <v>0</v>
      </c>
      <c r="GQ78" s="130">
        <v>0.4</v>
      </c>
      <c r="GR78" s="90">
        <v>904384</v>
      </c>
      <c r="GS78" s="64">
        <v>958221</v>
      </c>
      <c r="GT78" s="658"/>
      <c r="GU78" s="19">
        <f t="shared" si="195"/>
        <v>56365.941176470587</v>
      </c>
      <c r="GV78" s="92"/>
      <c r="GW78" s="90">
        <v>1890358</v>
      </c>
      <c r="GX78" s="64">
        <f t="shared" si="210"/>
        <v>1806096</v>
      </c>
      <c r="GY78" s="84">
        <v>267301</v>
      </c>
      <c r="GZ78" s="84">
        <v>1538795</v>
      </c>
      <c r="HA78" s="92">
        <f t="shared" si="196"/>
        <v>-84262</v>
      </c>
      <c r="HB78" s="641">
        <f t="shared" si="211"/>
        <v>106240.94117647059</v>
      </c>
      <c r="HC78" s="64"/>
      <c r="HD78" s="286">
        <v>323000</v>
      </c>
      <c r="HE78" s="64">
        <v>323000</v>
      </c>
      <c r="HF78" s="64"/>
      <c r="HG78" s="36">
        <f t="shared" si="188"/>
        <v>0.10447945135025943</v>
      </c>
      <c r="HH78" s="90"/>
      <c r="HI78" s="64">
        <v>4200</v>
      </c>
      <c r="HJ78" s="86">
        <f t="shared" si="148"/>
        <v>0</v>
      </c>
      <c r="HK78" s="19">
        <f t="shared" si="189"/>
        <v>19000</v>
      </c>
      <c r="HL78" s="78">
        <f t="shared" si="190"/>
        <v>75365.941176470587</v>
      </c>
      <c r="HM78" s="86" t="e">
        <f>HJ78/AH78</f>
        <v>#DIV/0!</v>
      </c>
      <c r="HN78" s="87">
        <v>6.39</v>
      </c>
      <c r="HO78" s="87">
        <v>5.35</v>
      </c>
      <c r="HP78" s="88"/>
      <c r="HQ78" s="88"/>
      <c r="HR78" s="46" t="e">
        <f>(GR78+HD78+HQ78)/AH78</f>
        <v>#DIV/0!</v>
      </c>
      <c r="HS78" s="88"/>
      <c r="HT78" s="46" t="e">
        <f>(GS78+HE78+HQ78+HS78)/AH78</f>
        <v>#DIV/0!</v>
      </c>
      <c r="HU78" s="47">
        <f t="shared" si="143"/>
        <v>0.39314759851400188</v>
      </c>
      <c r="HV78" s="88"/>
      <c r="HW78" s="88"/>
      <c r="HX78" s="64">
        <f t="shared" si="161"/>
        <v>0</v>
      </c>
      <c r="HY78" s="37">
        <f t="shared" si="197"/>
        <v>3121942</v>
      </c>
      <c r="HZ78" s="276">
        <v>156188</v>
      </c>
      <c r="IA78" s="276">
        <f t="shared" si="150"/>
        <v>76649</v>
      </c>
      <c r="IB78" s="238">
        <v>42877</v>
      </c>
      <c r="IC78" s="327">
        <v>15110</v>
      </c>
      <c r="ID78" s="441">
        <v>43090</v>
      </c>
      <c r="IE78" s="314">
        <v>7809</v>
      </c>
      <c r="IF78" s="317">
        <v>43073</v>
      </c>
      <c r="IG78" s="315">
        <v>8318</v>
      </c>
      <c r="IH78" s="317">
        <v>43145</v>
      </c>
      <c r="II78" s="315">
        <v>15619</v>
      </c>
      <c r="IJ78" s="317">
        <v>43193</v>
      </c>
      <c r="IK78" s="315">
        <v>14463</v>
      </c>
      <c r="IL78" s="114">
        <v>43272</v>
      </c>
      <c r="IM78" s="233">
        <v>15330</v>
      </c>
      <c r="IN78" s="441"/>
      <c r="IO78" s="314"/>
      <c r="IP78" s="122"/>
      <c r="IQ78" s="388"/>
      <c r="IR78" s="122"/>
      <c r="IS78" s="388"/>
      <c r="IT78" s="50"/>
      <c r="IU78" s="50"/>
      <c r="IV78" s="50"/>
      <c r="IW78" s="50"/>
      <c r="IX78" s="50"/>
      <c r="IY78" s="50"/>
      <c r="IZ78" s="50"/>
      <c r="JA78" s="50"/>
      <c r="JB78" s="50"/>
      <c r="JC78" s="50"/>
      <c r="JD78" s="315">
        <v>15619</v>
      </c>
      <c r="JE78" s="279"/>
      <c r="JF78" s="50"/>
      <c r="JG78" s="279"/>
      <c r="JH78" s="279"/>
      <c r="JI78" s="50"/>
    </row>
    <row r="79" spans="1:269" ht="15" customHeight="1">
      <c r="A79" s="83" t="s">
        <v>655</v>
      </c>
      <c r="B79" s="50" t="s">
        <v>160</v>
      </c>
      <c r="C79" s="50" t="s">
        <v>112</v>
      </c>
      <c r="D79" s="50">
        <v>2018</v>
      </c>
      <c r="E79" s="50" t="s">
        <v>595</v>
      </c>
      <c r="F79" s="50" t="s">
        <v>383</v>
      </c>
      <c r="G79" s="50" t="s">
        <v>624</v>
      </c>
      <c r="H79" s="52" t="s">
        <v>173</v>
      </c>
      <c r="I79" s="50"/>
      <c r="J79" s="50" t="s">
        <v>626</v>
      </c>
      <c r="K79" s="256" t="s">
        <v>796</v>
      </c>
      <c r="L79" s="166" t="s">
        <v>592</v>
      </c>
      <c r="M79" s="167"/>
      <c r="N79" s="168"/>
      <c r="O79" s="207">
        <v>7382</v>
      </c>
      <c r="P79" s="207">
        <v>1016540</v>
      </c>
      <c r="Q79" s="207"/>
      <c r="R79" s="207">
        <f>P79/AD79</f>
        <v>26065.128205128207</v>
      </c>
      <c r="S79" s="207">
        <f t="shared" si="199"/>
        <v>137.7052289352479</v>
      </c>
      <c r="T79" s="213">
        <f t="shared" si="200"/>
        <v>0</v>
      </c>
      <c r="U79" s="213">
        <f t="shared" si="201"/>
        <v>0</v>
      </c>
      <c r="V79" s="213">
        <f t="shared" si="202"/>
        <v>0</v>
      </c>
      <c r="W79" s="207">
        <f t="shared" si="203"/>
        <v>189.28205128205127</v>
      </c>
      <c r="X79" s="208"/>
      <c r="Y79" s="209"/>
      <c r="Z79" s="208"/>
      <c r="AA79" s="208"/>
      <c r="AB79" s="209"/>
      <c r="AC79" s="50" t="s">
        <v>15</v>
      </c>
      <c r="AD79" s="318">
        <f t="shared" si="163"/>
        <v>39</v>
      </c>
      <c r="AE79" s="50">
        <v>39</v>
      </c>
      <c r="AF79" s="61"/>
      <c r="AG79" s="61"/>
      <c r="AH79" s="61"/>
      <c r="AI79" s="268"/>
      <c r="AJ79" s="54">
        <v>3148.1</v>
      </c>
      <c r="AK79" s="54"/>
      <c r="AL79" s="89">
        <v>2938.4</v>
      </c>
      <c r="AM79" s="54"/>
      <c r="AN79" s="75"/>
      <c r="AO79" s="75">
        <f>8/AD79</f>
        <v>0.20512820512820512</v>
      </c>
      <c r="AP79" s="75">
        <f>18/AD79</f>
        <v>0.46153846153846156</v>
      </c>
      <c r="AQ79" s="75">
        <f>12/AD79</f>
        <v>0.30769230769230771</v>
      </c>
      <c r="AR79" s="75">
        <f>1/AD79</f>
        <v>2.564102564102564E-2</v>
      </c>
      <c r="AS79" s="54"/>
      <c r="AT79" s="73"/>
      <c r="AU79" s="75"/>
      <c r="AV79" s="54"/>
      <c r="AW79" s="53"/>
      <c r="AX79" s="50"/>
      <c r="AY79" s="785"/>
      <c r="AZ79" s="50"/>
      <c r="BA79" s="239"/>
      <c r="BB79" s="184"/>
      <c r="BC79" s="110"/>
      <c r="BD79" s="110"/>
      <c r="BE79" s="94"/>
      <c r="BF79" s="204"/>
      <c r="BG79" s="96"/>
      <c r="BH79" s="96"/>
      <c r="BI79" s="204"/>
      <c r="BJ79" s="96"/>
      <c r="BK79" s="707">
        <v>43399</v>
      </c>
      <c r="BL79" s="736">
        <f t="shared" si="204"/>
        <v>43430</v>
      </c>
      <c r="BM79" s="160">
        <f t="shared" si="159"/>
        <v>43522</v>
      </c>
      <c r="BN79" s="160"/>
      <c r="BO79" s="298">
        <f t="shared" si="135"/>
        <v>43430</v>
      </c>
      <c r="BP79" s="297">
        <f t="shared" si="136"/>
        <v>44161</v>
      </c>
      <c r="BQ79" s="297">
        <f t="shared" si="144"/>
        <v>44526</v>
      </c>
      <c r="BR79" s="686">
        <f>82887+27030</f>
        <v>109917</v>
      </c>
      <c r="BS79" s="297" t="str">
        <f t="shared" si="205"/>
        <v>non</v>
      </c>
      <c r="BT79" s="686">
        <f t="shared" si="164"/>
        <v>10</v>
      </c>
      <c r="BU79" s="686">
        <f t="shared" si="165"/>
        <v>194270</v>
      </c>
      <c r="BV79" s="686">
        <f t="shared" si="166"/>
        <v>0</v>
      </c>
      <c r="BW79" s="160"/>
      <c r="BX79" s="165"/>
      <c r="BY79" s="97"/>
      <c r="BZ79" s="98"/>
      <c r="CA79" s="98"/>
      <c r="CB79" s="98"/>
      <c r="CC79" s="158"/>
      <c r="CD79" s="251"/>
      <c r="CE79" s="251"/>
      <c r="CF79" s="157"/>
      <c r="CG79" s="251"/>
      <c r="CH79" s="251"/>
      <c r="CI79" s="251"/>
      <c r="CJ79" s="251" t="s">
        <v>165</v>
      </c>
      <c r="CK79" s="604"/>
      <c r="CL79" s="316">
        <v>43019</v>
      </c>
      <c r="CM79" s="123">
        <v>43034</v>
      </c>
      <c r="CN79" s="123">
        <v>43020</v>
      </c>
      <c r="CO79" s="529">
        <f t="shared" si="167"/>
        <v>-14</v>
      </c>
      <c r="CP79" s="123">
        <v>43140</v>
      </c>
      <c r="CQ79" s="123">
        <v>43139</v>
      </c>
      <c r="CR79" s="529">
        <f t="shared" si="168"/>
        <v>-1</v>
      </c>
      <c r="CS79" s="549">
        <v>43091</v>
      </c>
      <c r="CT79" s="546">
        <f ca="1">IF(CS79&lt;TODAY(),TODAY(),CS79)</f>
        <v>43332</v>
      </c>
      <c r="CU79" s="551">
        <f t="shared" ca="1" si="169"/>
        <v>241</v>
      </c>
      <c r="CV79" s="549">
        <v>43221</v>
      </c>
      <c r="CW79" s="546">
        <f ca="1">IF(CV79&lt;TODAY(),TODAY(),CV79)</f>
        <v>43332</v>
      </c>
      <c r="CX79" s="551">
        <f t="shared" ca="1" si="170"/>
        <v>111</v>
      </c>
      <c r="CY79" s="549">
        <v>43280</v>
      </c>
      <c r="CZ79" s="549">
        <f ca="1">IF(CY79&lt;TODAY(),TODAY(),CY79)</f>
        <v>43332</v>
      </c>
      <c r="DA79" s="551">
        <f t="shared" ca="1" si="171"/>
        <v>52</v>
      </c>
      <c r="DB79" s="457"/>
      <c r="DC79" s="554"/>
      <c r="DD79" s="533">
        <v>43543</v>
      </c>
      <c r="DE79" s="539">
        <f ca="1">IF(DD79&lt;TODAY(),TODAY(),DD79)</f>
        <v>43543</v>
      </c>
      <c r="DF79" s="535">
        <f t="shared" ca="1" si="172"/>
        <v>0</v>
      </c>
      <c r="DG79" s="533">
        <v>43544</v>
      </c>
      <c r="DH79" s="703">
        <v>43560</v>
      </c>
      <c r="DI79" s="348"/>
      <c r="DJ79" s="446">
        <f t="shared" si="173"/>
        <v>1452</v>
      </c>
      <c r="DK79" s="535">
        <f t="shared" si="174"/>
        <v>16</v>
      </c>
      <c r="DL79" s="704">
        <v>18</v>
      </c>
      <c r="DM79" s="243">
        <f t="shared" si="175"/>
        <v>20</v>
      </c>
      <c r="DN79" s="533"/>
      <c r="DO79" s="539">
        <f ca="1">IF(DN79&lt;TODAY(),TODAY(),DN79)</f>
        <v>43332</v>
      </c>
      <c r="DP79" s="535" t="str">
        <f t="shared" ca="1" si="176"/>
        <v>0</v>
      </c>
      <c r="DQ79" s="533"/>
      <c r="DR79" s="557">
        <f ca="1">IF(DQ79&lt;TODAY(),TODAY(),DQ79)</f>
        <v>43332</v>
      </c>
      <c r="DS79" s="536" t="str">
        <f t="shared" ca="1" si="177"/>
        <v>0</v>
      </c>
      <c r="DT79" s="537"/>
      <c r="DU79" s="539">
        <f ca="1">IF(DT79&lt;TODAY(),TODAY(),DT79)</f>
        <v>43332</v>
      </c>
      <c r="DV79" s="535" t="str">
        <f t="shared" ca="1" si="178"/>
        <v>0</v>
      </c>
      <c r="DW79" s="534"/>
      <c r="DX79" s="539">
        <f ca="1">IF(DW79&lt;TODAY(),TODAY(),DW79)</f>
        <v>43332</v>
      </c>
      <c r="DY79" s="535" t="str">
        <f t="shared" ca="1" si="179"/>
        <v>0</v>
      </c>
      <c r="DZ79" s="541"/>
      <c r="EA79" s="539">
        <f ca="1">IF(DZ79&lt;TODAY(),TODAY(),DZ79)</f>
        <v>43332</v>
      </c>
      <c r="EB79" s="535" t="str">
        <f t="shared" ca="1" si="180"/>
        <v>0</v>
      </c>
      <c r="EC79" s="541"/>
      <c r="ED79" s="539">
        <f ca="1">IF(EC79&lt;TODAY(),TODAY(),EC79)</f>
        <v>43332</v>
      </c>
      <c r="EE79" s="535" t="str">
        <f t="shared" ca="1" si="181"/>
        <v>0</v>
      </c>
      <c r="EF79" s="541"/>
      <c r="EG79" s="539">
        <f t="shared" ca="1" si="131"/>
        <v>43332</v>
      </c>
      <c r="EH79" s="535" t="str">
        <f t="shared" ca="1" si="182"/>
        <v>0</v>
      </c>
      <c r="EI79" s="541"/>
      <c r="EJ79" s="541"/>
      <c r="EK79" s="541"/>
      <c r="EL79" s="625">
        <f t="shared" si="183"/>
        <v>44109</v>
      </c>
      <c r="EM79" s="404">
        <f>DATE(YEAR(EL79),MONTH(EL79)+2,DAY(EL79))</f>
        <v>44170</v>
      </c>
      <c r="EN79" s="756">
        <f t="shared" si="184"/>
        <v>2.0333333333333332</v>
      </c>
      <c r="EO79" s="580">
        <f>DATE(YEAR(CI79)+2,MONTH(CI79),DAY(CI79))</f>
        <v>731</v>
      </c>
      <c r="EP79" s="244"/>
      <c r="EQ79" s="244"/>
      <c r="ER79" s="186">
        <f>DATE(YEAR(EM79),MONTH(EM79),DAY(EM79))</f>
        <v>44170</v>
      </c>
      <c r="ES79" s="467"/>
      <c r="ET79" s="578">
        <f t="shared" si="185"/>
        <v>44140</v>
      </c>
      <c r="EU79" s="455">
        <f t="shared" si="198"/>
        <v>44201</v>
      </c>
      <c r="EV79" s="581"/>
      <c r="EW79" s="753">
        <f t="shared" si="186"/>
        <v>2.0333333333333332</v>
      </c>
      <c r="EX79" s="722">
        <v>19427</v>
      </c>
      <c r="EY79" s="247">
        <f t="shared" si="187"/>
        <v>39501.566666666666</v>
      </c>
      <c r="EZ79" s="118"/>
      <c r="FA79" s="562">
        <v>0</v>
      </c>
      <c r="FB79" s="562">
        <v>0</v>
      </c>
      <c r="FC79" s="562"/>
      <c r="FD79" s="562"/>
      <c r="FE79" s="562"/>
      <c r="FF79" s="562"/>
      <c r="FG79" s="559"/>
      <c r="FH79" s="571"/>
      <c r="FI79" s="559" t="s">
        <v>847</v>
      </c>
      <c r="FJ79" s="559"/>
      <c r="FK79" s="122"/>
      <c r="FL79" s="122"/>
      <c r="FM79" s="122"/>
      <c r="FN79" s="122"/>
      <c r="FO79" s="122"/>
      <c r="FP79" s="50"/>
      <c r="FQ79" s="279">
        <f t="shared" si="162"/>
        <v>44535</v>
      </c>
      <c r="FR79" s="279"/>
      <c r="FS79" s="50"/>
      <c r="FT79" s="50"/>
      <c r="FU79" s="50"/>
      <c r="FV79" s="50"/>
      <c r="FW79" s="50"/>
      <c r="FX79" s="50"/>
      <c r="FY79" s="50"/>
      <c r="FZ79" s="50"/>
      <c r="GA79" s="50"/>
      <c r="GB79" s="50"/>
      <c r="GC79" s="50"/>
      <c r="GD79" s="50"/>
      <c r="GE79" s="50"/>
      <c r="GF79" s="113"/>
      <c r="GG79" s="113"/>
      <c r="GH79" s="90">
        <f t="shared" si="206"/>
        <v>6675946.6299999999</v>
      </c>
      <c r="GI79" s="64">
        <f t="shared" si="207"/>
        <v>6941404</v>
      </c>
      <c r="GJ79" s="91">
        <f t="shared" si="192"/>
        <v>265457.37000000011</v>
      </c>
      <c r="GK79" s="46">
        <f t="shared" si="208"/>
        <v>2204.9502874749851</v>
      </c>
      <c r="GL79" s="46">
        <f t="shared" si="209"/>
        <v>177984.71794871794</v>
      </c>
      <c r="GM79" s="90"/>
      <c r="GN79" s="64"/>
      <c r="GO79" s="91">
        <f t="shared" si="193"/>
        <v>0</v>
      </c>
      <c r="GP79" s="129">
        <f t="shared" si="194"/>
        <v>0</v>
      </c>
      <c r="GQ79" s="130">
        <v>0.4</v>
      </c>
      <c r="GR79" s="90">
        <v>1941014.63</v>
      </c>
      <c r="GS79" s="64">
        <v>2206472</v>
      </c>
      <c r="GT79" s="780"/>
      <c r="GU79" s="46">
        <f t="shared" si="195"/>
        <v>56576.205128205125</v>
      </c>
      <c r="GV79" s="92"/>
      <c r="GW79" s="90">
        <f>GX79</f>
        <v>3993932</v>
      </c>
      <c r="GX79" s="64">
        <f t="shared" si="210"/>
        <v>3993932</v>
      </c>
      <c r="GY79" s="84">
        <v>1012569</v>
      </c>
      <c r="GZ79" s="84">
        <v>2981363</v>
      </c>
      <c r="HA79" s="92">
        <f t="shared" si="196"/>
        <v>0</v>
      </c>
      <c r="HB79" s="641">
        <f t="shared" si="211"/>
        <v>102408.51282051283</v>
      </c>
      <c r="HC79" s="64"/>
      <c r="HD79" s="286">
        <v>741000</v>
      </c>
      <c r="HE79" s="64">
        <v>741000</v>
      </c>
      <c r="HF79" s="64"/>
      <c r="HG79" s="85">
        <f t="shared" si="188"/>
        <v>0.10675073803512949</v>
      </c>
      <c r="HH79" s="90"/>
      <c r="HI79" s="64"/>
      <c r="HJ79" s="86">
        <f t="shared" si="148"/>
        <v>0</v>
      </c>
      <c r="HK79" s="46">
        <f t="shared" si="189"/>
        <v>19000</v>
      </c>
      <c r="HL79" s="78">
        <f t="shared" si="190"/>
        <v>75576.205128205125</v>
      </c>
      <c r="HM79" s="86">
        <f>HJ79/AD79</f>
        <v>0</v>
      </c>
      <c r="HN79" s="87">
        <v>6.74</v>
      </c>
      <c r="HO79" s="87">
        <v>6.3</v>
      </c>
      <c r="HP79" s="88"/>
      <c r="HQ79" s="88"/>
      <c r="HR79" s="46">
        <f>(GR79+HD79+HQ79)/AD79</f>
        <v>68769.605897435889</v>
      </c>
      <c r="HS79" s="88"/>
      <c r="HT79" s="46">
        <f>(GS79+HE79+HQ79+HS79)/AD79</f>
        <v>75576.205128205125</v>
      </c>
      <c r="HU79" s="47">
        <f t="shared" si="143"/>
        <v>0.40174297049465779</v>
      </c>
      <c r="HV79" s="88"/>
      <c r="HW79" s="88"/>
      <c r="HX79" s="64">
        <f t="shared" si="161"/>
        <v>0</v>
      </c>
      <c r="HY79" s="93">
        <f t="shared" si="197"/>
        <v>6675946.6299999999</v>
      </c>
      <c r="HZ79" s="233">
        <v>346819</v>
      </c>
      <c r="IA79" s="233">
        <f t="shared" si="150"/>
        <v>138728</v>
      </c>
      <c r="IB79" s="114">
        <v>43026</v>
      </c>
      <c r="IC79" s="315">
        <v>25896</v>
      </c>
      <c r="ID79" s="441">
        <v>43080</v>
      </c>
      <c r="IE79" s="636">
        <v>20695</v>
      </c>
      <c r="IF79" s="317">
        <v>43178</v>
      </c>
      <c r="IG79" s="315">
        <v>24757</v>
      </c>
      <c r="IH79" s="317">
        <v>43139</v>
      </c>
      <c r="II79" s="233">
        <v>31062</v>
      </c>
      <c r="IJ79" s="317">
        <v>43272</v>
      </c>
      <c r="IK79" s="233">
        <v>36318</v>
      </c>
      <c r="IL79" s="299"/>
      <c r="IM79" s="699"/>
      <c r="IN79" s="700"/>
      <c r="IO79" s="293"/>
      <c r="IP79" s="275"/>
      <c r="IQ79" s="276"/>
      <c r="IR79" s="275"/>
      <c r="IS79" s="276"/>
      <c r="IT79" s="299"/>
      <c r="IU79" s="299"/>
      <c r="IV79" s="299"/>
      <c r="IW79" s="299"/>
      <c r="IX79" s="268"/>
      <c r="IY79" s="268"/>
      <c r="IZ79" s="268"/>
      <c r="JA79" s="268"/>
      <c r="JB79" s="268"/>
      <c r="JC79" s="268"/>
      <c r="JD79" s="315">
        <v>31062</v>
      </c>
      <c r="JE79" s="118"/>
      <c r="JF79" s="278"/>
      <c r="JG79" s="118"/>
      <c r="JH79" s="118"/>
      <c r="JI79" s="278"/>
    </row>
    <row r="80" spans="1:269" ht="15" customHeight="1">
      <c r="A80" s="83" t="s">
        <v>661</v>
      </c>
      <c r="B80" s="50" t="s">
        <v>40</v>
      </c>
      <c r="C80" s="50" t="s">
        <v>112</v>
      </c>
      <c r="D80" s="50">
        <v>2018</v>
      </c>
      <c r="E80" s="50" t="s">
        <v>597</v>
      </c>
      <c r="F80" s="50" t="s">
        <v>378</v>
      </c>
      <c r="G80" s="50" t="s">
        <v>279</v>
      </c>
      <c r="H80" s="52" t="s">
        <v>171</v>
      </c>
      <c r="I80" s="50"/>
      <c r="J80" s="50" t="s">
        <v>601</v>
      </c>
      <c r="K80" s="256" t="s">
        <v>614</v>
      </c>
      <c r="L80" s="166"/>
      <c r="M80" s="167"/>
      <c r="N80" s="168"/>
      <c r="O80" s="207">
        <v>3040</v>
      </c>
      <c r="P80" s="207">
        <v>205275</v>
      </c>
      <c r="Q80" s="207">
        <v>205275</v>
      </c>
      <c r="R80" s="207">
        <f>P80/AD80</f>
        <v>6842.5</v>
      </c>
      <c r="S80" s="207">
        <f t="shared" si="199"/>
        <v>67.524671052631575</v>
      </c>
      <c r="T80" s="213">
        <f t="shared" si="200"/>
        <v>67.524671052631575</v>
      </c>
      <c r="U80" s="213">
        <f t="shared" si="201"/>
        <v>89.910647803425178</v>
      </c>
      <c r="V80" s="213">
        <f t="shared" si="202"/>
        <v>6842.5</v>
      </c>
      <c r="W80" s="207">
        <f t="shared" si="203"/>
        <v>101.33333333333333</v>
      </c>
      <c r="X80" s="208"/>
      <c r="Y80" s="216">
        <f>AL80/O80</f>
        <v>0.75101973684210521</v>
      </c>
      <c r="Z80" s="208" t="s">
        <v>185</v>
      </c>
      <c r="AA80" s="208"/>
      <c r="AB80" s="209"/>
      <c r="AC80" s="50" t="s">
        <v>16</v>
      </c>
      <c r="AD80" s="318">
        <v>30</v>
      </c>
      <c r="AE80" s="61"/>
      <c r="AF80" s="50">
        <v>30</v>
      </c>
      <c r="AG80" s="115"/>
      <c r="AH80" s="115"/>
      <c r="AI80" s="268"/>
      <c r="AJ80" s="54">
        <v>2297.19</v>
      </c>
      <c r="AK80" s="54"/>
      <c r="AL80" s="89">
        <v>2283.1</v>
      </c>
      <c r="AM80" s="7">
        <f>AL80/AD80</f>
        <v>76.103333333333325</v>
      </c>
      <c r="AN80" s="75">
        <f>5/AD80</f>
        <v>0.16666666666666666</v>
      </c>
      <c r="AO80" s="75">
        <f>8/AD80</f>
        <v>0.26666666666666666</v>
      </c>
      <c r="AP80" s="75">
        <f>11/AD80</f>
        <v>0.36666666666666664</v>
      </c>
      <c r="AQ80" s="75">
        <f>5/AD80</f>
        <v>0.16666666666666666</v>
      </c>
      <c r="AR80" s="75">
        <f>1/AD80</f>
        <v>3.3333333333333333E-2</v>
      </c>
      <c r="AS80" s="54"/>
      <c r="AT80" s="73"/>
      <c r="AU80" s="75"/>
      <c r="AV80" s="54"/>
      <c r="AW80" s="53"/>
      <c r="AX80" s="50"/>
      <c r="AY80" s="785"/>
      <c r="AZ80" s="50"/>
      <c r="BA80" s="239"/>
      <c r="BB80" s="184"/>
      <c r="BC80" s="110"/>
      <c r="BD80" s="110"/>
      <c r="BE80" s="94"/>
      <c r="BF80" s="204">
        <v>43287</v>
      </c>
      <c r="BG80" s="96"/>
      <c r="BH80" s="802"/>
      <c r="BI80" s="204"/>
      <c r="BJ80" s="96"/>
      <c r="BK80" s="707">
        <v>43385</v>
      </c>
      <c r="BL80" s="736">
        <f t="shared" si="204"/>
        <v>43416</v>
      </c>
      <c r="BM80" s="160">
        <f t="shared" si="159"/>
        <v>43508</v>
      </c>
      <c r="BN80" s="160"/>
      <c r="BO80" s="298">
        <f t="shared" si="135"/>
        <v>43416</v>
      </c>
      <c r="BP80" s="297">
        <f t="shared" si="136"/>
        <v>44147</v>
      </c>
      <c r="BQ80" s="297">
        <f t="shared" si="144"/>
        <v>44512</v>
      </c>
      <c r="BR80" s="686">
        <f>10272+64974</f>
        <v>75246</v>
      </c>
      <c r="BS80" s="297" t="str">
        <f t="shared" si="205"/>
        <v>non</v>
      </c>
      <c r="BT80" s="686">
        <f t="shared" si="164"/>
        <v>8</v>
      </c>
      <c r="BU80" s="686">
        <f t="shared" si="165"/>
        <v>98264</v>
      </c>
      <c r="BV80" s="686">
        <f t="shared" si="166"/>
        <v>0</v>
      </c>
      <c r="BW80" s="160"/>
      <c r="BX80" s="165"/>
      <c r="BY80" s="97"/>
      <c r="BZ80" s="98"/>
      <c r="CA80" s="98"/>
      <c r="CB80" s="98"/>
      <c r="CC80" s="158"/>
      <c r="CD80" s="251"/>
      <c r="CE80" s="251"/>
      <c r="CF80" s="157"/>
      <c r="CG80" s="251"/>
      <c r="CH80" s="251"/>
      <c r="CI80" s="251"/>
      <c r="CJ80" s="251" t="s">
        <v>165</v>
      </c>
      <c r="CK80" s="604"/>
      <c r="CL80" s="546">
        <v>43017</v>
      </c>
      <c r="CM80" s="547">
        <v>43032</v>
      </c>
      <c r="CN80" s="547">
        <v>43017</v>
      </c>
      <c r="CO80" s="551">
        <f t="shared" si="167"/>
        <v>-15</v>
      </c>
      <c r="CP80" s="549">
        <v>43140</v>
      </c>
      <c r="CQ80" s="546">
        <v>43138</v>
      </c>
      <c r="CR80" s="551">
        <f t="shared" si="168"/>
        <v>-2</v>
      </c>
      <c r="CS80" s="549">
        <v>43125</v>
      </c>
      <c r="CT80" s="546">
        <f ca="1">IF(CS80&lt;TODAY(),TODAY(),CS80)</f>
        <v>43332</v>
      </c>
      <c r="CU80" s="551">
        <f t="shared" ca="1" si="169"/>
        <v>207</v>
      </c>
      <c r="CV80" s="549">
        <v>43200</v>
      </c>
      <c r="CW80" s="546">
        <f ca="1">IF(CV80&lt;TODAY(),TODAY(),CV80)</f>
        <v>43332</v>
      </c>
      <c r="CX80" s="551">
        <f t="shared" ca="1" si="170"/>
        <v>132</v>
      </c>
      <c r="CY80" s="549">
        <v>43259</v>
      </c>
      <c r="CZ80" s="549">
        <f ca="1">IF(CY80&lt;TODAY(),TODAY(),CY80)</f>
        <v>43332</v>
      </c>
      <c r="DA80" s="551">
        <f t="shared" ca="1" si="171"/>
        <v>73</v>
      </c>
      <c r="DB80" s="457"/>
      <c r="DC80" s="554"/>
      <c r="DD80" s="533">
        <v>43550</v>
      </c>
      <c r="DE80" s="539">
        <f ca="1">IF(DD80&lt;TODAY(),TODAY(),DD80)</f>
        <v>43550</v>
      </c>
      <c r="DF80" s="535">
        <f t="shared" ca="1" si="172"/>
        <v>0</v>
      </c>
      <c r="DG80" s="533">
        <v>43565</v>
      </c>
      <c r="DH80" s="703">
        <v>43622</v>
      </c>
      <c r="DI80" s="348"/>
      <c r="DJ80" s="446">
        <f t="shared" si="173"/>
        <v>11.166666666666666</v>
      </c>
      <c r="DK80" s="535">
        <f t="shared" si="174"/>
        <v>57</v>
      </c>
      <c r="DL80" s="704">
        <v>16</v>
      </c>
      <c r="DM80" s="243">
        <f t="shared" si="175"/>
        <v>19</v>
      </c>
      <c r="DN80" s="533"/>
      <c r="DO80" s="539">
        <f ca="1">IF(DN80&lt;TODAY(),TODAY(),DN80)</f>
        <v>43332</v>
      </c>
      <c r="DP80" s="535" t="str">
        <f t="shared" ca="1" si="176"/>
        <v>0</v>
      </c>
      <c r="DQ80" s="533"/>
      <c r="DR80" s="557">
        <f ca="1">IF(DQ80&lt;TODAY(),TODAY(),DQ80)</f>
        <v>43332</v>
      </c>
      <c r="DS80" s="536" t="str">
        <f t="shared" ca="1" si="177"/>
        <v>0</v>
      </c>
      <c r="DT80" s="537"/>
      <c r="DU80" s="539">
        <f ca="1">IF(DT80&lt;TODAY(),TODAY(),DT80)</f>
        <v>43332</v>
      </c>
      <c r="DV80" s="535" t="str">
        <f t="shared" ca="1" si="178"/>
        <v>0</v>
      </c>
      <c r="DW80" s="540"/>
      <c r="DX80" s="539">
        <f ca="1">IF(DW80&lt;TODAY(),TODAY(),DW80)</f>
        <v>43332</v>
      </c>
      <c r="DY80" s="535" t="str">
        <f t="shared" ca="1" si="179"/>
        <v>0</v>
      </c>
      <c r="DZ80" s="541"/>
      <c r="EA80" s="539">
        <f ca="1">IF(DZ80&lt;TODAY(),TODAY(),DZ80)</f>
        <v>43332</v>
      </c>
      <c r="EB80" s="535" t="str">
        <f t="shared" ca="1" si="180"/>
        <v>0</v>
      </c>
      <c r="EC80" s="541"/>
      <c r="ED80" s="539">
        <f ca="1">IF(EC80&lt;TODAY(),TODAY(),EC80)</f>
        <v>43332</v>
      </c>
      <c r="EE80" s="535" t="str">
        <f t="shared" ca="1" si="181"/>
        <v>0</v>
      </c>
      <c r="EF80" s="541"/>
      <c r="EG80" s="539">
        <f t="shared" ca="1" si="131"/>
        <v>43332</v>
      </c>
      <c r="EH80" s="535" t="str">
        <f t="shared" ca="1" si="182"/>
        <v>0</v>
      </c>
      <c r="EI80" s="541"/>
      <c r="EJ80" s="541"/>
      <c r="EK80" s="541"/>
      <c r="EL80" s="625">
        <f t="shared" si="183"/>
        <v>44110</v>
      </c>
      <c r="EM80" s="404">
        <f>DATE(YEAR(EL80),MONTH(EL80)+3,DAY(EL80))</f>
        <v>44202</v>
      </c>
      <c r="EN80" s="756">
        <f t="shared" si="184"/>
        <v>3.0666666666666669</v>
      </c>
      <c r="EO80" s="580">
        <f>DATE(YEAR(CI80)+2,MONTH(CI80),DAY(CI80))</f>
        <v>731</v>
      </c>
      <c r="EP80" s="244"/>
      <c r="EQ80" s="244"/>
      <c r="ER80" s="186">
        <f>DATE(YEAR(EM80),MONTH(EM80)+1,DAY(EM80))</f>
        <v>44233</v>
      </c>
      <c r="ES80" s="467"/>
      <c r="ET80" s="578">
        <f t="shared" si="185"/>
        <v>44141</v>
      </c>
      <c r="EU80" s="455">
        <f t="shared" si="198"/>
        <v>44261</v>
      </c>
      <c r="EV80" s="581"/>
      <c r="EW80" s="753">
        <f t="shared" si="186"/>
        <v>4</v>
      </c>
      <c r="EX80" s="722">
        <v>12283</v>
      </c>
      <c r="EY80" s="247">
        <f t="shared" si="187"/>
        <v>49132</v>
      </c>
      <c r="EZ80" s="118"/>
      <c r="FA80" s="562">
        <v>0</v>
      </c>
      <c r="FB80" s="562">
        <v>0</v>
      </c>
      <c r="FC80" s="562"/>
      <c r="FD80" s="562"/>
      <c r="FE80" s="562"/>
      <c r="FF80" s="562"/>
      <c r="FG80" s="559"/>
      <c r="FH80" s="571"/>
      <c r="FI80" s="559" t="s">
        <v>736</v>
      </c>
      <c r="FJ80" s="559"/>
      <c r="FK80" s="122"/>
      <c r="FL80" s="122"/>
      <c r="FM80" s="122"/>
      <c r="FN80" s="122"/>
      <c r="FO80" s="122"/>
      <c r="FP80" s="50"/>
      <c r="FQ80" s="279">
        <f t="shared" si="162"/>
        <v>44567</v>
      </c>
      <c r="FR80" s="279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0"/>
      <c r="GD80" s="50"/>
      <c r="GE80" s="50"/>
      <c r="GF80" s="113"/>
      <c r="GG80" s="113"/>
      <c r="GH80" s="90">
        <f t="shared" si="206"/>
        <v>4828352</v>
      </c>
      <c r="GI80" s="64">
        <f t="shared" si="207"/>
        <v>4970505</v>
      </c>
      <c r="GJ80" s="91">
        <f t="shared" si="192"/>
        <v>142153</v>
      </c>
      <c r="GK80" s="46">
        <f t="shared" si="208"/>
        <v>2163.7326472777609</v>
      </c>
      <c r="GL80" s="46">
        <f t="shared" si="209"/>
        <v>165683.5</v>
      </c>
      <c r="GM80" s="90"/>
      <c r="GN80" s="64"/>
      <c r="GO80" s="91">
        <f t="shared" si="193"/>
        <v>0</v>
      </c>
      <c r="GP80" s="129">
        <f t="shared" si="194"/>
        <v>0</v>
      </c>
      <c r="GQ80" s="130">
        <v>0.4</v>
      </c>
      <c r="GR80" s="90">
        <v>1465688</v>
      </c>
      <c r="GS80" s="64">
        <v>1494928</v>
      </c>
      <c r="GT80" s="64"/>
      <c r="GU80" s="46">
        <f t="shared" si="195"/>
        <v>49830.933333333334</v>
      </c>
      <c r="GV80" s="92"/>
      <c r="GW80" s="90">
        <v>2579514</v>
      </c>
      <c r="GX80" s="64">
        <f t="shared" si="210"/>
        <v>2692427</v>
      </c>
      <c r="GY80" s="84">
        <v>427747</v>
      </c>
      <c r="GZ80" s="84">
        <v>2264680</v>
      </c>
      <c r="HA80" s="92">
        <f t="shared" si="196"/>
        <v>112913</v>
      </c>
      <c r="HB80" s="641">
        <f t="shared" si="211"/>
        <v>89747.566666666666</v>
      </c>
      <c r="HC80" s="64"/>
      <c r="HD80" s="286">
        <v>780000</v>
      </c>
      <c r="HE80" s="64">
        <v>780000</v>
      </c>
      <c r="HF80" s="64"/>
      <c r="HG80" s="36">
        <f t="shared" si="188"/>
        <v>0.15692570473221534</v>
      </c>
      <c r="HH80" s="90"/>
      <c r="HI80" s="64">
        <v>3150</v>
      </c>
      <c r="HJ80" s="86">
        <f t="shared" si="148"/>
        <v>0</v>
      </c>
      <c r="HK80" s="19">
        <f t="shared" si="189"/>
        <v>26000</v>
      </c>
      <c r="HL80" s="78">
        <f t="shared" si="190"/>
        <v>75830.933333333334</v>
      </c>
      <c r="HM80" s="86">
        <f>HJ80/AD80</f>
        <v>0</v>
      </c>
      <c r="HN80" s="87">
        <v>5.38</v>
      </c>
      <c r="HO80" s="87">
        <v>5.38</v>
      </c>
      <c r="HP80" s="88"/>
      <c r="HQ80" s="88"/>
      <c r="HR80" s="46">
        <f>(GR80+HD80+HQ80)/AD80</f>
        <v>74856.266666666663</v>
      </c>
      <c r="HS80" s="88"/>
      <c r="HT80" s="46">
        <f>(GS80+HE80+HQ80+HS80)/AD80</f>
        <v>75830.933333333334</v>
      </c>
      <c r="HU80" s="47">
        <f t="shared" si="143"/>
        <v>0.46510444971700488</v>
      </c>
      <c r="HV80" s="88"/>
      <c r="HW80" s="88"/>
      <c r="HX80" s="64">
        <f t="shared" si="161"/>
        <v>0</v>
      </c>
      <c r="HY80" s="37">
        <f t="shared" si="197"/>
        <v>4828352</v>
      </c>
      <c r="HZ80" s="233">
        <v>246341</v>
      </c>
      <c r="IA80" s="233">
        <f t="shared" si="150"/>
        <v>73902</v>
      </c>
      <c r="IB80" s="114">
        <v>43073</v>
      </c>
      <c r="IC80" s="315">
        <v>22546</v>
      </c>
      <c r="ID80" s="440">
        <v>43080</v>
      </c>
      <c r="IE80" s="329">
        <v>13984</v>
      </c>
      <c r="IF80" s="241">
        <v>43185</v>
      </c>
      <c r="IG80" s="327">
        <v>13019</v>
      </c>
      <c r="IH80" s="241">
        <v>43145</v>
      </c>
      <c r="II80" s="327">
        <v>24353</v>
      </c>
      <c r="IJ80" s="184"/>
      <c r="IK80" s="56"/>
      <c r="IL80" s="50"/>
      <c r="IM80" s="389"/>
      <c r="IN80" s="655"/>
      <c r="IO80" s="83"/>
      <c r="IP80" s="122"/>
      <c r="IQ80" s="388"/>
      <c r="IR80" s="122"/>
      <c r="IS80" s="388"/>
      <c r="IT80" s="50"/>
      <c r="IU80" s="50"/>
      <c r="IV80" s="50"/>
      <c r="IW80" s="50"/>
      <c r="IX80" s="50"/>
      <c r="IY80" s="50"/>
      <c r="IZ80" s="50"/>
      <c r="JA80" s="50"/>
      <c r="JB80" s="50"/>
      <c r="JC80" s="50"/>
      <c r="JD80" s="388"/>
      <c r="JE80" s="279"/>
      <c r="JF80" s="50"/>
      <c r="JG80" s="279"/>
      <c r="JH80" s="279"/>
      <c r="JI80" s="50"/>
    </row>
    <row r="81" spans="1:269" ht="15" customHeight="1">
      <c r="A81" s="83" t="s">
        <v>662</v>
      </c>
      <c r="B81" s="50" t="s">
        <v>40</v>
      </c>
      <c r="C81" s="50" t="s">
        <v>112</v>
      </c>
      <c r="D81" s="50">
        <v>2018</v>
      </c>
      <c r="E81" s="50" t="s">
        <v>596</v>
      </c>
      <c r="F81" s="50" t="s">
        <v>144</v>
      </c>
      <c r="G81" s="50" t="s">
        <v>624</v>
      </c>
      <c r="H81" s="52" t="s">
        <v>830</v>
      </c>
      <c r="I81" s="50"/>
      <c r="J81" s="50"/>
      <c r="K81" s="256" t="s">
        <v>666</v>
      </c>
      <c r="L81" s="166"/>
      <c r="M81" s="167"/>
      <c r="N81" s="168"/>
      <c r="O81" s="207">
        <v>2641</v>
      </c>
      <c r="P81" s="207">
        <v>313500</v>
      </c>
      <c r="Q81" s="207">
        <v>313500</v>
      </c>
      <c r="R81" s="207" t="e">
        <f>P81/AH81</f>
        <v>#DIV/0!</v>
      </c>
      <c r="S81" s="207">
        <f t="shared" si="199"/>
        <v>118.70503597122303</v>
      </c>
      <c r="T81" s="213">
        <f t="shared" si="200"/>
        <v>118.70503597122303</v>
      </c>
      <c r="U81" s="213">
        <f t="shared" si="201"/>
        <v>120.78178757045603</v>
      </c>
      <c r="V81" s="213">
        <f t="shared" si="202"/>
        <v>9500</v>
      </c>
      <c r="W81" s="207">
        <f t="shared" si="203"/>
        <v>80.030303030303031</v>
      </c>
      <c r="X81" s="208"/>
      <c r="Y81" s="209"/>
      <c r="Z81" s="208" t="s">
        <v>191</v>
      </c>
      <c r="AA81" s="208"/>
      <c r="AB81" s="209"/>
      <c r="AC81" s="50" t="s">
        <v>15</v>
      </c>
      <c r="AD81" s="318">
        <f t="shared" ref="AD81:AD102" si="212">SUM(AE81:AH81)</f>
        <v>33</v>
      </c>
      <c r="AE81" s="50">
        <v>33</v>
      </c>
      <c r="AF81" s="61"/>
      <c r="AG81" s="61"/>
      <c r="AH81" s="126"/>
      <c r="AI81" s="268"/>
      <c r="AJ81" s="54">
        <v>2595.59</v>
      </c>
      <c r="AK81" s="54"/>
      <c r="AL81" s="89">
        <v>2595.59</v>
      </c>
      <c r="AM81" s="7">
        <f>AL81/AD81</f>
        <v>78.654242424242426</v>
      </c>
      <c r="AN81" s="75">
        <f>7/AD81</f>
        <v>0.21212121212121213</v>
      </c>
      <c r="AO81" s="75">
        <f>3/AD81</f>
        <v>9.0909090909090912E-2</v>
      </c>
      <c r="AP81" s="75">
        <f>12/AD81</f>
        <v>0.36363636363636365</v>
      </c>
      <c r="AQ81" s="75">
        <f>10/AD81</f>
        <v>0.30303030303030304</v>
      </c>
      <c r="AR81" s="75">
        <f>1/AD81</f>
        <v>3.0303030303030304E-2</v>
      </c>
      <c r="AS81" s="54"/>
      <c r="AT81" s="73"/>
      <c r="AU81" s="75"/>
      <c r="AV81" s="54"/>
      <c r="AW81" s="53"/>
      <c r="AX81" s="50"/>
      <c r="AY81" s="785"/>
      <c r="AZ81" s="50"/>
      <c r="BA81" s="239"/>
      <c r="BB81" s="184"/>
      <c r="BC81" s="110"/>
      <c r="BD81" s="110"/>
      <c r="BE81" s="94"/>
      <c r="BF81" s="204"/>
      <c r="BG81" s="96"/>
      <c r="BH81" s="96"/>
      <c r="BI81" s="204"/>
      <c r="BJ81" s="96"/>
      <c r="BK81" s="160">
        <v>43634</v>
      </c>
      <c r="BL81" s="203">
        <f t="shared" si="204"/>
        <v>43664</v>
      </c>
      <c r="BM81" s="160">
        <f t="shared" si="159"/>
        <v>43756</v>
      </c>
      <c r="BN81" s="160"/>
      <c r="BO81" s="298">
        <f t="shared" si="135"/>
        <v>43664</v>
      </c>
      <c r="BP81" s="297">
        <f t="shared" si="136"/>
        <v>44395</v>
      </c>
      <c r="BQ81" s="297">
        <f t="shared" si="144"/>
        <v>44760</v>
      </c>
      <c r="BR81" s="686">
        <f>78672+10019</f>
        <v>88691</v>
      </c>
      <c r="BS81" s="297" t="str">
        <f t="shared" si="205"/>
        <v>non</v>
      </c>
      <c r="BT81" s="686">
        <f t="shared" si="164"/>
        <v>16</v>
      </c>
      <c r="BU81" s="686">
        <f t="shared" si="165"/>
        <v>276592</v>
      </c>
      <c r="BV81" s="686">
        <f t="shared" si="166"/>
        <v>0</v>
      </c>
      <c r="BW81" s="160"/>
      <c r="BX81" s="165"/>
      <c r="BY81" s="97"/>
      <c r="BZ81" s="98"/>
      <c r="CA81" s="98"/>
      <c r="CB81" s="98"/>
      <c r="CC81" s="158"/>
      <c r="CD81" s="251"/>
      <c r="CE81" s="251"/>
      <c r="CF81" s="157"/>
      <c r="CG81" s="251"/>
      <c r="CH81" s="251"/>
      <c r="CI81" s="251"/>
      <c r="CJ81" s="251" t="s">
        <v>165</v>
      </c>
      <c r="CK81" s="604"/>
      <c r="CL81" s="546">
        <v>43017</v>
      </c>
      <c r="CM81" s="549">
        <v>43032</v>
      </c>
      <c r="CN81" s="549">
        <v>43039</v>
      </c>
      <c r="CO81" s="551">
        <f t="shared" si="167"/>
        <v>7</v>
      </c>
      <c r="CP81" s="549">
        <v>43140</v>
      </c>
      <c r="CQ81" s="549">
        <v>43139</v>
      </c>
      <c r="CR81" s="551">
        <f t="shared" si="168"/>
        <v>-1</v>
      </c>
      <c r="CS81" s="549">
        <v>43130</v>
      </c>
      <c r="CT81" s="549">
        <f ca="1">IF(CS81&lt;TODAY(),TODAY(),CS81)</f>
        <v>43332</v>
      </c>
      <c r="CU81" s="551">
        <f t="shared" ca="1" si="169"/>
        <v>202</v>
      </c>
      <c r="CV81" s="549">
        <v>43201</v>
      </c>
      <c r="CW81" s="549">
        <f ca="1">IF(CV81&lt;TODAY(),TODAY(),CV81)</f>
        <v>43332</v>
      </c>
      <c r="CX81" s="551">
        <f t="shared" ca="1" si="170"/>
        <v>131</v>
      </c>
      <c r="CY81" s="549">
        <v>43259</v>
      </c>
      <c r="CZ81" s="549">
        <f ca="1">IF(CY81&lt;TODAY(),TODAY(),CY81)</f>
        <v>43332</v>
      </c>
      <c r="DA81" s="551">
        <f t="shared" ca="1" si="171"/>
        <v>73</v>
      </c>
      <c r="DB81" s="457"/>
      <c r="DC81" s="554"/>
      <c r="DD81" s="533">
        <v>43551</v>
      </c>
      <c r="DE81" s="539">
        <f ca="1">IF(DD81&lt;TODAY(),TODAY(),DD81)</f>
        <v>43551</v>
      </c>
      <c r="DF81" s="535">
        <f t="shared" ca="1" si="172"/>
        <v>0</v>
      </c>
      <c r="DG81" s="533">
        <v>43566</v>
      </c>
      <c r="DH81" s="703">
        <v>43754</v>
      </c>
      <c r="DI81" s="348"/>
      <c r="DJ81" s="446">
        <f t="shared" si="173"/>
        <v>1458.4666666666667</v>
      </c>
      <c r="DK81" s="535">
        <f t="shared" si="174"/>
        <v>188</v>
      </c>
      <c r="DL81" s="704">
        <v>16</v>
      </c>
      <c r="DM81" s="243">
        <f t="shared" si="175"/>
        <v>17</v>
      </c>
      <c r="DN81" s="533"/>
      <c r="DO81" s="539">
        <f ca="1">IF(DN81&lt;TODAY(),TODAY(),DN81)</f>
        <v>43332</v>
      </c>
      <c r="DP81" s="535" t="str">
        <f t="shared" ca="1" si="176"/>
        <v>0</v>
      </c>
      <c r="DQ81" s="533"/>
      <c r="DR81" s="557">
        <f ca="1">IF(DQ81&lt;TODAY(),TODAY(),DQ81)</f>
        <v>43332</v>
      </c>
      <c r="DS81" s="536" t="str">
        <f t="shared" ca="1" si="177"/>
        <v>0</v>
      </c>
      <c r="DT81" s="537"/>
      <c r="DU81" s="539">
        <f ca="1">IF(DT81&lt;TODAY(),TODAY(),DT81)</f>
        <v>43332</v>
      </c>
      <c r="DV81" s="535" t="str">
        <f t="shared" ca="1" si="178"/>
        <v>0</v>
      </c>
      <c r="DW81" s="539"/>
      <c r="DX81" s="539">
        <f ca="1">IF(DW81&lt;TODAY(),TODAY(),DW81)</f>
        <v>43332</v>
      </c>
      <c r="DY81" s="535" t="str">
        <f t="shared" ca="1" si="179"/>
        <v>0</v>
      </c>
      <c r="DZ81" s="539"/>
      <c r="EA81" s="539">
        <f ca="1">IF(DZ81&lt;TODAY(),TODAY(),DZ81)</f>
        <v>43332</v>
      </c>
      <c r="EB81" s="535" t="str">
        <f t="shared" ca="1" si="180"/>
        <v>0</v>
      </c>
      <c r="EC81" s="539"/>
      <c r="ED81" s="539">
        <f ca="1">IF(EC81&lt;TODAY(),TODAY(),EC81)</f>
        <v>43332</v>
      </c>
      <c r="EE81" s="535" t="str">
        <f t="shared" ca="1" si="181"/>
        <v>0</v>
      </c>
      <c r="EF81" s="539"/>
      <c r="EG81" s="539">
        <f t="shared" ca="1" si="131"/>
        <v>43332</v>
      </c>
      <c r="EH81" s="535" t="str">
        <f t="shared" ca="1" si="182"/>
        <v>0</v>
      </c>
      <c r="EI81" s="539"/>
      <c r="EJ81" s="539"/>
      <c r="EK81" s="539"/>
      <c r="EL81" s="760">
        <f t="shared" si="183"/>
        <v>44243</v>
      </c>
      <c r="EM81" s="759">
        <f>DATE(YEAR(EL81),MONTH(EL81)+1,DAY(EL81))</f>
        <v>44271</v>
      </c>
      <c r="EN81" s="756">
        <f t="shared" si="184"/>
        <v>0.93333333333333335</v>
      </c>
      <c r="EO81" s="580">
        <f>DATE(YEAR(CI81)+2,MONTH(CI81),DAY(CI81))</f>
        <v>731</v>
      </c>
      <c r="EP81" s="244"/>
      <c r="EQ81" s="244"/>
      <c r="ER81" s="186">
        <f>DATE(YEAR(EM81),MONTH(EM81),DAY(EM81))</f>
        <v>44271</v>
      </c>
      <c r="ES81" s="467"/>
      <c r="ET81" s="578">
        <f t="shared" si="185"/>
        <v>44271</v>
      </c>
      <c r="EU81" s="759">
        <f>DATE(YEAR(ER81),MONTH(ER81),DAY(ER81))</f>
        <v>44271</v>
      </c>
      <c r="EV81" s="581"/>
      <c r="EW81" s="753">
        <f t="shared" si="186"/>
        <v>0</v>
      </c>
      <c r="EX81" s="722">
        <v>17287</v>
      </c>
      <c r="EY81" s="247">
        <f t="shared" si="187"/>
        <v>0</v>
      </c>
      <c r="EZ81" s="118"/>
      <c r="FA81" s="562">
        <v>0</v>
      </c>
      <c r="FB81" s="562">
        <v>0</v>
      </c>
      <c r="FC81" s="562"/>
      <c r="FD81" s="562"/>
      <c r="FE81" s="562"/>
      <c r="FF81" s="562"/>
      <c r="FG81" s="559"/>
      <c r="FH81" s="571"/>
      <c r="FI81" s="559" t="s">
        <v>739</v>
      </c>
      <c r="FJ81" s="559"/>
      <c r="FK81" s="122"/>
      <c r="FL81" s="122"/>
      <c r="FM81" s="122"/>
      <c r="FN81" s="122"/>
      <c r="FO81" s="122"/>
      <c r="FP81" s="50"/>
      <c r="FQ81" s="279">
        <f t="shared" si="162"/>
        <v>44636</v>
      </c>
      <c r="FR81" s="279"/>
      <c r="FS81" s="50"/>
      <c r="FT81" s="50"/>
      <c r="FU81" s="50"/>
      <c r="FV81" s="50"/>
      <c r="FW81" s="50"/>
      <c r="FX81" s="50"/>
      <c r="FY81" s="50"/>
      <c r="FZ81" s="50"/>
      <c r="GA81" s="50"/>
      <c r="GB81" s="50"/>
      <c r="GC81" s="50"/>
      <c r="GD81" s="50"/>
      <c r="GE81" s="50"/>
      <c r="GF81" s="113"/>
      <c r="GG81" s="113"/>
      <c r="GH81" s="90">
        <f t="shared" si="206"/>
        <v>5455396</v>
      </c>
      <c r="GI81" s="64">
        <f t="shared" si="207"/>
        <v>5567908</v>
      </c>
      <c r="GJ81" s="91">
        <f t="shared" si="192"/>
        <v>112512</v>
      </c>
      <c r="GK81" s="46">
        <f t="shared" si="208"/>
        <v>2145.1415670425604</v>
      </c>
      <c r="GL81" s="46">
        <f t="shared" si="209"/>
        <v>168724.48484848486</v>
      </c>
      <c r="GM81" s="90"/>
      <c r="GN81" s="64"/>
      <c r="GO81" s="91">
        <f t="shared" si="193"/>
        <v>0</v>
      </c>
      <c r="GP81" s="129">
        <f t="shared" si="194"/>
        <v>0</v>
      </c>
      <c r="GQ81" s="130">
        <v>0.4</v>
      </c>
      <c r="GR81" s="90">
        <v>1728972</v>
      </c>
      <c r="GS81" s="64">
        <v>1771481</v>
      </c>
      <c r="GT81" s="64"/>
      <c r="GU81" s="46">
        <f t="shared" si="195"/>
        <v>53681.242424242424</v>
      </c>
      <c r="GV81" s="92"/>
      <c r="GW81" s="90">
        <v>3079214</v>
      </c>
      <c r="GX81" s="64">
        <f t="shared" si="210"/>
        <v>3149217</v>
      </c>
      <c r="GY81" s="84">
        <v>424625</v>
      </c>
      <c r="GZ81" s="84">
        <v>2724592</v>
      </c>
      <c r="HA81" s="92">
        <f t="shared" si="196"/>
        <v>70003</v>
      </c>
      <c r="HB81" s="641">
        <f t="shared" si="211"/>
        <v>95430.818181818177</v>
      </c>
      <c r="HC81" s="64"/>
      <c r="HD81" s="286">
        <v>643500</v>
      </c>
      <c r="HE81" s="64">
        <v>643500</v>
      </c>
      <c r="HF81" s="64"/>
      <c r="HG81" s="85">
        <f t="shared" si="188"/>
        <v>0.11557303030150642</v>
      </c>
      <c r="HH81" s="90"/>
      <c r="HI81" s="64">
        <v>3710</v>
      </c>
      <c r="HJ81" s="86">
        <f t="shared" si="148"/>
        <v>0</v>
      </c>
      <c r="HK81" s="46">
        <f t="shared" si="189"/>
        <v>19500</v>
      </c>
      <c r="HL81" s="78">
        <f t="shared" si="190"/>
        <v>73181.242424242431</v>
      </c>
      <c r="HM81" s="86" t="e">
        <f>HJ81/AH81</f>
        <v>#DIV/0!</v>
      </c>
      <c r="HN81" s="87">
        <v>6.66</v>
      </c>
      <c r="HO81" s="87">
        <v>5.84</v>
      </c>
      <c r="HP81" s="88"/>
      <c r="HQ81" s="88"/>
      <c r="HR81" s="46" t="e">
        <f>(GR81+HD81+HQ81)/AH81</f>
        <v>#DIV/0!</v>
      </c>
      <c r="HS81" s="88"/>
      <c r="HT81" s="46" t="e">
        <f>(GS81+HE81+HQ81+HS81)/AH81</f>
        <v>#DIV/0!</v>
      </c>
      <c r="HU81" s="47">
        <f t="shared" si="143"/>
        <v>0.43488538687200712</v>
      </c>
      <c r="HV81" s="88"/>
      <c r="HW81" s="88"/>
      <c r="HX81" s="64">
        <f t="shared" si="161"/>
        <v>0</v>
      </c>
      <c r="HY81" s="37">
        <f t="shared" si="197"/>
        <v>5455396</v>
      </c>
      <c r="HZ81" s="276">
        <v>263611</v>
      </c>
      <c r="IA81" s="276">
        <f t="shared" si="150"/>
        <v>65903</v>
      </c>
      <c r="IB81" s="114">
        <v>43073</v>
      </c>
      <c r="IC81" s="315">
        <v>23541</v>
      </c>
      <c r="ID81" s="441">
        <v>43080</v>
      </c>
      <c r="IE81" s="315">
        <f>14076+1925</f>
        <v>16001</v>
      </c>
      <c r="IF81" s="287"/>
      <c r="IG81" s="465"/>
      <c r="IH81" s="287">
        <v>43145</v>
      </c>
      <c r="II81" s="273">
        <v>26361</v>
      </c>
      <c r="IJ81" s="287"/>
      <c r="IK81" s="466"/>
      <c r="IL81" s="278"/>
      <c r="IM81" s="283"/>
      <c r="IN81" s="441"/>
      <c r="IO81" s="314"/>
      <c r="IP81" s="275"/>
      <c r="IQ81" s="280"/>
      <c r="IR81" s="275"/>
      <c r="IS81" s="280"/>
      <c r="IT81" s="299"/>
      <c r="IU81" s="299"/>
      <c r="IV81" s="299"/>
      <c r="IW81" s="299"/>
      <c r="IX81" s="268"/>
      <c r="IY81" s="268"/>
      <c r="IZ81" s="268"/>
      <c r="JA81" s="268"/>
      <c r="JB81" s="268"/>
      <c r="JC81" s="268"/>
      <c r="JD81" s="315">
        <f>25078+1283</f>
        <v>26361</v>
      </c>
      <c r="JE81" s="118"/>
      <c r="JF81" s="278"/>
      <c r="JG81" s="118"/>
      <c r="JH81" s="118"/>
      <c r="JI81" s="278"/>
    </row>
    <row r="82" spans="1:269" ht="15" customHeight="1">
      <c r="A82" s="293" t="s">
        <v>460</v>
      </c>
      <c r="B82" s="50" t="s">
        <v>46</v>
      </c>
      <c r="C82" s="50" t="s">
        <v>110</v>
      </c>
      <c r="D82" s="50">
        <v>2019</v>
      </c>
      <c r="E82" s="50"/>
      <c r="F82" s="50" t="s">
        <v>441</v>
      </c>
      <c r="G82" s="50" t="s">
        <v>177</v>
      </c>
      <c r="H82" s="50" t="s">
        <v>171</v>
      </c>
      <c r="I82" s="50"/>
      <c r="J82" s="50" t="s">
        <v>470</v>
      </c>
      <c r="K82" s="256" t="s">
        <v>482</v>
      </c>
      <c r="L82" s="166" t="s">
        <v>46</v>
      </c>
      <c r="M82" s="167" t="s">
        <v>483</v>
      </c>
      <c r="N82" s="168">
        <v>39798</v>
      </c>
      <c r="O82" s="233"/>
      <c r="P82" s="233"/>
      <c r="Q82" s="233"/>
      <c r="R82" s="233"/>
      <c r="S82" s="233"/>
      <c r="T82" s="613"/>
      <c r="U82" s="613"/>
      <c r="V82" s="613"/>
      <c r="W82" s="233"/>
      <c r="X82" s="208"/>
      <c r="Y82" s="216" t="e">
        <f t="shared" ref="Y82:Y88" si="213">AL82/O82</f>
        <v>#DIV/0!</v>
      </c>
      <c r="Z82" s="208"/>
      <c r="AA82" s="208"/>
      <c r="AB82" s="209"/>
      <c r="AC82" s="50" t="s">
        <v>440</v>
      </c>
      <c r="AD82" s="318">
        <f t="shared" si="212"/>
        <v>16</v>
      </c>
      <c r="AE82" s="61"/>
      <c r="AF82" s="115"/>
      <c r="AG82" s="115"/>
      <c r="AH82" s="50">
        <v>16</v>
      </c>
      <c r="AI82" s="268"/>
      <c r="AJ82" s="54"/>
      <c r="AK82" s="54"/>
      <c r="AL82" s="89"/>
      <c r="AM82" s="54"/>
      <c r="AN82" s="75"/>
      <c r="AO82" s="75"/>
      <c r="AP82" s="75"/>
      <c r="AQ82" s="75"/>
      <c r="AR82" s="75"/>
      <c r="AS82" s="54"/>
      <c r="AT82" s="73"/>
      <c r="AU82" s="75"/>
      <c r="AV82" s="54"/>
      <c r="AW82" s="50"/>
      <c r="AX82" s="50"/>
      <c r="AY82" s="785"/>
      <c r="AZ82" s="50"/>
      <c r="BA82" s="50"/>
      <c r="BB82" s="50"/>
      <c r="BC82" s="110"/>
      <c r="BD82" s="110"/>
      <c r="BE82" s="94"/>
      <c r="BF82" s="204"/>
      <c r="BG82" s="96"/>
      <c r="BH82" s="96"/>
      <c r="BI82" s="204"/>
      <c r="BJ82" s="96"/>
      <c r="BK82" s="707">
        <v>43311</v>
      </c>
      <c r="BL82" s="736">
        <v>43249</v>
      </c>
      <c r="BM82" s="707">
        <f t="shared" si="159"/>
        <v>43341</v>
      </c>
      <c r="BN82" s="160"/>
      <c r="BO82" s="298">
        <f t="shared" si="135"/>
        <v>43249</v>
      </c>
      <c r="BP82" s="297">
        <f t="shared" si="136"/>
        <v>43980</v>
      </c>
      <c r="BQ82" s="297">
        <f t="shared" si="144"/>
        <v>44345</v>
      </c>
      <c r="BR82" s="297"/>
      <c r="BS82" s="297" t="str">
        <f t="shared" ref="BS82:BS88" si="214">IF(EU82&gt;BP82,"oui","non")</f>
        <v>oui</v>
      </c>
      <c r="BT82" s="686">
        <f t="shared" si="164"/>
        <v>3</v>
      </c>
      <c r="BU82" s="686">
        <f t="shared" si="165"/>
        <v>0</v>
      </c>
      <c r="BV82" s="686">
        <f t="shared" si="166"/>
        <v>0</v>
      </c>
      <c r="BW82" s="160"/>
      <c r="BX82" s="165"/>
      <c r="BY82" s="97"/>
      <c r="BZ82" s="98"/>
      <c r="CA82" s="98"/>
      <c r="CB82" s="98"/>
      <c r="CC82" s="158"/>
      <c r="CD82" s="251"/>
      <c r="CE82" s="251"/>
      <c r="CF82" s="157"/>
      <c r="CG82" s="251"/>
      <c r="CH82" s="251"/>
      <c r="CI82" s="251"/>
      <c r="CJ82" s="408"/>
      <c r="CK82" s="408"/>
      <c r="CL82" s="546"/>
      <c r="CM82" s="547"/>
      <c r="CN82" s="547"/>
      <c r="CO82" s="548"/>
      <c r="CP82" s="549"/>
      <c r="CQ82" s="549"/>
      <c r="CR82" s="551" t="str">
        <f t="shared" si="168"/>
        <v>0</v>
      </c>
      <c r="CS82" s="552"/>
      <c r="CT82" s="546"/>
      <c r="CU82" s="551" t="str">
        <f t="shared" si="169"/>
        <v>0</v>
      </c>
      <c r="CV82" s="552"/>
      <c r="CW82" s="546"/>
      <c r="CX82" s="551" t="str">
        <f t="shared" si="170"/>
        <v>0</v>
      </c>
      <c r="CY82" s="552"/>
      <c r="CZ82" s="553"/>
      <c r="DA82" s="551" t="str">
        <f t="shared" si="171"/>
        <v>0</v>
      </c>
      <c r="DB82" s="457"/>
      <c r="DC82" s="546"/>
      <c r="DD82" s="533"/>
      <c r="DE82" s="534"/>
      <c r="DF82" s="535" t="str">
        <f t="shared" si="172"/>
        <v>0</v>
      </c>
      <c r="DG82" s="533"/>
      <c r="DH82" s="703">
        <v>43784</v>
      </c>
      <c r="DI82" s="348"/>
      <c r="DJ82" s="446">
        <f t="shared" si="173"/>
        <v>1459.4666666666667</v>
      </c>
      <c r="DK82" s="535" t="str">
        <f t="shared" si="174"/>
        <v>0</v>
      </c>
      <c r="DL82" s="704">
        <v>12</v>
      </c>
      <c r="DM82" s="243">
        <f t="shared" si="175"/>
        <v>13</v>
      </c>
      <c r="DN82" s="533"/>
      <c r="DO82" s="534"/>
      <c r="DP82" s="535" t="str">
        <f t="shared" si="176"/>
        <v>0</v>
      </c>
      <c r="DQ82" s="533"/>
      <c r="DR82" s="557"/>
      <c r="DS82" s="536" t="str">
        <f t="shared" si="177"/>
        <v>0</v>
      </c>
      <c r="DT82" s="537"/>
      <c r="DU82" s="538"/>
      <c r="DV82" s="535" t="str">
        <f t="shared" si="178"/>
        <v>0</v>
      </c>
      <c r="DW82" s="534"/>
      <c r="DX82" s="539"/>
      <c r="DY82" s="535" t="str">
        <f t="shared" si="179"/>
        <v>0</v>
      </c>
      <c r="DZ82" s="541"/>
      <c r="EA82" s="541"/>
      <c r="EB82" s="535" t="str">
        <f t="shared" si="180"/>
        <v>0</v>
      </c>
      <c r="EC82" s="541"/>
      <c r="ED82" s="541"/>
      <c r="EE82" s="535" t="str">
        <f t="shared" si="181"/>
        <v>0</v>
      </c>
      <c r="EF82" s="541"/>
      <c r="EG82" s="539">
        <f t="shared" ca="1" si="131"/>
        <v>43332</v>
      </c>
      <c r="EH82" s="535" t="str">
        <f t="shared" ca="1" si="182"/>
        <v>0</v>
      </c>
      <c r="EI82" s="541"/>
      <c r="EJ82" s="541"/>
      <c r="EK82" s="541"/>
      <c r="EL82" s="760">
        <f t="shared" si="183"/>
        <v>44150</v>
      </c>
      <c r="EM82" s="759">
        <f t="shared" ref="EM82:EM88" si="215">DATE(YEAR(DH82),MONTH(DH82)+DL82+1,DAY(DH82))</f>
        <v>44180</v>
      </c>
      <c r="EN82" s="756">
        <f t="shared" si="184"/>
        <v>1</v>
      </c>
      <c r="EO82" s="467"/>
      <c r="EP82" s="186"/>
      <c r="EQ82" s="244"/>
      <c r="ER82" s="186">
        <f t="shared" ref="ER82:ER88" si="216">DATE(YEAR(EM82),MONTH(EM82)+1,DAY(EM82))</f>
        <v>44211</v>
      </c>
      <c r="ES82" s="467"/>
      <c r="ET82" s="796">
        <f t="shared" si="185"/>
        <v>44180</v>
      </c>
      <c r="EU82" s="759">
        <f t="shared" ref="EU82:EU94" si="217">DATE(YEAR(ER82),MONTH(ER82)+1,DAY(ER82))</f>
        <v>44242</v>
      </c>
      <c r="EV82" s="414"/>
      <c r="EW82" s="754">
        <f t="shared" si="186"/>
        <v>2.0666666666666669</v>
      </c>
      <c r="EX82" s="722"/>
      <c r="EY82" s="247">
        <f t="shared" si="187"/>
        <v>0</v>
      </c>
      <c r="EZ82" s="118"/>
      <c r="FA82" s="562"/>
      <c r="FB82" s="562">
        <v>0</v>
      </c>
      <c r="FC82" s="562"/>
      <c r="FD82" s="562"/>
      <c r="FE82" s="562"/>
      <c r="FF82" s="562"/>
      <c r="FG82" s="559"/>
      <c r="FH82" s="571"/>
      <c r="FI82" s="559"/>
      <c r="FJ82" s="559"/>
      <c r="FK82" s="122"/>
      <c r="FL82" s="122"/>
      <c r="FM82" s="122"/>
      <c r="FN82" s="122"/>
      <c r="FO82" s="122"/>
      <c r="FP82" s="50"/>
      <c r="FQ82" s="279">
        <f t="shared" si="162"/>
        <v>44545</v>
      </c>
      <c r="FR82" s="279"/>
      <c r="FS82" s="50"/>
      <c r="FT82" s="50"/>
      <c r="FU82" s="50"/>
      <c r="FV82" s="50"/>
      <c r="FW82" s="50"/>
      <c r="FX82" s="50"/>
      <c r="FY82" s="50"/>
      <c r="FZ82" s="50"/>
      <c r="GA82" s="50"/>
      <c r="GB82" s="50"/>
      <c r="GC82" s="50"/>
      <c r="GD82" s="50"/>
      <c r="GE82" s="50"/>
      <c r="GF82" s="113"/>
      <c r="GG82" s="113"/>
      <c r="GH82" s="390">
        <f t="shared" si="206"/>
        <v>5522950</v>
      </c>
      <c r="GI82" s="390"/>
      <c r="GJ82" s="390">
        <f t="shared" si="192"/>
        <v>-5522950</v>
      </c>
      <c r="GK82" s="390" t="e">
        <f t="shared" si="208"/>
        <v>#DIV/0!</v>
      </c>
      <c r="GL82" s="390">
        <f t="shared" si="209"/>
        <v>0</v>
      </c>
      <c r="GM82" s="390"/>
      <c r="GN82" s="390"/>
      <c r="GO82" s="390">
        <f t="shared" si="193"/>
        <v>0</v>
      </c>
      <c r="GP82" s="107" t="e">
        <f t="shared" si="194"/>
        <v>#DIV/0!</v>
      </c>
      <c r="GQ82" s="107">
        <v>0.4</v>
      </c>
      <c r="GR82" s="390">
        <v>1883035</v>
      </c>
      <c r="GS82" s="390"/>
      <c r="GT82" s="390"/>
      <c r="GU82" s="390">
        <f t="shared" ref="GU82:GU88" si="218">GR82/AD82</f>
        <v>117689.6875</v>
      </c>
      <c r="GV82" s="390"/>
      <c r="GW82" s="390">
        <v>3389915</v>
      </c>
      <c r="GX82" s="390"/>
      <c r="GY82" s="390"/>
      <c r="GZ82" s="390"/>
      <c r="HA82" s="390">
        <f t="shared" si="196"/>
        <v>-3389915</v>
      </c>
      <c r="HB82" s="698">
        <f t="shared" si="211"/>
        <v>0</v>
      </c>
      <c r="HC82" s="390"/>
      <c r="HD82" s="390">
        <v>250000</v>
      </c>
      <c r="HE82" s="390"/>
      <c r="HF82" s="390"/>
      <c r="HG82" s="396" t="e">
        <f t="shared" si="188"/>
        <v>#DIV/0!</v>
      </c>
      <c r="HH82" s="396"/>
      <c r="HI82" s="390"/>
      <c r="HJ82" s="390">
        <f t="shared" si="148"/>
        <v>-250000</v>
      </c>
      <c r="HK82" s="390">
        <f t="shared" si="189"/>
        <v>0</v>
      </c>
      <c r="HL82" s="393">
        <f t="shared" si="190"/>
        <v>0</v>
      </c>
      <c r="HM82" s="390">
        <f t="shared" ref="HM82:HM88" si="219">HJ82/AD82</f>
        <v>-15625</v>
      </c>
      <c r="HN82" s="394">
        <v>6.31</v>
      </c>
      <c r="HO82" s="394"/>
      <c r="HP82" s="390"/>
      <c r="HQ82" s="390"/>
      <c r="HR82" s="390">
        <f t="shared" ref="HR82:HR88" si="220">(GR82+HD82+HQ82)/AD82</f>
        <v>133314.6875</v>
      </c>
      <c r="HS82" s="390"/>
      <c r="HT82" s="390">
        <f t="shared" ref="HT82:HT88" si="221">(GS82+HE82+HQ82+HS82)/AD82</f>
        <v>0</v>
      </c>
      <c r="HU82" s="107">
        <f t="shared" si="143"/>
        <v>0.38621298400311427</v>
      </c>
      <c r="HV82" s="390"/>
      <c r="HW82" s="390"/>
      <c r="HX82" s="390">
        <f t="shared" si="161"/>
        <v>0</v>
      </c>
      <c r="HY82" s="397">
        <f t="shared" si="197"/>
        <v>5522950</v>
      </c>
      <c r="HZ82" s="276"/>
      <c r="IA82" s="276">
        <f t="shared" si="150"/>
        <v>0</v>
      </c>
      <c r="IB82" s="277"/>
      <c r="IC82" s="280">
        <v>0</v>
      </c>
      <c r="ID82" s="280"/>
      <c r="IE82" s="254"/>
      <c r="IF82" s="254"/>
      <c r="IG82" s="388">
        <v>0</v>
      </c>
      <c r="IH82" s="262"/>
      <c r="II82" s="273">
        <v>0</v>
      </c>
      <c r="IJ82" s="262"/>
      <c r="IK82" s="466"/>
      <c r="IL82" s="278"/>
      <c r="IM82" s="283"/>
      <c r="IN82" s="281"/>
      <c r="IO82" s="281"/>
      <c r="IP82" s="275"/>
      <c r="IQ82" s="276"/>
      <c r="IR82" s="275"/>
      <c r="IS82" s="276"/>
      <c r="IT82" s="299"/>
      <c r="IU82" s="299"/>
      <c r="IV82" s="299"/>
      <c r="IW82" s="299"/>
      <c r="IX82" s="268"/>
      <c r="IY82" s="268"/>
      <c r="IZ82" s="268"/>
      <c r="JA82" s="268"/>
      <c r="JB82" s="268"/>
      <c r="JC82" s="268"/>
      <c r="JD82" s="280" t="e">
        <f t="shared" ref="JD82:JD88" si="222">$JD$1*HZ82</f>
        <v>#VALUE!</v>
      </c>
      <c r="JE82" s="118"/>
      <c r="JF82" s="278"/>
      <c r="JG82" s="118"/>
      <c r="JH82" s="118"/>
      <c r="JI82" s="278"/>
    </row>
    <row r="83" spans="1:269" ht="15" customHeight="1">
      <c r="A83" s="293" t="s">
        <v>459</v>
      </c>
      <c r="B83" s="50" t="s">
        <v>35</v>
      </c>
      <c r="C83" s="50" t="s">
        <v>110</v>
      </c>
      <c r="D83" s="50">
        <v>2019</v>
      </c>
      <c r="E83" s="50"/>
      <c r="F83" s="50" t="s">
        <v>441</v>
      </c>
      <c r="G83" s="50" t="s">
        <v>177</v>
      </c>
      <c r="H83" s="50" t="s">
        <v>412</v>
      </c>
      <c r="I83" s="50"/>
      <c r="J83" s="50" t="s">
        <v>485</v>
      </c>
      <c r="K83" s="256" t="s">
        <v>472</v>
      </c>
      <c r="L83" s="166" t="s">
        <v>61</v>
      </c>
      <c r="M83" s="167" t="s">
        <v>484</v>
      </c>
      <c r="N83" s="168">
        <v>35571</v>
      </c>
      <c r="O83" s="233"/>
      <c r="P83" s="233"/>
      <c r="Q83" s="233"/>
      <c r="R83" s="233"/>
      <c r="S83" s="233"/>
      <c r="T83" s="613"/>
      <c r="U83" s="613"/>
      <c r="V83" s="613"/>
      <c r="W83" s="233"/>
      <c r="X83" s="208"/>
      <c r="Y83" s="216" t="e">
        <f t="shared" si="213"/>
        <v>#DIV/0!</v>
      </c>
      <c r="Z83" s="208"/>
      <c r="AA83" s="208"/>
      <c r="AB83" s="209"/>
      <c r="AC83" s="50" t="s">
        <v>440</v>
      </c>
      <c r="AD83" s="318">
        <f t="shared" si="212"/>
        <v>38</v>
      </c>
      <c r="AE83" s="61"/>
      <c r="AF83" s="115"/>
      <c r="AG83" s="115"/>
      <c r="AH83" s="193">
        <v>38</v>
      </c>
      <c r="AI83" s="268"/>
      <c r="AJ83" s="54"/>
      <c r="AK83" s="54"/>
      <c r="AL83" s="89"/>
      <c r="AM83" s="7"/>
      <c r="AN83" s="75"/>
      <c r="AO83" s="75"/>
      <c r="AP83" s="75"/>
      <c r="AQ83" s="75"/>
      <c r="AR83" s="75"/>
      <c r="AS83" s="54"/>
      <c r="AT83" s="73"/>
      <c r="AU83" s="75"/>
      <c r="AV83" s="54"/>
      <c r="AW83" s="50"/>
      <c r="AX83" s="50"/>
      <c r="AY83" s="785"/>
      <c r="AZ83" s="50"/>
      <c r="BA83" s="50"/>
      <c r="BB83" s="50"/>
      <c r="BC83" s="110"/>
      <c r="BD83" s="110"/>
      <c r="BE83" s="94"/>
      <c r="BF83" s="204"/>
      <c r="BG83" s="96"/>
      <c r="BH83" s="96"/>
      <c r="BI83" s="204"/>
      <c r="BJ83" s="96"/>
      <c r="BK83" s="160"/>
      <c r="BL83" s="203"/>
      <c r="BM83" s="160"/>
      <c r="BN83" s="160"/>
      <c r="BO83" s="298">
        <f t="shared" si="135"/>
        <v>0</v>
      </c>
      <c r="BP83" s="297">
        <f t="shared" si="136"/>
        <v>731</v>
      </c>
      <c r="BQ83" s="297">
        <f t="shared" si="144"/>
        <v>1096</v>
      </c>
      <c r="BR83" s="297"/>
      <c r="BS83" s="297" t="str">
        <f t="shared" si="214"/>
        <v>oui</v>
      </c>
      <c r="BT83" s="686" t="e">
        <f t="shared" si="164"/>
        <v>#NUM!</v>
      </c>
      <c r="BU83" s="686" t="e">
        <f t="shared" si="165"/>
        <v>#NUM!</v>
      </c>
      <c r="BV83" s="686" t="e">
        <f t="shared" si="166"/>
        <v>#NUM!</v>
      </c>
      <c r="BW83" s="160"/>
      <c r="BX83" s="165"/>
      <c r="BY83" s="97"/>
      <c r="BZ83" s="98"/>
      <c r="CA83" s="98"/>
      <c r="CB83" s="98"/>
      <c r="CC83" s="158"/>
      <c r="CD83" s="251"/>
      <c r="CE83" s="251"/>
      <c r="CF83" s="157"/>
      <c r="CG83" s="251"/>
      <c r="CH83" s="251"/>
      <c r="CI83" s="251"/>
      <c r="CJ83" s="408"/>
      <c r="CK83" s="408"/>
      <c r="CL83" s="546"/>
      <c r="CM83" s="547"/>
      <c r="CN83" s="547"/>
      <c r="CO83" s="551" t="str">
        <f t="shared" ref="CO83:CO88" si="223">IF(AND(CM83&gt;0,CN83&gt;0),CN83-CM83,"0")</f>
        <v>0</v>
      </c>
      <c r="CP83" s="549"/>
      <c r="CQ83" s="549"/>
      <c r="CR83" s="551" t="str">
        <f t="shared" si="168"/>
        <v>0</v>
      </c>
      <c r="CS83" s="552"/>
      <c r="CT83" s="546"/>
      <c r="CU83" s="551" t="str">
        <f t="shared" si="169"/>
        <v>0</v>
      </c>
      <c r="CV83" s="552"/>
      <c r="CW83" s="546"/>
      <c r="CX83" s="551" t="str">
        <f t="shared" si="170"/>
        <v>0</v>
      </c>
      <c r="CY83" s="552"/>
      <c r="CZ83" s="553"/>
      <c r="DA83" s="551" t="str">
        <f t="shared" si="171"/>
        <v>0</v>
      </c>
      <c r="DB83" s="457"/>
      <c r="DC83" s="554"/>
      <c r="DD83" s="533"/>
      <c r="DE83" s="534"/>
      <c r="DF83" s="535" t="str">
        <f t="shared" si="172"/>
        <v>0</v>
      </c>
      <c r="DG83" s="533"/>
      <c r="DH83" s="703">
        <v>43845</v>
      </c>
      <c r="DI83" s="348"/>
      <c r="DJ83" s="446">
        <f t="shared" si="173"/>
        <v>1461.5</v>
      </c>
      <c r="DK83" s="535" t="str">
        <f t="shared" si="174"/>
        <v>0</v>
      </c>
      <c r="DL83" s="704">
        <v>12</v>
      </c>
      <c r="DM83" s="243">
        <f t="shared" si="175"/>
        <v>13</v>
      </c>
      <c r="DN83" s="533"/>
      <c r="DO83" s="534"/>
      <c r="DP83" s="535" t="str">
        <f t="shared" si="176"/>
        <v>0</v>
      </c>
      <c r="DQ83" s="533"/>
      <c r="DR83" s="557"/>
      <c r="DS83" s="536" t="str">
        <f t="shared" si="177"/>
        <v>0</v>
      </c>
      <c r="DT83" s="537"/>
      <c r="DU83" s="538"/>
      <c r="DV83" s="535" t="str">
        <f t="shared" si="178"/>
        <v>0</v>
      </c>
      <c r="DW83" s="534"/>
      <c r="DX83" s="539"/>
      <c r="DY83" s="535" t="str">
        <f t="shared" si="179"/>
        <v>0</v>
      </c>
      <c r="DZ83" s="541"/>
      <c r="EA83" s="541"/>
      <c r="EB83" s="535" t="str">
        <f t="shared" si="180"/>
        <v>0</v>
      </c>
      <c r="EC83" s="541"/>
      <c r="ED83" s="541"/>
      <c r="EE83" s="535" t="str">
        <f t="shared" si="181"/>
        <v>0</v>
      </c>
      <c r="EF83" s="541"/>
      <c r="EG83" s="539">
        <f t="shared" ca="1" si="131"/>
        <v>43332</v>
      </c>
      <c r="EH83" s="535" t="str">
        <f t="shared" ca="1" si="182"/>
        <v>0</v>
      </c>
      <c r="EI83" s="541"/>
      <c r="EJ83" s="541"/>
      <c r="EK83" s="541"/>
      <c r="EL83" s="760">
        <f t="shared" si="183"/>
        <v>44211</v>
      </c>
      <c r="EM83" s="759">
        <f t="shared" si="215"/>
        <v>44242</v>
      </c>
      <c r="EN83" s="756">
        <f t="shared" si="184"/>
        <v>1.0333333333333334</v>
      </c>
      <c r="EO83" s="467"/>
      <c r="EP83" s="186"/>
      <c r="EQ83" s="244"/>
      <c r="ER83" s="186">
        <f t="shared" si="216"/>
        <v>44270</v>
      </c>
      <c r="ES83" s="467"/>
      <c r="ET83" s="796">
        <f t="shared" si="185"/>
        <v>44242</v>
      </c>
      <c r="EU83" s="759">
        <f t="shared" si="217"/>
        <v>44301</v>
      </c>
      <c r="EV83" s="414"/>
      <c r="EW83" s="754">
        <f t="shared" si="186"/>
        <v>1.9666666666666666</v>
      </c>
      <c r="EX83" s="722"/>
      <c r="EY83" s="247">
        <f t="shared" si="187"/>
        <v>0</v>
      </c>
      <c r="EZ83" s="118"/>
      <c r="FA83" s="562"/>
      <c r="FB83" s="562">
        <v>0</v>
      </c>
      <c r="FC83" s="562"/>
      <c r="FD83" s="562"/>
      <c r="FE83" s="562"/>
      <c r="FF83" s="562"/>
      <c r="FG83" s="559"/>
      <c r="FH83" s="571"/>
      <c r="FI83" s="559"/>
      <c r="FJ83" s="559"/>
      <c r="FK83" s="122"/>
      <c r="FL83" s="122"/>
      <c r="FM83" s="122"/>
      <c r="FN83" s="122"/>
      <c r="FO83" s="122"/>
      <c r="FP83" s="50"/>
      <c r="FQ83" s="279">
        <f t="shared" si="162"/>
        <v>44607</v>
      </c>
      <c r="FR83" s="279"/>
      <c r="FS83" s="50"/>
      <c r="FT83" s="50"/>
      <c r="FU83" s="50"/>
      <c r="FV83" s="50"/>
      <c r="FW83" s="50"/>
      <c r="FX83" s="50"/>
      <c r="FY83" s="50"/>
      <c r="FZ83" s="50"/>
      <c r="GA83" s="50"/>
      <c r="GB83" s="50"/>
      <c r="GC83" s="50"/>
      <c r="GD83" s="50"/>
      <c r="GE83" s="50"/>
      <c r="GF83" s="113"/>
      <c r="GG83" s="113"/>
      <c r="GH83" s="390">
        <f t="shared" si="206"/>
        <v>5522950</v>
      </c>
      <c r="GI83" s="390"/>
      <c r="GJ83" s="390">
        <f t="shared" si="192"/>
        <v>-5522950</v>
      </c>
      <c r="GK83" s="390" t="e">
        <f t="shared" si="208"/>
        <v>#DIV/0!</v>
      </c>
      <c r="GL83" s="390">
        <f t="shared" si="209"/>
        <v>0</v>
      </c>
      <c r="GM83" s="390"/>
      <c r="GN83" s="390"/>
      <c r="GO83" s="390">
        <f t="shared" si="193"/>
        <v>0</v>
      </c>
      <c r="GP83" s="107" t="e">
        <f t="shared" si="194"/>
        <v>#DIV/0!</v>
      </c>
      <c r="GQ83" s="107">
        <v>0.4</v>
      </c>
      <c r="GR83" s="390">
        <v>1883035</v>
      </c>
      <c r="GS83" s="390"/>
      <c r="GT83" s="390"/>
      <c r="GU83" s="390">
        <f t="shared" si="218"/>
        <v>49553.552631578947</v>
      </c>
      <c r="GV83" s="390"/>
      <c r="GW83" s="390">
        <v>3389915</v>
      </c>
      <c r="GX83" s="390">
        <f t="shared" ref="GX83:GX88" si="224">GY83+GZ83</f>
        <v>0</v>
      </c>
      <c r="GY83" s="390"/>
      <c r="GZ83" s="390"/>
      <c r="HA83" s="390">
        <f t="shared" si="196"/>
        <v>-3389915</v>
      </c>
      <c r="HB83" s="698">
        <f t="shared" si="211"/>
        <v>0</v>
      </c>
      <c r="HC83" s="390"/>
      <c r="HD83" s="390">
        <v>250000</v>
      </c>
      <c r="HE83" s="390"/>
      <c r="HF83" s="390"/>
      <c r="HG83" s="396" t="e">
        <f t="shared" si="188"/>
        <v>#DIV/0!</v>
      </c>
      <c r="HH83" s="396"/>
      <c r="HI83" s="390"/>
      <c r="HJ83" s="390">
        <f t="shared" si="148"/>
        <v>-250000</v>
      </c>
      <c r="HK83" s="390">
        <f t="shared" si="189"/>
        <v>0</v>
      </c>
      <c r="HL83" s="393">
        <f t="shared" si="190"/>
        <v>0</v>
      </c>
      <c r="HM83" s="390">
        <f t="shared" si="219"/>
        <v>-6578.9473684210525</v>
      </c>
      <c r="HN83" s="394">
        <v>6.31</v>
      </c>
      <c r="HO83" s="394"/>
      <c r="HP83" s="390"/>
      <c r="HQ83" s="390"/>
      <c r="HR83" s="390">
        <f t="shared" si="220"/>
        <v>56132.5</v>
      </c>
      <c r="HS83" s="390"/>
      <c r="HT83" s="390">
        <f t="shared" si="221"/>
        <v>0</v>
      </c>
      <c r="HU83" s="107">
        <f t="shared" si="143"/>
        <v>0.38621298400311427</v>
      </c>
      <c r="HV83" s="390"/>
      <c r="HW83" s="390"/>
      <c r="HX83" s="390">
        <f t="shared" si="161"/>
        <v>0</v>
      </c>
      <c r="HY83" s="395">
        <f t="shared" si="197"/>
        <v>5522950</v>
      </c>
      <c r="HZ83" s="276"/>
      <c r="IA83" s="276">
        <f t="shared" si="150"/>
        <v>0</v>
      </c>
      <c r="IB83" s="277"/>
      <c r="IC83" s="280">
        <v>0</v>
      </c>
      <c r="ID83" s="280"/>
      <c r="IE83" s="254"/>
      <c r="IF83" s="254"/>
      <c r="IG83" s="388">
        <v>0</v>
      </c>
      <c r="IH83" s="262"/>
      <c r="II83" s="273">
        <v>0</v>
      </c>
      <c r="IJ83" s="262"/>
      <c r="IK83" s="466"/>
      <c r="IL83" s="278"/>
      <c r="IM83" s="283"/>
      <c r="IN83" s="281"/>
      <c r="IO83" s="281"/>
      <c r="IP83" s="275"/>
      <c r="IQ83" s="276"/>
      <c r="IR83" s="275"/>
      <c r="IS83" s="276"/>
      <c r="IT83" s="299"/>
      <c r="IU83" s="299"/>
      <c r="IV83" s="299"/>
      <c r="IW83" s="299"/>
      <c r="IX83" s="268"/>
      <c r="IY83" s="268"/>
      <c r="IZ83" s="268"/>
      <c r="JA83" s="268"/>
      <c r="JB83" s="268"/>
      <c r="JC83" s="268"/>
      <c r="JD83" s="280" t="e">
        <f t="shared" si="222"/>
        <v>#VALUE!</v>
      </c>
      <c r="JE83" s="118"/>
      <c r="JF83" s="278"/>
      <c r="JG83" s="118"/>
      <c r="JH83" s="118"/>
      <c r="JI83" s="278"/>
    </row>
    <row r="84" spans="1:269" ht="15" customHeight="1">
      <c r="A84" s="293" t="s">
        <v>464</v>
      </c>
      <c r="B84" s="50" t="s">
        <v>28</v>
      </c>
      <c r="C84" s="50" t="s">
        <v>110</v>
      </c>
      <c r="D84" s="50">
        <v>2019</v>
      </c>
      <c r="E84" s="50"/>
      <c r="F84" s="50" t="s">
        <v>441</v>
      </c>
      <c r="G84" s="50" t="s">
        <v>177</v>
      </c>
      <c r="H84" s="50" t="s">
        <v>412</v>
      </c>
      <c r="I84" s="50"/>
      <c r="J84" s="50" t="s">
        <v>490</v>
      </c>
      <c r="K84" s="256" t="s">
        <v>488</v>
      </c>
      <c r="L84" s="166" t="s">
        <v>61</v>
      </c>
      <c r="M84" s="304" t="s">
        <v>486</v>
      </c>
      <c r="N84" s="305" t="s">
        <v>487</v>
      </c>
      <c r="O84" s="233"/>
      <c r="P84" s="233"/>
      <c r="Q84" s="233"/>
      <c r="R84" s="233"/>
      <c r="S84" s="233"/>
      <c r="T84" s="613"/>
      <c r="U84" s="613"/>
      <c r="V84" s="613"/>
      <c r="W84" s="233"/>
      <c r="X84" s="208"/>
      <c r="Y84" s="216" t="e">
        <f t="shared" si="213"/>
        <v>#DIV/0!</v>
      </c>
      <c r="Z84" s="208"/>
      <c r="AA84" s="208"/>
      <c r="AB84" s="209"/>
      <c r="AC84" s="50" t="s">
        <v>440</v>
      </c>
      <c r="AD84" s="318">
        <f t="shared" si="212"/>
        <v>30</v>
      </c>
      <c r="AE84" s="61"/>
      <c r="AF84" s="115"/>
      <c r="AG84" s="115"/>
      <c r="AH84" s="193">
        <v>30</v>
      </c>
      <c r="AI84" s="268"/>
      <c r="AJ84" s="54"/>
      <c r="AK84" s="54"/>
      <c r="AL84" s="89"/>
      <c r="AM84" s="7"/>
      <c r="AN84" s="75"/>
      <c r="AO84" s="75"/>
      <c r="AP84" s="75"/>
      <c r="AQ84" s="75"/>
      <c r="AR84" s="75"/>
      <c r="AS84" s="54"/>
      <c r="AT84" s="73"/>
      <c r="AU84" s="75"/>
      <c r="AV84" s="54"/>
      <c r="AW84" s="50"/>
      <c r="AX84" s="50"/>
      <c r="AY84" s="785"/>
      <c r="AZ84" s="50"/>
      <c r="BA84" s="50"/>
      <c r="BB84" s="50"/>
      <c r="BC84" s="110"/>
      <c r="BD84" s="110"/>
      <c r="BE84" s="94"/>
      <c r="BF84" s="204"/>
      <c r="BG84" s="96"/>
      <c r="BH84" s="96"/>
      <c r="BI84" s="204"/>
      <c r="BJ84" s="96"/>
      <c r="BK84" s="160"/>
      <c r="BL84" s="203"/>
      <c r="BM84" s="160"/>
      <c r="BN84" s="160"/>
      <c r="BO84" s="298">
        <f t="shared" si="135"/>
        <v>0</v>
      </c>
      <c r="BP84" s="297">
        <f t="shared" si="136"/>
        <v>731</v>
      </c>
      <c r="BQ84" s="297">
        <f t="shared" si="144"/>
        <v>1096</v>
      </c>
      <c r="BR84" s="297"/>
      <c r="BS84" s="297" t="str">
        <f t="shared" si="214"/>
        <v>oui</v>
      </c>
      <c r="BT84" s="686" t="e">
        <f t="shared" si="164"/>
        <v>#NUM!</v>
      </c>
      <c r="BU84" s="686" t="e">
        <f t="shared" si="165"/>
        <v>#NUM!</v>
      </c>
      <c r="BV84" s="686" t="e">
        <f t="shared" si="166"/>
        <v>#NUM!</v>
      </c>
      <c r="BW84" s="160"/>
      <c r="BX84" s="165"/>
      <c r="BY84" s="97"/>
      <c r="BZ84" s="98"/>
      <c r="CA84" s="98"/>
      <c r="CB84" s="98"/>
      <c r="CC84" s="158"/>
      <c r="CD84" s="251"/>
      <c r="CE84" s="251"/>
      <c r="CF84" s="157"/>
      <c r="CG84" s="251"/>
      <c r="CH84" s="251"/>
      <c r="CI84" s="251"/>
      <c r="CJ84" s="408"/>
      <c r="CK84" s="408"/>
      <c r="CL84" s="546"/>
      <c r="CM84" s="547"/>
      <c r="CN84" s="547"/>
      <c r="CO84" s="551" t="str">
        <f t="shared" si="223"/>
        <v>0</v>
      </c>
      <c r="CP84" s="549"/>
      <c r="CQ84" s="549"/>
      <c r="CR84" s="551" t="str">
        <f t="shared" si="168"/>
        <v>0</v>
      </c>
      <c r="CS84" s="552"/>
      <c r="CT84" s="546"/>
      <c r="CU84" s="551" t="str">
        <f t="shared" si="169"/>
        <v>0</v>
      </c>
      <c r="CV84" s="552"/>
      <c r="CW84" s="546"/>
      <c r="CX84" s="551" t="str">
        <f t="shared" si="170"/>
        <v>0</v>
      </c>
      <c r="CY84" s="552"/>
      <c r="CZ84" s="553"/>
      <c r="DA84" s="551" t="str">
        <f t="shared" si="171"/>
        <v>0</v>
      </c>
      <c r="DB84" s="457"/>
      <c r="DC84" s="554"/>
      <c r="DD84" s="533"/>
      <c r="DE84" s="534"/>
      <c r="DF84" s="535" t="str">
        <f t="shared" si="172"/>
        <v>0</v>
      </c>
      <c r="DG84" s="533"/>
      <c r="DH84" s="703">
        <v>43845</v>
      </c>
      <c r="DI84" s="348"/>
      <c r="DJ84" s="446">
        <f t="shared" si="173"/>
        <v>1461.5</v>
      </c>
      <c r="DK84" s="535" t="str">
        <f t="shared" si="174"/>
        <v>0</v>
      </c>
      <c r="DL84" s="704">
        <v>12</v>
      </c>
      <c r="DM84" s="243">
        <f t="shared" si="175"/>
        <v>13</v>
      </c>
      <c r="DN84" s="533"/>
      <c r="DO84" s="534"/>
      <c r="DP84" s="535" t="str">
        <f t="shared" si="176"/>
        <v>0</v>
      </c>
      <c r="DQ84" s="533"/>
      <c r="DR84" s="557"/>
      <c r="DS84" s="536" t="str">
        <f t="shared" si="177"/>
        <v>0</v>
      </c>
      <c r="DT84" s="537"/>
      <c r="DU84" s="538"/>
      <c r="DV84" s="535" t="str">
        <f t="shared" si="178"/>
        <v>0</v>
      </c>
      <c r="DW84" s="534"/>
      <c r="DX84" s="539"/>
      <c r="DY84" s="535" t="str">
        <f t="shared" si="179"/>
        <v>0</v>
      </c>
      <c r="DZ84" s="541"/>
      <c r="EA84" s="541"/>
      <c r="EB84" s="535" t="str">
        <f t="shared" si="180"/>
        <v>0</v>
      </c>
      <c r="EC84" s="541"/>
      <c r="ED84" s="541"/>
      <c r="EE84" s="535" t="str">
        <f t="shared" si="181"/>
        <v>0</v>
      </c>
      <c r="EF84" s="541"/>
      <c r="EG84" s="539">
        <f t="shared" ca="1" si="131"/>
        <v>43332</v>
      </c>
      <c r="EH84" s="535" t="str">
        <f t="shared" ca="1" si="182"/>
        <v>0</v>
      </c>
      <c r="EI84" s="541"/>
      <c r="EJ84" s="541"/>
      <c r="EK84" s="541"/>
      <c r="EL84" s="760">
        <f t="shared" si="183"/>
        <v>44211</v>
      </c>
      <c r="EM84" s="759">
        <f t="shared" si="215"/>
        <v>44242</v>
      </c>
      <c r="EN84" s="756">
        <f t="shared" si="184"/>
        <v>1.0333333333333334</v>
      </c>
      <c r="EO84" s="467"/>
      <c r="EP84" s="186"/>
      <c r="EQ84" s="244"/>
      <c r="ER84" s="186">
        <f t="shared" si="216"/>
        <v>44270</v>
      </c>
      <c r="ES84" s="467"/>
      <c r="ET84" s="796">
        <f t="shared" si="185"/>
        <v>44242</v>
      </c>
      <c r="EU84" s="759">
        <f t="shared" si="217"/>
        <v>44301</v>
      </c>
      <c r="EV84" s="414"/>
      <c r="EW84" s="754">
        <f t="shared" si="186"/>
        <v>1.9666666666666666</v>
      </c>
      <c r="EX84" s="722"/>
      <c r="EY84" s="247">
        <f t="shared" si="187"/>
        <v>0</v>
      </c>
      <c r="EZ84" s="118"/>
      <c r="FA84" s="562"/>
      <c r="FB84" s="562">
        <v>0</v>
      </c>
      <c r="FC84" s="562"/>
      <c r="FD84" s="562"/>
      <c r="FE84" s="562"/>
      <c r="FF84" s="562"/>
      <c r="FG84" s="559"/>
      <c r="FH84" s="571"/>
      <c r="FI84" s="559"/>
      <c r="FJ84" s="559"/>
      <c r="FK84" s="122"/>
      <c r="FL84" s="122"/>
      <c r="FM84" s="122"/>
      <c r="FN84" s="122"/>
      <c r="FO84" s="122"/>
      <c r="FP84" s="50"/>
      <c r="FQ84" s="279">
        <f t="shared" si="162"/>
        <v>44607</v>
      </c>
      <c r="FR84" s="279"/>
      <c r="FS84" s="50"/>
      <c r="FT84" s="50"/>
      <c r="FU84" s="50"/>
      <c r="FV84" s="50"/>
      <c r="FW84" s="50"/>
      <c r="FX84" s="50"/>
      <c r="FY84" s="50"/>
      <c r="FZ84" s="50"/>
      <c r="GA84" s="50"/>
      <c r="GB84" s="50"/>
      <c r="GC84" s="50"/>
      <c r="GD84" s="50"/>
      <c r="GE84" s="50"/>
      <c r="GF84" s="113"/>
      <c r="GG84" s="113"/>
      <c r="GH84" s="390">
        <f t="shared" si="206"/>
        <v>5522950</v>
      </c>
      <c r="GI84" s="390"/>
      <c r="GJ84" s="390">
        <f t="shared" si="192"/>
        <v>-5522950</v>
      </c>
      <c r="GK84" s="390" t="e">
        <f t="shared" si="208"/>
        <v>#DIV/0!</v>
      </c>
      <c r="GL84" s="390">
        <f t="shared" si="209"/>
        <v>0</v>
      </c>
      <c r="GM84" s="390"/>
      <c r="GN84" s="390"/>
      <c r="GO84" s="390">
        <f t="shared" si="193"/>
        <v>0</v>
      </c>
      <c r="GP84" s="107" t="e">
        <f t="shared" si="194"/>
        <v>#DIV/0!</v>
      </c>
      <c r="GQ84" s="107">
        <v>0.4</v>
      </c>
      <c r="GR84" s="390">
        <v>1883035</v>
      </c>
      <c r="GS84" s="390"/>
      <c r="GT84" s="390"/>
      <c r="GU84" s="390">
        <f t="shared" si="218"/>
        <v>62767.833333333336</v>
      </c>
      <c r="GV84" s="390"/>
      <c r="GW84" s="390">
        <v>3389915</v>
      </c>
      <c r="GX84" s="390">
        <f t="shared" si="224"/>
        <v>0</v>
      </c>
      <c r="GY84" s="390"/>
      <c r="GZ84" s="390"/>
      <c r="HA84" s="390">
        <f t="shared" si="196"/>
        <v>-3389915</v>
      </c>
      <c r="HB84" s="698">
        <f t="shared" si="211"/>
        <v>0</v>
      </c>
      <c r="HC84" s="390"/>
      <c r="HD84" s="390">
        <v>250000</v>
      </c>
      <c r="HE84" s="390"/>
      <c r="HF84" s="390"/>
      <c r="HG84" s="396" t="e">
        <f t="shared" si="188"/>
        <v>#DIV/0!</v>
      </c>
      <c r="HH84" s="396"/>
      <c r="HI84" s="390"/>
      <c r="HJ84" s="390">
        <f t="shared" si="148"/>
        <v>-250000</v>
      </c>
      <c r="HK84" s="390">
        <f t="shared" si="189"/>
        <v>0</v>
      </c>
      <c r="HL84" s="393">
        <f t="shared" si="190"/>
        <v>0</v>
      </c>
      <c r="HM84" s="390">
        <f t="shared" si="219"/>
        <v>-8333.3333333333339</v>
      </c>
      <c r="HN84" s="394">
        <v>6.31</v>
      </c>
      <c r="HO84" s="394"/>
      <c r="HP84" s="390"/>
      <c r="HQ84" s="390"/>
      <c r="HR84" s="390">
        <f t="shared" si="220"/>
        <v>71101.166666666672</v>
      </c>
      <c r="HS84" s="390"/>
      <c r="HT84" s="390">
        <f t="shared" si="221"/>
        <v>0</v>
      </c>
      <c r="HU84" s="107">
        <f t="shared" si="143"/>
        <v>0.38621298400311427</v>
      </c>
      <c r="HV84" s="390"/>
      <c r="HW84" s="390"/>
      <c r="HX84" s="390">
        <f t="shared" si="161"/>
        <v>0</v>
      </c>
      <c r="HY84" s="395">
        <f t="shared" si="197"/>
        <v>5522950</v>
      </c>
      <c r="HZ84" s="276"/>
      <c r="IA84" s="276">
        <f t="shared" si="150"/>
        <v>0</v>
      </c>
      <c r="IB84" s="277"/>
      <c r="IC84" s="280">
        <v>0</v>
      </c>
      <c r="ID84" s="280"/>
      <c r="IE84" s="254"/>
      <c r="IF84" s="254"/>
      <c r="IG84" s="388">
        <v>0</v>
      </c>
      <c r="IH84" s="262"/>
      <c r="II84" s="273">
        <v>0</v>
      </c>
      <c r="IJ84" s="262"/>
      <c r="IK84" s="466"/>
      <c r="IL84" s="278"/>
      <c r="IM84" s="283"/>
      <c r="IN84" s="281"/>
      <c r="IO84" s="281"/>
      <c r="IP84" s="275"/>
      <c r="IQ84" s="276"/>
      <c r="IR84" s="275"/>
      <c r="IS84" s="276"/>
      <c r="IT84" s="299"/>
      <c r="IU84" s="299"/>
      <c r="IV84" s="299"/>
      <c r="IW84" s="299"/>
      <c r="IX84" s="268"/>
      <c r="IY84" s="268"/>
      <c r="IZ84" s="268"/>
      <c r="JA84" s="268"/>
      <c r="JB84" s="268"/>
      <c r="JC84" s="268"/>
      <c r="JD84" s="280" t="e">
        <f t="shared" si="222"/>
        <v>#VALUE!</v>
      </c>
      <c r="JE84" s="118"/>
      <c r="JF84" s="278"/>
      <c r="JG84" s="118"/>
      <c r="JH84" s="118"/>
      <c r="JI84" s="278"/>
    </row>
    <row r="85" spans="1:269" ht="15" customHeight="1">
      <c r="A85" s="293" t="s">
        <v>465</v>
      </c>
      <c r="B85" s="50" t="s">
        <v>28</v>
      </c>
      <c r="C85" s="50" t="s">
        <v>110</v>
      </c>
      <c r="D85" s="50">
        <v>2019</v>
      </c>
      <c r="E85" s="50"/>
      <c r="F85" s="50" t="s">
        <v>441</v>
      </c>
      <c r="G85" s="50"/>
      <c r="H85" s="50" t="s">
        <v>412</v>
      </c>
      <c r="I85" s="50"/>
      <c r="J85" s="50" t="s">
        <v>489</v>
      </c>
      <c r="K85" s="256" t="s">
        <v>488</v>
      </c>
      <c r="L85" s="166" t="s">
        <v>61</v>
      </c>
      <c r="M85" s="304" t="s">
        <v>486</v>
      </c>
      <c r="N85" s="305" t="s">
        <v>487</v>
      </c>
      <c r="O85" s="233"/>
      <c r="P85" s="233"/>
      <c r="Q85" s="233"/>
      <c r="R85" s="233"/>
      <c r="S85" s="233"/>
      <c r="T85" s="613"/>
      <c r="U85" s="613"/>
      <c r="V85" s="613"/>
      <c r="W85" s="233"/>
      <c r="X85" s="208"/>
      <c r="Y85" s="216" t="e">
        <f t="shared" si="213"/>
        <v>#DIV/0!</v>
      </c>
      <c r="Z85" s="208"/>
      <c r="AA85" s="208"/>
      <c r="AB85" s="209"/>
      <c r="AC85" s="50" t="s">
        <v>440</v>
      </c>
      <c r="AD85" s="318">
        <f t="shared" si="212"/>
        <v>32</v>
      </c>
      <c r="AE85" s="61"/>
      <c r="AF85" s="115"/>
      <c r="AG85" s="115"/>
      <c r="AH85" s="193">
        <v>32</v>
      </c>
      <c r="AI85" s="268"/>
      <c r="AJ85" s="54"/>
      <c r="AK85" s="54"/>
      <c r="AL85" s="89"/>
      <c r="AM85" s="54"/>
      <c r="AN85" s="75"/>
      <c r="AO85" s="75"/>
      <c r="AP85" s="75"/>
      <c r="AQ85" s="75"/>
      <c r="AR85" s="75"/>
      <c r="AS85" s="54"/>
      <c r="AT85" s="73"/>
      <c r="AU85" s="75"/>
      <c r="AV85" s="54"/>
      <c r="AW85" s="50"/>
      <c r="AX85" s="50"/>
      <c r="AY85" s="785"/>
      <c r="AZ85" s="50"/>
      <c r="BA85" s="50"/>
      <c r="BB85" s="50"/>
      <c r="BC85" s="110"/>
      <c r="BD85" s="110"/>
      <c r="BE85" s="94"/>
      <c r="BF85" s="204"/>
      <c r="BG85" s="96"/>
      <c r="BH85" s="96"/>
      <c r="BI85" s="204"/>
      <c r="BJ85" s="96"/>
      <c r="BK85" s="160"/>
      <c r="BL85" s="203"/>
      <c r="BM85" s="160"/>
      <c r="BN85" s="160"/>
      <c r="BO85" s="298">
        <f t="shared" si="135"/>
        <v>0</v>
      </c>
      <c r="BP85" s="297">
        <f t="shared" si="136"/>
        <v>731</v>
      </c>
      <c r="BQ85" s="297">
        <f t="shared" si="144"/>
        <v>1096</v>
      </c>
      <c r="BR85" s="297"/>
      <c r="BS85" s="297" t="str">
        <f t="shared" si="214"/>
        <v>oui</v>
      </c>
      <c r="BT85" s="686" t="e">
        <f t="shared" si="164"/>
        <v>#NUM!</v>
      </c>
      <c r="BU85" s="686" t="e">
        <f t="shared" si="165"/>
        <v>#NUM!</v>
      </c>
      <c r="BV85" s="686" t="e">
        <f t="shared" si="166"/>
        <v>#NUM!</v>
      </c>
      <c r="BW85" s="160"/>
      <c r="BX85" s="165"/>
      <c r="BY85" s="97"/>
      <c r="BZ85" s="98"/>
      <c r="CA85" s="98"/>
      <c r="CB85" s="98"/>
      <c r="CC85" s="158"/>
      <c r="CD85" s="251"/>
      <c r="CE85" s="251"/>
      <c r="CF85" s="157"/>
      <c r="CG85" s="251"/>
      <c r="CH85" s="251"/>
      <c r="CI85" s="251"/>
      <c r="CJ85" s="408"/>
      <c r="CK85" s="408"/>
      <c r="CL85" s="546"/>
      <c r="CM85" s="547"/>
      <c r="CN85" s="547"/>
      <c r="CO85" s="551" t="str">
        <f t="shared" si="223"/>
        <v>0</v>
      </c>
      <c r="CP85" s="549"/>
      <c r="CQ85" s="549"/>
      <c r="CR85" s="551" t="str">
        <f t="shared" si="168"/>
        <v>0</v>
      </c>
      <c r="CS85" s="552"/>
      <c r="CT85" s="546"/>
      <c r="CU85" s="551" t="str">
        <f t="shared" si="169"/>
        <v>0</v>
      </c>
      <c r="CV85" s="552"/>
      <c r="CW85" s="546"/>
      <c r="CX85" s="551" t="str">
        <f t="shared" si="170"/>
        <v>0</v>
      </c>
      <c r="CY85" s="552"/>
      <c r="CZ85" s="553"/>
      <c r="DA85" s="551" t="str">
        <f t="shared" si="171"/>
        <v>0</v>
      </c>
      <c r="DB85" s="457"/>
      <c r="DC85" s="554"/>
      <c r="DD85" s="533"/>
      <c r="DE85" s="534"/>
      <c r="DF85" s="535" t="str">
        <f t="shared" si="172"/>
        <v>0</v>
      </c>
      <c r="DG85" s="533"/>
      <c r="DH85" s="703">
        <v>43845</v>
      </c>
      <c r="DI85" s="348"/>
      <c r="DJ85" s="446">
        <f t="shared" si="173"/>
        <v>1461.5</v>
      </c>
      <c r="DK85" s="535" t="str">
        <f t="shared" si="174"/>
        <v>0</v>
      </c>
      <c r="DL85" s="704">
        <v>12</v>
      </c>
      <c r="DM85" s="243">
        <f t="shared" si="175"/>
        <v>13</v>
      </c>
      <c r="DN85" s="533"/>
      <c r="DO85" s="534"/>
      <c r="DP85" s="535" t="str">
        <f t="shared" si="176"/>
        <v>0</v>
      </c>
      <c r="DQ85" s="533"/>
      <c r="DR85" s="557"/>
      <c r="DS85" s="536" t="str">
        <f t="shared" si="177"/>
        <v>0</v>
      </c>
      <c r="DT85" s="537"/>
      <c r="DU85" s="538"/>
      <c r="DV85" s="535" t="str">
        <f t="shared" si="178"/>
        <v>0</v>
      </c>
      <c r="DW85" s="534"/>
      <c r="DX85" s="539"/>
      <c r="DY85" s="535" t="str">
        <f t="shared" si="179"/>
        <v>0</v>
      </c>
      <c r="DZ85" s="541"/>
      <c r="EA85" s="541"/>
      <c r="EB85" s="535" t="str">
        <f t="shared" si="180"/>
        <v>0</v>
      </c>
      <c r="EC85" s="541"/>
      <c r="ED85" s="541"/>
      <c r="EE85" s="535" t="str">
        <f t="shared" si="181"/>
        <v>0</v>
      </c>
      <c r="EF85" s="541"/>
      <c r="EG85" s="539">
        <f t="shared" ca="1" si="131"/>
        <v>43332</v>
      </c>
      <c r="EH85" s="535" t="str">
        <f t="shared" ca="1" si="182"/>
        <v>0</v>
      </c>
      <c r="EI85" s="541"/>
      <c r="EJ85" s="541"/>
      <c r="EK85" s="541"/>
      <c r="EL85" s="760">
        <f t="shared" si="183"/>
        <v>44211</v>
      </c>
      <c r="EM85" s="759">
        <f t="shared" si="215"/>
        <v>44242</v>
      </c>
      <c r="EN85" s="756">
        <f t="shared" si="184"/>
        <v>1.0333333333333334</v>
      </c>
      <c r="EO85" s="467"/>
      <c r="EP85" s="186"/>
      <c r="EQ85" s="244"/>
      <c r="ER85" s="186">
        <f t="shared" si="216"/>
        <v>44270</v>
      </c>
      <c r="ES85" s="467"/>
      <c r="ET85" s="796">
        <f t="shared" si="185"/>
        <v>44242</v>
      </c>
      <c r="EU85" s="759">
        <f t="shared" si="217"/>
        <v>44301</v>
      </c>
      <c r="EV85" s="414"/>
      <c r="EW85" s="754">
        <f t="shared" si="186"/>
        <v>1.9666666666666666</v>
      </c>
      <c r="EX85" s="722"/>
      <c r="EY85" s="247">
        <f t="shared" si="187"/>
        <v>0</v>
      </c>
      <c r="EZ85" s="118"/>
      <c r="FA85" s="562"/>
      <c r="FB85" s="562">
        <v>0</v>
      </c>
      <c r="FC85" s="562"/>
      <c r="FD85" s="562"/>
      <c r="FE85" s="562"/>
      <c r="FF85" s="562"/>
      <c r="FG85" s="559"/>
      <c r="FH85" s="571"/>
      <c r="FI85" s="559"/>
      <c r="FJ85" s="559"/>
      <c r="FK85" s="122"/>
      <c r="FL85" s="122"/>
      <c r="FM85" s="122"/>
      <c r="FN85" s="122"/>
      <c r="FO85" s="122"/>
      <c r="FP85" s="50"/>
      <c r="FQ85" s="279">
        <f t="shared" si="162"/>
        <v>44607</v>
      </c>
      <c r="FR85" s="279"/>
      <c r="FS85" s="50"/>
      <c r="FT85" s="50"/>
      <c r="FU85" s="50"/>
      <c r="FV85" s="50"/>
      <c r="FW85" s="50"/>
      <c r="FX85" s="50"/>
      <c r="FY85" s="50"/>
      <c r="FZ85" s="50"/>
      <c r="GA85" s="50"/>
      <c r="GB85" s="50"/>
      <c r="GC85" s="50"/>
      <c r="GD85" s="50"/>
      <c r="GE85" s="50"/>
      <c r="GF85" s="113"/>
      <c r="GG85" s="113"/>
      <c r="GH85" s="390">
        <f t="shared" si="206"/>
        <v>5522950</v>
      </c>
      <c r="GI85" s="390"/>
      <c r="GJ85" s="390">
        <f t="shared" si="192"/>
        <v>-5522950</v>
      </c>
      <c r="GK85" s="390" t="e">
        <f t="shared" si="208"/>
        <v>#DIV/0!</v>
      </c>
      <c r="GL85" s="390">
        <f t="shared" si="209"/>
        <v>0</v>
      </c>
      <c r="GM85" s="390"/>
      <c r="GN85" s="390"/>
      <c r="GO85" s="390">
        <f t="shared" si="193"/>
        <v>0</v>
      </c>
      <c r="GP85" s="107" t="e">
        <f t="shared" si="194"/>
        <v>#DIV/0!</v>
      </c>
      <c r="GQ85" s="107">
        <v>0.4</v>
      </c>
      <c r="GR85" s="390">
        <v>1883035</v>
      </c>
      <c r="GS85" s="390"/>
      <c r="GT85" s="390"/>
      <c r="GU85" s="390">
        <f t="shared" si="218"/>
        <v>58844.84375</v>
      </c>
      <c r="GV85" s="390"/>
      <c r="GW85" s="390">
        <v>3389915</v>
      </c>
      <c r="GX85" s="390">
        <f t="shared" si="224"/>
        <v>0</v>
      </c>
      <c r="GY85" s="390"/>
      <c r="GZ85" s="390"/>
      <c r="HA85" s="390">
        <f t="shared" si="196"/>
        <v>-3389915</v>
      </c>
      <c r="HB85" s="698">
        <f t="shared" si="211"/>
        <v>0</v>
      </c>
      <c r="HC85" s="390"/>
      <c r="HD85" s="390">
        <v>250000</v>
      </c>
      <c r="HE85" s="390"/>
      <c r="HF85" s="390"/>
      <c r="HG85" s="396" t="e">
        <f t="shared" si="188"/>
        <v>#DIV/0!</v>
      </c>
      <c r="HH85" s="396"/>
      <c r="HI85" s="390"/>
      <c r="HJ85" s="390">
        <f t="shared" si="148"/>
        <v>-250000</v>
      </c>
      <c r="HK85" s="390">
        <f t="shared" si="189"/>
        <v>0</v>
      </c>
      <c r="HL85" s="393">
        <f t="shared" si="190"/>
        <v>0</v>
      </c>
      <c r="HM85" s="390">
        <f t="shared" si="219"/>
        <v>-7812.5</v>
      </c>
      <c r="HN85" s="394">
        <v>6.31</v>
      </c>
      <c r="HO85" s="394"/>
      <c r="HP85" s="390"/>
      <c r="HQ85" s="390"/>
      <c r="HR85" s="390">
        <f t="shared" si="220"/>
        <v>66657.34375</v>
      </c>
      <c r="HS85" s="390"/>
      <c r="HT85" s="390">
        <f t="shared" si="221"/>
        <v>0</v>
      </c>
      <c r="HU85" s="107">
        <f t="shared" si="143"/>
        <v>0.38621298400311427</v>
      </c>
      <c r="HV85" s="390"/>
      <c r="HW85" s="390"/>
      <c r="HX85" s="390">
        <f t="shared" si="161"/>
        <v>0</v>
      </c>
      <c r="HY85" s="397">
        <f t="shared" si="197"/>
        <v>5522950</v>
      </c>
      <c r="HZ85" s="276"/>
      <c r="IA85" s="276">
        <f t="shared" si="150"/>
        <v>0</v>
      </c>
      <c r="IB85" s="277"/>
      <c r="IC85" s="280">
        <v>0</v>
      </c>
      <c r="ID85" s="280"/>
      <c r="IE85" s="254"/>
      <c r="IF85" s="254"/>
      <c r="IG85" s="388">
        <v>0</v>
      </c>
      <c r="IH85" s="262"/>
      <c r="II85" s="273">
        <v>0</v>
      </c>
      <c r="IJ85" s="262"/>
      <c r="IK85" s="466"/>
      <c r="IL85" s="278"/>
      <c r="IM85" s="283"/>
      <c r="IN85" s="281"/>
      <c r="IO85" s="281"/>
      <c r="IP85" s="275"/>
      <c r="IQ85" s="276"/>
      <c r="IR85" s="275"/>
      <c r="IS85" s="276"/>
      <c r="IT85" s="299"/>
      <c r="IU85" s="299"/>
      <c r="IV85" s="299"/>
      <c r="IW85" s="299"/>
      <c r="IX85" s="268"/>
      <c r="IY85" s="268"/>
      <c r="IZ85" s="268"/>
      <c r="JA85" s="268"/>
      <c r="JB85" s="268"/>
      <c r="JC85" s="268"/>
      <c r="JD85" s="280" t="e">
        <f t="shared" si="222"/>
        <v>#VALUE!</v>
      </c>
      <c r="JE85" s="118"/>
      <c r="JF85" s="278"/>
      <c r="JG85" s="118"/>
      <c r="JH85" s="118"/>
      <c r="JI85" s="278"/>
    </row>
    <row r="86" spans="1:269" ht="15" customHeight="1">
      <c r="A86" s="293" t="s">
        <v>466</v>
      </c>
      <c r="B86" s="50" t="s">
        <v>35</v>
      </c>
      <c r="C86" s="50" t="s">
        <v>110</v>
      </c>
      <c r="D86" s="50">
        <v>2019</v>
      </c>
      <c r="E86" s="50"/>
      <c r="F86" s="50" t="s">
        <v>441</v>
      </c>
      <c r="G86" s="50"/>
      <c r="H86" s="50" t="s">
        <v>412</v>
      </c>
      <c r="I86" s="50"/>
      <c r="J86" s="50" t="s">
        <v>243</v>
      </c>
      <c r="K86" s="256" t="s">
        <v>494</v>
      </c>
      <c r="L86" s="166"/>
      <c r="M86" s="167"/>
      <c r="N86" s="168"/>
      <c r="O86" s="233"/>
      <c r="P86" s="233"/>
      <c r="Q86" s="233"/>
      <c r="R86" s="233"/>
      <c r="S86" s="233"/>
      <c r="T86" s="613"/>
      <c r="U86" s="613"/>
      <c r="V86" s="613"/>
      <c r="W86" s="233"/>
      <c r="X86" s="208"/>
      <c r="Y86" s="216" t="e">
        <f t="shared" si="213"/>
        <v>#DIV/0!</v>
      </c>
      <c r="Z86" s="208"/>
      <c r="AA86" s="208"/>
      <c r="AB86" s="209"/>
      <c r="AC86" s="50" t="s">
        <v>440</v>
      </c>
      <c r="AD86" s="318">
        <f t="shared" si="212"/>
        <v>83</v>
      </c>
      <c r="AE86" s="61"/>
      <c r="AF86" s="115"/>
      <c r="AG86" s="115"/>
      <c r="AH86" s="193">
        <v>83</v>
      </c>
      <c r="AI86" s="268"/>
      <c r="AJ86" s="54"/>
      <c r="AK86" s="54"/>
      <c r="AL86" s="89"/>
      <c r="AM86" s="54"/>
      <c r="AN86" s="75"/>
      <c r="AO86" s="75"/>
      <c r="AP86" s="75"/>
      <c r="AQ86" s="75"/>
      <c r="AR86" s="75"/>
      <c r="AS86" s="54"/>
      <c r="AT86" s="73"/>
      <c r="AU86" s="75"/>
      <c r="AV86" s="54"/>
      <c r="AW86" s="50"/>
      <c r="AX86" s="50"/>
      <c r="AY86" s="785"/>
      <c r="AZ86" s="50"/>
      <c r="BA86" s="50"/>
      <c r="BB86" s="50"/>
      <c r="BC86" s="110"/>
      <c r="BD86" s="110"/>
      <c r="BE86" s="94"/>
      <c r="BF86" s="204"/>
      <c r="BG86" s="96"/>
      <c r="BH86" s="96"/>
      <c r="BI86" s="204"/>
      <c r="BJ86" s="96"/>
      <c r="BK86" s="160"/>
      <c r="BL86" s="203"/>
      <c r="BM86" s="160"/>
      <c r="BN86" s="160"/>
      <c r="BO86" s="298">
        <f t="shared" si="135"/>
        <v>0</v>
      </c>
      <c r="BP86" s="297">
        <f t="shared" si="136"/>
        <v>731</v>
      </c>
      <c r="BQ86" s="297">
        <f t="shared" si="144"/>
        <v>1096</v>
      </c>
      <c r="BR86" s="297"/>
      <c r="BS86" s="297" t="str">
        <f t="shared" si="214"/>
        <v>oui</v>
      </c>
      <c r="BT86" s="686" t="e">
        <f t="shared" si="164"/>
        <v>#NUM!</v>
      </c>
      <c r="BU86" s="686" t="e">
        <f t="shared" si="165"/>
        <v>#NUM!</v>
      </c>
      <c r="BV86" s="686" t="e">
        <f t="shared" si="166"/>
        <v>#NUM!</v>
      </c>
      <c r="BW86" s="160"/>
      <c r="BX86" s="165"/>
      <c r="BY86" s="97"/>
      <c r="BZ86" s="98"/>
      <c r="CA86" s="98"/>
      <c r="CB86" s="98"/>
      <c r="CC86" s="158"/>
      <c r="CD86" s="251"/>
      <c r="CE86" s="251"/>
      <c r="CF86" s="157"/>
      <c r="CG86" s="251"/>
      <c r="CH86" s="251"/>
      <c r="CI86" s="251"/>
      <c r="CJ86" s="408"/>
      <c r="CK86" s="408"/>
      <c r="CL86" s="546"/>
      <c r="CM86" s="549"/>
      <c r="CN86" s="549"/>
      <c r="CO86" s="551" t="str">
        <f t="shared" si="223"/>
        <v>0</v>
      </c>
      <c r="CP86" s="549"/>
      <c r="CQ86" s="549"/>
      <c r="CR86" s="551" t="str">
        <f t="shared" si="168"/>
        <v>0</v>
      </c>
      <c r="CS86" s="549"/>
      <c r="CT86" s="549"/>
      <c r="CU86" s="551" t="str">
        <f t="shared" si="169"/>
        <v>0</v>
      </c>
      <c r="CV86" s="549"/>
      <c r="CW86" s="549"/>
      <c r="CX86" s="551" t="str">
        <f t="shared" si="170"/>
        <v>0</v>
      </c>
      <c r="CY86" s="552"/>
      <c r="CZ86" s="553"/>
      <c r="DA86" s="551" t="str">
        <f t="shared" si="171"/>
        <v>0</v>
      </c>
      <c r="DB86" s="457"/>
      <c r="DC86" s="554"/>
      <c r="DD86" s="533"/>
      <c r="DE86" s="534"/>
      <c r="DF86" s="535" t="str">
        <f t="shared" si="172"/>
        <v>0</v>
      </c>
      <c r="DG86" s="533"/>
      <c r="DH86" s="703">
        <v>43845</v>
      </c>
      <c r="DI86" s="348"/>
      <c r="DJ86" s="446">
        <f t="shared" si="173"/>
        <v>1461.5</v>
      </c>
      <c r="DK86" s="535" t="str">
        <f t="shared" si="174"/>
        <v>0</v>
      </c>
      <c r="DL86" s="704">
        <v>12</v>
      </c>
      <c r="DM86" s="243">
        <f t="shared" si="175"/>
        <v>13</v>
      </c>
      <c r="DN86" s="533"/>
      <c r="DO86" s="534"/>
      <c r="DP86" s="535" t="str">
        <f t="shared" si="176"/>
        <v>0</v>
      </c>
      <c r="DQ86" s="533"/>
      <c r="DR86" s="557"/>
      <c r="DS86" s="536" t="str">
        <f t="shared" si="177"/>
        <v>0</v>
      </c>
      <c r="DT86" s="537"/>
      <c r="DU86" s="538">
        <f ca="1">IF(DT86&lt;TODAY(),TODAY(),DT86)</f>
        <v>43332</v>
      </c>
      <c r="DV86" s="535" t="str">
        <f t="shared" ca="1" si="178"/>
        <v>0</v>
      </c>
      <c r="DW86" s="534"/>
      <c r="DX86" s="539"/>
      <c r="DY86" s="535" t="str">
        <f t="shared" si="179"/>
        <v>0</v>
      </c>
      <c r="DZ86" s="541"/>
      <c r="EA86" s="541"/>
      <c r="EB86" s="535" t="str">
        <f t="shared" si="180"/>
        <v>0</v>
      </c>
      <c r="EC86" s="541"/>
      <c r="ED86" s="541"/>
      <c r="EE86" s="535" t="str">
        <f t="shared" si="181"/>
        <v>0</v>
      </c>
      <c r="EF86" s="539"/>
      <c r="EG86" s="539">
        <f t="shared" ca="1" si="131"/>
        <v>43332</v>
      </c>
      <c r="EH86" s="535" t="str">
        <f t="shared" ca="1" si="182"/>
        <v>0</v>
      </c>
      <c r="EI86" s="541"/>
      <c r="EJ86" s="541"/>
      <c r="EK86" s="541"/>
      <c r="EL86" s="760">
        <f t="shared" si="183"/>
        <v>44211</v>
      </c>
      <c r="EM86" s="759">
        <f t="shared" si="215"/>
        <v>44242</v>
      </c>
      <c r="EN86" s="756">
        <f t="shared" si="184"/>
        <v>1.0333333333333334</v>
      </c>
      <c r="EO86" s="580"/>
      <c r="EP86" s="244"/>
      <c r="EQ86" s="244"/>
      <c r="ER86" s="186">
        <f t="shared" si="216"/>
        <v>44270</v>
      </c>
      <c r="ES86" s="467"/>
      <c r="ET86" s="578">
        <f t="shared" si="185"/>
        <v>44242</v>
      </c>
      <c r="EU86" s="759">
        <f t="shared" si="217"/>
        <v>44301</v>
      </c>
      <c r="EV86" s="581"/>
      <c r="EW86" s="753">
        <f t="shared" si="186"/>
        <v>1.9666666666666666</v>
      </c>
      <c r="EX86" s="722"/>
      <c r="EY86" s="247">
        <f t="shared" si="187"/>
        <v>0</v>
      </c>
      <c r="EZ86" s="118"/>
      <c r="FA86" s="562"/>
      <c r="FB86" s="562">
        <v>0</v>
      </c>
      <c r="FC86" s="562"/>
      <c r="FD86" s="562"/>
      <c r="FE86" s="562"/>
      <c r="FF86" s="562"/>
      <c r="FG86" s="559"/>
      <c r="FH86" s="571"/>
      <c r="FI86" s="559"/>
      <c r="FJ86" s="559"/>
      <c r="FK86" s="122"/>
      <c r="FL86" s="122"/>
      <c r="FM86" s="122"/>
      <c r="FN86" s="122"/>
      <c r="FO86" s="122"/>
      <c r="FP86" s="50"/>
      <c r="FQ86" s="279">
        <f t="shared" si="162"/>
        <v>44607</v>
      </c>
      <c r="FR86" s="279"/>
      <c r="FS86" s="50"/>
      <c r="FT86" s="50"/>
      <c r="FU86" s="50"/>
      <c r="FV86" s="50"/>
      <c r="FW86" s="50"/>
      <c r="FX86" s="50"/>
      <c r="FY86" s="50"/>
      <c r="FZ86" s="50"/>
      <c r="GA86" s="50"/>
      <c r="GB86" s="50"/>
      <c r="GC86" s="50"/>
      <c r="GD86" s="50"/>
      <c r="GE86" s="50"/>
      <c r="GF86" s="113"/>
      <c r="GG86" s="113"/>
      <c r="GH86" s="390">
        <f t="shared" si="206"/>
        <v>0</v>
      </c>
      <c r="GI86" s="390">
        <f>GS86+GX86+HE86+HX86+HF86+HI86</f>
        <v>0</v>
      </c>
      <c r="GJ86" s="390">
        <f t="shared" si="192"/>
        <v>0</v>
      </c>
      <c r="GK86" s="390" t="e">
        <f t="shared" si="208"/>
        <v>#DIV/0!</v>
      </c>
      <c r="GL86" s="390">
        <f t="shared" si="209"/>
        <v>0</v>
      </c>
      <c r="GM86" s="390"/>
      <c r="GN86" s="390"/>
      <c r="GO86" s="390">
        <f t="shared" si="193"/>
        <v>0</v>
      </c>
      <c r="GP86" s="107" t="e">
        <f t="shared" si="194"/>
        <v>#DIV/0!</v>
      </c>
      <c r="GQ86" s="107">
        <v>0.4</v>
      </c>
      <c r="GR86" s="390"/>
      <c r="GS86" s="390"/>
      <c r="GT86" s="390"/>
      <c r="GU86" s="390">
        <f t="shared" si="218"/>
        <v>0</v>
      </c>
      <c r="GV86" s="390"/>
      <c r="GW86" s="390"/>
      <c r="GX86" s="390">
        <f t="shared" si="224"/>
        <v>0</v>
      </c>
      <c r="GY86" s="390"/>
      <c r="GZ86" s="390"/>
      <c r="HA86" s="390">
        <f t="shared" si="196"/>
        <v>0</v>
      </c>
      <c r="HB86" s="698">
        <f t="shared" si="211"/>
        <v>0</v>
      </c>
      <c r="HC86" s="390"/>
      <c r="HD86" s="390"/>
      <c r="HE86" s="390"/>
      <c r="HF86" s="390"/>
      <c r="HG86" s="396" t="e">
        <f t="shared" si="188"/>
        <v>#DIV/0!</v>
      </c>
      <c r="HH86" s="396"/>
      <c r="HI86" s="390"/>
      <c r="HJ86" s="390">
        <f t="shared" si="148"/>
        <v>0</v>
      </c>
      <c r="HK86" s="390">
        <f t="shared" si="189"/>
        <v>0</v>
      </c>
      <c r="HL86" s="393">
        <f t="shared" si="190"/>
        <v>0</v>
      </c>
      <c r="HM86" s="390">
        <f t="shared" si="219"/>
        <v>0</v>
      </c>
      <c r="HN86" s="394">
        <v>6.31</v>
      </c>
      <c r="HO86" s="394"/>
      <c r="HP86" s="390"/>
      <c r="HQ86" s="390"/>
      <c r="HR86" s="390">
        <f t="shared" si="220"/>
        <v>0</v>
      </c>
      <c r="HS86" s="390"/>
      <c r="HT86" s="390">
        <f t="shared" si="221"/>
        <v>0</v>
      </c>
      <c r="HU86" s="107" t="e">
        <f t="shared" si="143"/>
        <v>#DIV/0!</v>
      </c>
      <c r="HV86" s="390"/>
      <c r="HW86" s="390"/>
      <c r="HX86" s="390">
        <f t="shared" si="161"/>
        <v>0</v>
      </c>
      <c r="HY86" s="397">
        <f t="shared" si="197"/>
        <v>0</v>
      </c>
      <c r="HZ86" s="276"/>
      <c r="IA86" s="276">
        <f t="shared" si="150"/>
        <v>0</v>
      </c>
      <c r="IB86" s="277"/>
      <c r="IC86" s="280">
        <v>0</v>
      </c>
      <c r="ID86" s="280"/>
      <c r="IE86" s="254"/>
      <c r="IF86" s="254"/>
      <c r="IG86" s="388">
        <v>0</v>
      </c>
      <c r="IH86" s="262"/>
      <c r="II86" s="273">
        <v>0</v>
      </c>
      <c r="IJ86" s="262"/>
      <c r="IK86" s="466"/>
      <c r="IL86" s="278"/>
      <c r="IM86" s="283"/>
      <c r="IN86" s="281"/>
      <c r="IO86" s="281"/>
      <c r="IP86" s="275"/>
      <c r="IQ86" s="276"/>
      <c r="IR86" s="275"/>
      <c r="IS86" s="276"/>
      <c r="IT86" s="299"/>
      <c r="IU86" s="299"/>
      <c r="IV86" s="299"/>
      <c r="IW86" s="299"/>
      <c r="IX86" s="268"/>
      <c r="IY86" s="268"/>
      <c r="IZ86" s="268"/>
      <c r="JA86" s="268"/>
      <c r="JB86" s="268"/>
      <c r="JC86" s="268"/>
      <c r="JD86" s="280" t="e">
        <f t="shared" si="222"/>
        <v>#VALUE!</v>
      </c>
      <c r="JE86" s="118"/>
      <c r="JF86" s="278"/>
      <c r="JG86" s="118"/>
      <c r="JH86" s="118"/>
      <c r="JI86" s="278"/>
    </row>
    <row r="87" spans="1:269" ht="15" customHeight="1">
      <c r="A87" s="293" t="s">
        <v>468</v>
      </c>
      <c r="B87" s="50" t="s">
        <v>28</v>
      </c>
      <c r="C87" s="50" t="s">
        <v>110</v>
      </c>
      <c r="D87" s="50">
        <v>2019</v>
      </c>
      <c r="E87" s="50"/>
      <c r="F87" s="50" t="s">
        <v>441</v>
      </c>
      <c r="G87" s="50"/>
      <c r="H87" s="50" t="s">
        <v>412</v>
      </c>
      <c r="I87" s="50"/>
      <c r="J87" s="50"/>
      <c r="K87" s="256" t="s">
        <v>498</v>
      </c>
      <c r="L87" s="166" t="s">
        <v>61</v>
      </c>
      <c r="M87" s="167" t="s">
        <v>497</v>
      </c>
      <c r="N87" s="168">
        <v>37125</v>
      </c>
      <c r="O87" s="233"/>
      <c r="P87" s="233"/>
      <c r="Q87" s="233"/>
      <c r="R87" s="233"/>
      <c r="S87" s="233"/>
      <c r="T87" s="613"/>
      <c r="U87" s="613"/>
      <c r="V87" s="613"/>
      <c r="W87" s="233"/>
      <c r="X87" s="208"/>
      <c r="Y87" s="216" t="e">
        <f t="shared" si="213"/>
        <v>#DIV/0!</v>
      </c>
      <c r="Z87" s="208"/>
      <c r="AA87" s="208"/>
      <c r="AB87" s="209"/>
      <c r="AC87" s="50" t="s">
        <v>440</v>
      </c>
      <c r="AD87" s="318">
        <f t="shared" si="212"/>
        <v>18</v>
      </c>
      <c r="AE87" s="61"/>
      <c r="AF87" s="115"/>
      <c r="AG87" s="115"/>
      <c r="AH87" s="193">
        <v>18</v>
      </c>
      <c r="AI87" s="268"/>
      <c r="AJ87" s="54"/>
      <c r="AK87" s="54"/>
      <c r="AL87" s="89"/>
      <c r="AM87" s="7"/>
      <c r="AN87" s="75"/>
      <c r="AO87" s="75"/>
      <c r="AP87" s="75"/>
      <c r="AQ87" s="75"/>
      <c r="AR87" s="75"/>
      <c r="AS87" s="54"/>
      <c r="AT87" s="73"/>
      <c r="AU87" s="75"/>
      <c r="AV87" s="54"/>
      <c r="AW87" s="50"/>
      <c r="AX87" s="50"/>
      <c r="AY87" s="785"/>
      <c r="AZ87" s="50"/>
      <c r="BA87" s="50"/>
      <c r="BB87" s="50"/>
      <c r="BC87" s="110"/>
      <c r="BD87" s="110"/>
      <c r="BE87" s="94"/>
      <c r="BF87" s="204"/>
      <c r="BG87" s="96"/>
      <c r="BH87" s="96"/>
      <c r="BI87" s="204"/>
      <c r="BJ87" s="96"/>
      <c r="BK87" s="160"/>
      <c r="BL87" s="203"/>
      <c r="BM87" s="160"/>
      <c r="BN87" s="160"/>
      <c r="BO87" s="298">
        <f t="shared" si="135"/>
        <v>0</v>
      </c>
      <c r="BP87" s="297">
        <f t="shared" si="136"/>
        <v>731</v>
      </c>
      <c r="BQ87" s="297">
        <f t="shared" si="144"/>
        <v>1096</v>
      </c>
      <c r="BR87" s="297"/>
      <c r="BS87" s="297" t="str">
        <f t="shared" si="214"/>
        <v>oui</v>
      </c>
      <c r="BT87" s="686" t="e">
        <f t="shared" si="164"/>
        <v>#NUM!</v>
      </c>
      <c r="BU87" s="686" t="e">
        <f t="shared" si="165"/>
        <v>#NUM!</v>
      </c>
      <c r="BV87" s="686" t="e">
        <f t="shared" si="166"/>
        <v>#NUM!</v>
      </c>
      <c r="BW87" s="160"/>
      <c r="BX87" s="165"/>
      <c r="BY87" s="97"/>
      <c r="BZ87" s="98"/>
      <c r="CA87" s="98"/>
      <c r="CB87" s="98"/>
      <c r="CC87" s="158"/>
      <c r="CD87" s="251"/>
      <c r="CE87" s="251"/>
      <c r="CF87" s="157"/>
      <c r="CG87" s="251"/>
      <c r="CH87" s="251"/>
      <c r="CI87" s="251"/>
      <c r="CJ87" s="408"/>
      <c r="CK87" s="408"/>
      <c r="CL87" s="546"/>
      <c r="CM87" s="549"/>
      <c r="CN87" s="549"/>
      <c r="CO87" s="551" t="str">
        <f t="shared" si="223"/>
        <v>0</v>
      </c>
      <c r="CP87" s="549"/>
      <c r="CQ87" s="549"/>
      <c r="CR87" s="551" t="str">
        <f t="shared" si="168"/>
        <v>0</v>
      </c>
      <c r="CS87" s="549"/>
      <c r="CT87" s="549"/>
      <c r="CU87" s="551" t="str">
        <f t="shared" si="169"/>
        <v>0</v>
      </c>
      <c r="CV87" s="549"/>
      <c r="CW87" s="549"/>
      <c r="CX87" s="551" t="str">
        <f t="shared" si="170"/>
        <v>0</v>
      </c>
      <c r="CY87" s="552"/>
      <c r="CZ87" s="553"/>
      <c r="DA87" s="551" t="str">
        <f t="shared" si="171"/>
        <v>0</v>
      </c>
      <c r="DB87" s="457"/>
      <c r="DC87" s="554"/>
      <c r="DD87" s="533"/>
      <c r="DE87" s="534"/>
      <c r="DF87" s="535" t="str">
        <f t="shared" si="172"/>
        <v>0</v>
      </c>
      <c r="DG87" s="533"/>
      <c r="DH87" s="703">
        <v>43845</v>
      </c>
      <c r="DI87" s="348"/>
      <c r="DJ87" s="446">
        <f t="shared" si="173"/>
        <v>1461.5</v>
      </c>
      <c r="DK87" s="535" t="str">
        <f t="shared" si="174"/>
        <v>0</v>
      </c>
      <c r="DL87" s="704">
        <v>12</v>
      </c>
      <c r="DM87" s="243">
        <f t="shared" si="175"/>
        <v>13</v>
      </c>
      <c r="DN87" s="533"/>
      <c r="DO87" s="534"/>
      <c r="DP87" s="535" t="str">
        <f t="shared" si="176"/>
        <v>0</v>
      </c>
      <c r="DQ87" s="533"/>
      <c r="DR87" s="557"/>
      <c r="DS87" s="536" t="str">
        <f t="shared" si="177"/>
        <v>0</v>
      </c>
      <c r="DT87" s="537"/>
      <c r="DU87" s="538"/>
      <c r="DV87" s="535" t="str">
        <f t="shared" si="178"/>
        <v>0</v>
      </c>
      <c r="DW87" s="534"/>
      <c r="DX87" s="539"/>
      <c r="DY87" s="535" t="str">
        <f t="shared" si="179"/>
        <v>0</v>
      </c>
      <c r="DZ87" s="541"/>
      <c r="EA87" s="541"/>
      <c r="EB87" s="535" t="str">
        <f t="shared" si="180"/>
        <v>0</v>
      </c>
      <c r="EC87" s="541"/>
      <c r="ED87" s="541"/>
      <c r="EE87" s="535" t="str">
        <f t="shared" si="181"/>
        <v>0</v>
      </c>
      <c r="EF87" s="539"/>
      <c r="EG87" s="539">
        <f t="shared" ca="1" si="131"/>
        <v>43332</v>
      </c>
      <c r="EH87" s="535" t="str">
        <f t="shared" ca="1" si="182"/>
        <v>0</v>
      </c>
      <c r="EI87" s="541"/>
      <c r="EJ87" s="541"/>
      <c r="EK87" s="541"/>
      <c r="EL87" s="625">
        <f t="shared" si="183"/>
        <v>44211</v>
      </c>
      <c r="EM87" s="759">
        <f t="shared" si="215"/>
        <v>44242</v>
      </c>
      <c r="EN87" s="756">
        <f t="shared" si="184"/>
        <v>1.0333333333333334</v>
      </c>
      <c r="EO87" s="580"/>
      <c r="EP87" s="244"/>
      <c r="EQ87" s="244"/>
      <c r="ER87" s="186">
        <f t="shared" si="216"/>
        <v>44270</v>
      </c>
      <c r="ES87" s="467"/>
      <c r="ET87" s="578">
        <f t="shared" si="185"/>
        <v>44242</v>
      </c>
      <c r="EU87" s="455">
        <f t="shared" si="217"/>
        <v>44301</v>
      </c>
      <c r="EV87" s="581"/>
      <c r="EW87" s="753">
        <f t="shared" si="186"/>
        <v>1.9666666666666666</v>
      </c>
      <c r="EX87" s="722"/>
      <c r="EY87" s="247">
        <f t="shared" si="187"/>
        <v>0</v>
      </c>
      <c r="EZ87" s="118"/>
      <c r="FA87" s="562"/>
      <c r="FB87" s="562">
        <v>0</v>
      </c>
      <c r="FC87" s="562"/>
      <c r="FD87" s="562"/>
      <c r="FE87" s="562"/>
      <c r="FF87" s="562"/>
      <c r="FG87" s="559"/>
      <c r="FH87" s="571"/>
      <c r="FI87" s="559"/>
      <c r="FJ87" s="559"/>
      <c r="FK87" s="122"/>
      <c r="FL87" s="122"/>
      <c r="FM87" s="122"/>
      <c r="FN87" s="122"/>
      <c r="FO87" s="122"/>
      <c r="FP87" s="50"/>
      <c r="FQ87" s="279">
        <f t="shared" si="162"/>
        <v>44607</v>
      </c>
      <c r="FR87" s="279"/>
      <c r="FS87" s="50"/>
      <c r="FT87" s="50"/>
      <c r="FU87" s="50"/>
      <c r="FV87" s="50"/>
      <c r="FW87" s="50"/>
      <c r="FX87" s="50"/>
      <c r="FY87" s="50"/>
      <c r="FZ87" s="50"/>
      <c r="GA87" s="50"/>
      <c r="GB87" s="50"/>
      <c r="GC87" s="50"/>
      <c r="GD87" s="50"/>
      <c r="GE87" s="50"/>
      <c r="GF87" s="113"/>
      <c r="GG87" s="113"/>
      <c r="GH87" s="390">
        <f t="shared" si="206"/>
        <v>0</v>
      </c>
      <c r="GI87" s="390">
        <f>GS87+GX87+HE87+HX87+HF87+HI87</f>
        <v>0</v>
      </c>
      <c r="GJ87" s="390">
        <f t="shared" si="192"/>
        <v>0</v>
      </c>
      <c r="GK87" s="390" t="e">
        <f t="shared" si="208"/>
        <v>#DIV/0!</v>
      </c>
      <c r="GL87" s="390">
        <f t="shared" si="209"/>
        <v>0</v>
      </c>
      <c r="GM87" s="390"/>
      <c r="GN87" s="390"/>
      <c r="GO87" s="390">
        <f t="shared" si="193"/>
        <v>0</v>
      </c>
      <c r="GP87" s="107" t="e">
        <f t="shared" si="194"/>
        <v>#DIV/0!</v>
      </c>
      <c r="GQ87" s="107">
        <v>0.4</v>
      </c>
      <c r="GR87" s="390"/>
      <c r="GS87" s="390"/>
      <c r="GT87" s="390"/>
      <c r="GU87" s="391">
        <f t="shared" si="218"/>
        <v>0</v>
      </c>
      <c r="GV87" s="390"/>
      <c r="GW87" s="390"/>
      <c r="GX87" s="390">
        <f t="shared" si="224"/>
        <v>0</v>
      </c>
      <c r="GY87" s="390"/>
      <c r="GZ87" s="390"/>
      <c r="HA87" s="390">
        <f t="shared" si="196"/>
        <v>0</v>
      </c>
      <c r="HB87" s="698">
        <f t="shared" si="211"/>
        <v>0</v>
      </c>
      <c r="HC87" s="390"/>
      <c r="HD87" s="390"/>
      <c r="HE87" s="390"/>
      <c r="HF87" s="390"/>
      <c r="HG87" s="392" t="e">
        <f t="shared" si="188"/>
        <v>#DIV/0!</v>
      </c>
      <c r="HH87" s="396"/>
      <c r="HI87" s="390"/>
      <c r="HJ87" s="390">
        <f t="shared" si="148"/>
        <v>0</v>
      </c>
      <c r="HK87" s="391">
        <f t="shared" si="189"/>
        <v>0</v>
      </c>
      <c r="HL87" s="393">
        <f t="shared" si="190"/>
        <v>0</v>
      </c>
      <c r="HM87" s="390">
        <f t="shared" si="219"/>
        <v>0</v>
      </c>
      <c r="HN87" s="394">
        <v>6.31</v>
      </c>
      <c r="HO87" s="394"/>
      <c r="HP87" s="390"/>
      <c r="HQ87" s="390"/>
      <c r="HR87" s="390">
        <f t="shared" si="220"/>
        <v>0</v>
      </c>
      <c r="HS87" s="390"/>
      <c r="HT87" s="390">
        <f t="shared" si="221"/>
        <v>0</v>
      </c>
      <c r="HU87" s="107" t="e">
        <f t="shared" si="143"/>
        <v>#DIV/0!</v>
      </c>
      <c r="HV87" s="390"/>
      <c r="HW87" s="390"/>
      <c r="HX87" s="390">
        <f t="shared" si="161"/>
        <v>0</v>
      </c>
      <c r="HY87" s="395">
        <f t="shared" si="197"/>
        <v>0</v>
      </c>
      <c r="HZ87" s="276"/>
      <c r="IA87" s="276">
        <f t="shared" si="150"/>
        <v>0</v>
      </c>
      <c r="IB87" s="277"/>
      <c r="IC87" s="280">
        <v>0</v>
      </c>
      <c r="ID87" s="280"/>
      <c r="IE87" s="254"/>
      <c r="IF87" s="254"/>
      <c r="IG87" s="388">
        <v>0</v>
      </c>
      <c r="IH87" s="262"/>
      <c r="II87" s="273">
        <v>0</v>
      </c>
      <c r="IJ87" s="262"/>
      <c r="IK87" s="466"/>
      <c r="IL87" s="278"/>
      <c r="IM87" s="283"/>
      <c r="IN87" s="281"/>
      <c r="IO87" s="281"/>
      <c r="IP87" s="275"/>
      <c r="IQ87" s="276"/>
      <c r="IR87" s="275"/>
      <c r="IS87" s="276"/>
      <c r="IT87" s="299"/>
      <c r="IU87" s="299"/>
      <c r="IV87" s="299"/>
      <c r="IW87" s="299"/>
      <c r="IX87" s="268"/>
      <c r="IY87" s="268"/>
      <c r="IZ87" s="268"/>
      <c r="JA87" s="268"/>
      <c r="JB87" s="268"/>
      <c r="JC87" s="268"/>
      <c r="JD87" s="280" t="e">
        <f t="shared" si="222"/>
        <v>#VALUE!</v>
      </c>
      <c r="JE87" s="118"/>
      <c r="JF87" s="278"/>
      <c r="JG87" s="118"/>
      <c r="JH87" s="118"/>
      <c r="JI87" s="278"/>
    </row>
    <row r="88" spans="1:269" ht="15" customHeight="1">
      <c r="A88" s="293" t="s">
        <v>467</v>
      </c>
      <c r="B88" s="50" t="s">
        <v>28</v>
      </c>
      <c r="C88" s="50" t="s">
        <v>110</v>
      </c>
      <c r="D88" s="50">
        <v>2019</v>
      </c>
      <c r="E88" s="50"/>
      <c r="F88" s="50" t="s">
        <v>441</v>
      </c>
      <c r="G88" s="50"/>
      <c r="H88" s="50" t="s">
        <v>412</v>
      </c>
      <c r="I88" s="50"/>
      <c r="J88" s="50" t="s">
        <v>492</v>
      </c>
      <c r="K88" s="256" t="s">
        <v>493</v>
      </c>
      <c r="L88" s="166" t="s">
        <v>61</v>
      </c>
      <c r="M88" s="167" t="s">
        <v>491</v>
      </c>
      <c r="N88" s="168">
        <v>35396</v>
      </c>
      <c r="O88" s="233"/>
      <c r="P88" s="233"/>
      <c r="Q88" s="233"/>
      <c r="R88" s="233"/>
      <c r="S88" s="233"/>
      <c r="T88" s="613"/>
      <c r="U88" s="613"/>
      <c r="V88" s="613"/>
      <c r="W88" s="233"/>
      <c r="X88" s="208"/>
      <c r="Y88" s="216" t="e">
        <f t="shared" si="213"/>
        <v>#DIV/0!</v>
      </c>
      <c r="Z88" s="208"/>
      <c r="AA88" s="208"/>
      <c r="AB88" s="209"/>
      <c r="AC88" s="50" t="s">
        <v>440</v>
      </c>
      <c r="AD88" s="318">
        <f t="shared" si="212"/>
        <v>26</v>
      </c>
      <c r="AE88" s="61"/>
      <c r="AF88" s="115"/>
      <c r="AG88" s="115"/>
      <c r="AH88" s="50">
        <v>26</v>
      </c>
      <c r="AI88" s="268"/>
      <c r="AJ88" s="54"/>
      <c r="AK88" s="54"/>
      <c r="AL88" s="89"/>
      <c r="AM88" s="7"/>
      <c r="AN88" s="75"/>
      <c r="AO88" s="75"/>
      <c r="AP88" s="75"/>
      <c r="AQ88" s="75"/>
      <c r="AR88" s="75"/>
      <c r="AS88" s="54"/>
      <c r="AT88" s="73"/>
      <c r="AU88" s="75"/>
      <c r="AV88" s="54"/>
      <c r="AW88" s="50"/>
      <c r="AX88" s="50"/>
      <c r="AY88" s="785"/>
      <c r="AZ88" s="50"/>
      <c r="BA88" s="50"/>
      <c r="BB88" s="50"/>
      <c r="BC88" s="110"/>
      <c r="BD88" s="110"/>
      <c r="BE88" s="94"/>
      <c r="BF88" s="204"/>
      <c r="BG88" s="96"/>
      <c r="BH88" s="96"/>
      <c r="BI88" s="204"/>
      <c r="BJ88" s="96"/>
      <c r="BK88" s="160"/>
      <c r="BL88" s="203"/>
      <c r="BM88" s="160"/>
      <c r="BN88" s="160"/>
      <c r="BO88" s="298">
        <f t="shared" si="135"/>
        <v>0</v>
      </c>
      <c r="BP88" s="297">
        <f t="shared" si="136"/>
        <v>731</v>
      </c>
      <c r="BQ88" s="297">
        <f t="shared" si="144"/>
        <v>1096</v>
      </c>
      <c r="BR88" s="297"/>
      <c r="BS88" s="297" t="str">
        <f t="shared" si="214"/>
        <v>oui</v>
      </c>
      <c r="BT88" s="686" t="e">
        <f t="shared" si="164"/>
        <v>#NUM!</v>
      </c>
      <c r="BU88" s="686" t="e">
        <f t="shared" si="165"/>
        <v>#NUM!</v>
      </c>
      <c r="BV88" s="686" t="e">
        <f t="shared" si="166"/>
        <v>#NUM!</v>
      </c>
      <c r="BW88" s="160"/>
      <c r="BX88" s="165"/>
      <c r="BY88" s="97"/>
      <c r="BZ88" s="98"/>
      <c r="CA88" s="98"/>
      <c r="CB88" s="98"/>
      <c r="CC88" s="158"/>
      <c r="CD88" s="251"/>
      <c r="CE88" s="251"/>
      <c r="CF88" s="157"/>
      <c r="CG88" s="251"/>
      <c r="CH88" s="251"/>
      <c r="CI88" s="251"/>
      <c r="CJ88" s="408"/>
      <c r="CK88" s="408"/>
      <c r="CL88" s="546"/>
      <c r="CM88" s="549"/>
      <c r="CN88" s="549"/>
      <c r="CO88" s="551" t="str">
        <f t="shared" si="223"/>
        <v>0</v>
      </c>
      <c r="CP88" s="549"/>
      <c r="CQ88" s="549"/>
      <c r="CR88" s="551" t="str">
        <f t="shared" si="168"/>
        <v>0</v>
      </c>
      <c r="CS88" s="549"/>
      <c r="CT88" s="549"/>
      <c r="CU88" s="551" t="str">
        <f t="shared" si="169"/>
        <v>0</v>
      </c>
      <c r="CV88" s="549"/>
      <c r="CW88" s="549"/>
      <c r="CX88" s="551" t="str">
        <f t="shared" si="170"/>
        <v>0</v>
      </c>
      <c r="CY88" s="552"/>
      <c r="CZ88" s="553"/>
      <c r="DA88" s="551" t="str">
        <f t="shared" si="171"/>
        <v>0</v>
      </c>
      <c r="DB88" s="457"/>
      <c r="DC88" s="554"/>
      <c r="DD88" s="533"/>
      <c r="DE88" s="534"/>
      <c r="DF88" s="535" t="str">
        <f t="shared" si="172"/>
        <v>0</v>
      </c>
      <c r="DG88" s="533"/>
      <c r="DH88" s="703">
        <v>43845</v>
      </c>
      <c r="DI88" s="348"/>
      <c r="DJ88" s="446">
        <f t="shared" si="173"/>
        <v>1461.5</v>
      </c>
      <c r="DK88" s="535" t="str">
        <f t="shared" si="174"/>
        <v>0</v>
      </c>
      <c r="DL88" s="704">
        <v>12</v>
      </c>
      <c r="DM88" s="243">
        <f t="shared" si="175"/>
        <v>13</v>
      </c>
      <c r="DN88" s="533"/>
      <c r="DO88" s="534"/>
      <c r="DP88" s="535" t="str">
        <f t="shared" si="176"/>
        <v>0</v>
      </c>
      <c r="DQ88" s="533"/>
      <c r="DR88" s="557"/>
      <c r="DS88" s="536" t="str">
        <f t="shared" si="177"/>
        <v>0</v>
      </c>
      <c r="DT88" s="537"/>
      <c r="DU88" s="538">
        <f ca="1">IF(DT88&lt;TODAY(),TODAY(),DT88)</f>
        <v>43332</v>
      </c>
      <c r="DV88" s="535" t="str">
        <f t="shared" ca="1" si="178"/>
        <v>0</v>
      </c>
      <c r="DW88" s="534"/>
      <c r="DX88" s="539"/>
      <c r="DY88" s="535" t="str">
        <f t="shared" si="179"/>
        <v>0</v>
      </c>
      <c r="DZ88" s="541"/>
      <c r="EA88" s="541"/>
      <c r="EB88" s="535" t="str">
        <f t="shared" si="180"/>
        <v>0</v>
      </c>
      <c r="EC88" s="541"/>
      <c r="ED88" s="541"/>
      <c r="EE88" s="535" t="str">
        <f t="shared" si="181"/>
        <v>0</v>
      </c>
      <c r="EF88" s="539"/>
      <c r="EG88" s="539">
        <f t="shared" ca="1" si="131"/>
        <v>43332</v>
      </c>
      <c r="EH88" s="535" t="str">
        <f t="shared" ca="1" si="182"/>
        <v>0</v>
      </c>
      <c r="EI88" s="541"/>
      <c r="EJ88" s="541"/>
      <c r="EK88" s="541"/>
      <c r="EL88" s="760">
        <f t="shared" si="183"/>
        <v>44211</v>
      </c>
      <c r="EM88" s="759">
        <f t="shared" si="215"/>
        <v>44242</v>
      </c>
      <c r="EN88" s="756">
        <f t="shared" si="184"/>
        <v>1.0333333333333334</v>
      </c>
      <c r="EO88" s="580"/>
      <c r="EP88" s="244"/>
      <c r="EQ88" s="244"/>
      <c r="ER88" s="186">
        <f t="shared" si="216"/>
        <v>44270</v>
      </c>
      <c r="ES88" s="467"/>
      <c r="ET88" s="578">
        <f t="shared" si="185"/>
        <v>44242</v>
      </c>
      <c r="EU88" s="759">
        <f t="shared" si="217"/>
        <v>44301</v>
      </c>
      <c r="EV88" s="581"/>
      <c r="EW88" s="753">
        <f t="shared" si="186"/>
        <v>1.9666666666666666</v>
      </c>
      <c r="EX88" s="722"/>
      <c r="EY88" s="247">
        <f t="shared" si="187"/>
        <v>0</v>
      </c>
      <c r="EZ88" s="118"/>
      <c r="FA88" s="562"/>
      <c r="FB88" s="562">
        <v>0</v>
      </c>
      <c r="FC88" s="562"/>
      <c r="FD88" s="562"/>
      <c r="FE88" s="562"/>
      <c r="FF88" s="562"/>
      <c r="FG88" s="559"/>
      <c r="FH88" s="571"/>
      <c r="FI88" s="559"/>
      <c r="FJ88" s="559"/>
      <c r="FK88" s="122"/>
      <c r="FL88" s="122"/>
      <c r="FM88" s="122"/>
      <c r="FN88" s="122"/>
      <c r="FO88" s="122"/>
      <c r="FP88" s="50"/>
      <c r="FQ88" s="279">
        <f t="shared" si="162"/>
        <v>44607</v>
      </c>
      <c r="FR88" s="279"/>
      <c r="FS88" s="50"/>
      <c r="FT88" s="50"/>
      <c r="FU88" s="50"/>
      <c r="FV88" s="50"/>
      <c r="FW88" s="50"/>
      <c r="FX88" s="50"/>
      <c r="FY88" s="50"/>
      <c r="FZ88" s="50"/>
      <c r="GA88" s="50"/>
      <c r="GB88" s="50"/>
      <c r="GC88" s="50"/>
      <c r="GD88" s="50"/>
      <c r="GE88" s="50"/>
      <c r="GF88" s="113"/>
      <c r="GG88" s="113"/>
      <c r="GH88" s="390">
        <f t="shared" si="206"/>
        <v>0</v>
      </c>
      <c r="GI88" s="390">
        <f>GS88+GX88+HE88+HX88+HF88+HI88</f>
        <v>0</v>
      </c>
      <c r="GJ88" s="390">
        <f t="shared" si="192"/>
        <v>0</v>
      </c>
      <c r="GK88" s="390" t="e">
        <f t="shared" si="208"/>
        <v>#DIV/0!</v>
      </c>
      <c r="GL88" s="390">
        <f t="shared" si="209"/>
        <v>0</v>
      </c>
      <c r="GM88" s="390"/>
      <c r="GN88" s="390"/>
      <c r="GO88" s="390">
        <f t="shared" si="193"/>
        <v>0</v>
      </c>
      <c r="GP88" s="107" t="e">
        <f t="shared" si="194"/>
        <v>#DIV/0!</v>
      </c>
      <c r="GQ88" s="107">
        <v>0.4</v>
      </c>
      <c r="GR88" s="390"/>
      <c r="GS88" s="390"/>
      <c r="GT88" s="390"/>
      <c r="GU88" s="390">
        <f t="shared" si="218"/>
        <v>0</v>
      </c>
      <c r="GV88" s="390"/>
      <c r="GW88" s="390"/>
      <c r="GX88" s="390">
        <f t="shared" si="224"/>
        <v>0</v>
      </c>
      <c r="GY88" s="390"/>
      <c r="GZ88" s="390"/>
      <c r="HA88" s="390">
        <f t="shared" si="196"/>
        <v>0</v>
      </c>
      <c r="HB88" s="698">
        <f t="shared" si="211"/>
        <v>0</v>
      </c>
      <c r="HC88" s="390"/>
      <c r="HD88" s="390"/>
      <c r="HE88" s="390"/>
      <c r="HF88" s="390"/>
      <c r="HG88" s="396" t="e">
        <f t="shared" si="188"/>
        <v>#DIV/0!</v>
      </c>
      <c r="HH88" s="396"/>
      <c r="HI88" s="390"/>
      <c r="HJ88" s="390">
        <f t="shared" si="148"/>
        <v>0</v>
      </c>
      <c r="HK88" s="390">
        <f t="shared" si="189"/>
        <v>0</v>
      </c>
      <c r="HL88" s="393">
        <f t="shared" si="190"/>
        <v>0</v>
      </c>
      <c r="HM88" s="390">
        <f t="shared" si="219"/>
        <v>0</v>
      </c>
      <c r="HN88" s="394">
        <v>6.31</v>
      </c>
      <c r="HO88" s="394"/>
      <c r="HP88" s="390"/>
      <c r="HQ88" s="390"/>
      <c r="HR88" s="390">
        <f t="shared" si="220"/>
        <v>0</v>
      </c>
      <c r="HS88" s="390"/>
      <c r="HT88" s="390">
        <f t="shared" si="221"/>
        <v>0</v>
      </c>
      <c r="HU88" s="107" t="e">
        <f t="shared" si="143"/>
        <v>#DIV/0!</v>
      </c>
      <c r="HV88" s="390"/>
      <c r="HW88" s="390"/>
      <c r="HX88" s="390">
        <f t="shared" si="161"/>
        <v>0</v>
      </c>
      <c r="HY88" s="397">
        <f t="shared" si="197"/>
        <v>0</v>
      </c>
      <c r="HZ88" s="276"/>
      <c r="IA88" s="276">
        <f t="shared" si="150"/>
        <v>0</v>
      </c>
      <c r="IB88" s="277"/>
      <c r="IC88" s="280">
        <v>0</v>
      </c>
      <c r="ID88" s="280"/>
      <c r="IE88" s="254"/>
      <c r="IF88" s="254"/>
      <c r="IG88" s="388">
        <v>0</v>
      </c>
      <c r="IH88" s="262"/>
      <c r="II88" s="273">
        <v>0</v>
      </c>
      <c r="IJ88" s="262"/>
      <c r="IK88" s="466"/>
      <c r="IL88" s="278"/>
      <c r="IM88" s="283"/>
      <c r="IN88" s="281"/>
      <c r="IO88" s="281"/>
      <c r="IP88" s="275"/>
      <c r="IQ88" s="276"/>
      <c r="IR88" s="275"/>
      <c r="IS88" s="276"/>
      <c r="IT88" s="299"/>
      <c r="IU88" s="299"/>
      <c r="IV88" s="299"/>
      <c r="IW88" s="299"/>
      <c r="IX88" s="268"/>
      <c r="IY88" s="268"/>
      <c r="IZ88" s="268"/>
      <c r="JA88" s="268"/>
      <c r="JB88" s="268"/>
      <c r="JC88" s="268"/>
      <c r="JD88" s="280" t="e">
        <f t="shared" si="222"/>
        <v>#VALUE!</v>
      </c>
      <c r="JE88" s="118"/>
      <c r="JF88" s="278"/>
      <c r="JG88" s="118"/>
      <c r="JH88" s="118"/>
      <c r="JI88" s="278"/>
    </row>
    <row r="89" spans="1:269" ht="15" customHeight="1">
      <c r="A89" s="572" t="s">
        <v>841</v>
      </c>
      <c r="B89" s="50" t="s">
        <v>35</v>
      </c>
      <c r="C89" s="50" t="s">
        <v>110</v>
      </c>
      <c r="D89" s="50">
        <v>2019</v>
      </c>
      <c r="E89" s="50"/>
      <c r="F89" s="50" t="s">
        <v>383</v>
      </c>
      <c r="G89" s="50"/>
      <c r="H89" s="52" t="s">
        <v>412</v>
      </c>
      <c r="I89" s="50"/>
      <c r="J89" s="50"/>
      <c r="K89" s="256"/>
      <c r="L89" s="166"/>
      <c r="M89" s="167"/>
      <c r="N89" s="305"/>
      <c r="O89" s="207">
        <f>4900*84.01%</f>
        <v>4116.4900000000007</v>
      </c>
      <c r="P89" s="207">
        <v>1260150</v>
      </c>
      <c r="Q89" s="207"/>
      <c r="R89" s="207"/>
      <c r="S89" s="207"/>
      <c r="T89" s="213"/>
      <c r="U89" s="213"/>
      <c r="V89" s="213"/>
      <c r="W89" s="207"/>
      <c r="X89" s="208"/>
      <c r="Y89" s="216"/>
      <c r="Z89" s="208"/>
      <c r="AA89" s="208"/>
      <c r="AB89" s="209"/>
      <c r="AC89" s="50" t="s">
        <v>15</v>
      </c>
      <c r="AD89" s="318">
        <f t="shared" si="212"/>
        <v>93</v>
      </c>
      <c r="AE89" s="50">
        <f>93-38</f>
        <v>55</v>
      </c>
      <c r="AF89" s="50">
        <v>38</v>
      </c>
      <c r="AG89" s="258"/>
      <c r="AH89" s="61"/>
      <c r="AI89" s="268">
        <v>5254</v>
      </c>
      <c r="AJ89" s="54">
        <v>6254</v>
      </c>
      <c r="AK89" s="54">
        <v>6254</v>
      </c>
      <c r="AL89" s="89">
        <v>6254</v>
      </c>
      <c r="AM89" s="54"/>
      <c r="AN89" s="75"/>
      <c r="AO89" s="75"/>
      <c r="AP89" s="75"/>
      <c r="AQ89" s="75"/>
      <c r="AR89" s="75"/>
      <c r="AS89" s="54"/>
      <c r="AT89" s="73"/>
      <c r="AU89" s="75"/>
      <c r="AV89" s="54"/>
      <c r="AW89" s="53"/>
      <c r="AX89" s="50"/>
      <c r="AY89" s="785">
        <v>12084200</v>
      </c>
      <c r="AZ89" s="50"/>
      <c r="BA89" s="238"/>
      <c r="BB89" s="238"/>
      <c r="BC89" s="110"/>
      <c r="BD89" s="110"/>
      <c r="BE89" s="94"/>
      <c r="BF89" s="204"/>
      <c r="BG89" s="96"/>
      <c r="BH89" s="96"/>
      <c r="BI89" s="204"/>
      <c r="BJ89" s="96"/>
      <c r="BK89" s="160"/>
      <c r="BL89" s="203"/>
      <c r="BM89" s="160"/>
      <c r="BN89" s="160"/>
      <c r="BO89" s="298"/>
      <c r="BP89" s="297"/>
      <c r="BQ89" s="297"/>
      <c r="BR89" s="297"/>
      <c r="BS89" s="297"/>
      <c r="BT89" s="686"/>
      <c r="BU89" s="686">
        <f t="shared" si="165"/>
        <v>0</v>
      </c>
      <c r="BV89" s="686">
        <f t="shared" si="166"/>
        <v>0</v>
      </c>
      <c r="BW89" s="160"/>
      <c r="BX89" s="165"/>
      <c r="BY89" s="97"/>
      <c r="BZ89" s="98"/>
      <c r="CA89" s="98"/>
      <c r="CB89" s="98"/>
      <c r="CC89" s="158"/>
      <c r="CD89" s="251"/>
      <c r="CE89" s="251"/>
      <c r="CF89" s="157"/>
      <c r="CG89" s="251"/>
      <c r="CH89" s="251"/>
      <c r="CI89" s="251"/>
      <c r="CJ89" s="251"/>
      <c r="CK89" s="604"/>
      <c r="CL89" s="546"/>
      <c r="CM89" s="549"/>
      <c r="CN89" s="549"/>
      <c r="CO89" s="551"/>
      <c r="CP89" s="549"/>
      <c r="CQ89" s="549"/>
      <c r="CR89" s="551"/>
      <c r="CS89" s="549"/>
      <c r="CT89" s="549"/>
      <c r="CU89" s="551"/>
      <c r="CV89" s="549"/>
      <c r="CW89" s="549"/>
      <c r="CX89" s="551"/>
      <c r="CY89" s="549"/>
      <c r="CZ89" s="549"/>
      <c r="DA89" s="551"/>
      <c r="DB89" s="457"/>
      <c r="DC89" s="550"/>
      <c r="DD89" s="533"/>
      <c r="DE89" s="539"/>
      <c r="DF89" s="535"/>
      <c r="DG89" s="533"/>
      <c r="DH89" s="703">
        <v>43862</v>
      </c>
      <c r="DI89" s="348"/>
      <c r="DJ89" s="446"/>
      <c r="DK89" s="535" t="str">
        <f t="shared" si="174"/>
        <v>0</v>
      </c>
      <c r="DL89" s="704">
        <v>16</v>
      </c>
      <c r="DM89" s="243"/>
      <c r="DN89" s="533"/>
      <c r="DO89" s="539"/>
      <c r="DP89" s="535"/>
      <c r="DQ89" s="533"/>
      <c r="DR89" s="557"/>
      <c r="DS89" s="536"/>
      <c r="DT89" s="537"/>
      <c r="DU89" s="539"/>
      <c r="DV89" s="535"/>
      <c r="DW89" s="539"/>
      <c r="DX89" s="539"/>
      <c r="DY89" s="535"/>
      <c r="DZ89" s="539"/>
      <c r="EA89" s="539"/>
      <c r="EB89" s="535"/>
      <c r="EC89" s="539"/>
      <c r="ED89" s="539"/>
      <c r="EE89" s="535"/>
      <c r="EF89" s="539"/>
      <c r="EG89" s="539"/>
      <c r="EH89" s="535"/>
      <c r="EI89" s="539"/>
      <c r="EJ89" s="539"/>
      <c r="EK89" s="539"/>
      <c r="EL89" s="760">
        <f t="shared" si="183"/>
        <v>44348</v>
      </c>
      <c r="EM89" s="759">
        <f t="shared" ref="EM89:EM94" si="225">DATE(YEAR(EL89),MONTH(EL89)+3,DAY(EL89))</f>
        <v>44440</v>
      </c>
      <c r="EN89" s="756">
        <f t="shared" si="184"/>
        <v>3.0666666666666669</v>
      </c>
      <c r="EO89" s="580"/>
      <c r="EP89" s="244"/>
      <c r="EQ89" s="244"/>
      <c r="ER89" s="186">
        <f>DATE(YEAR(EM89),MONTH(EM89),DAY(EM89)+15)</f>
        <v>44455</v>
      </c>
      <c r="ES89" s="467"/>
      <c r="ET89" s="578">
        <f t="shared" si="185"/>
        <v>44378</v>
      </c>
      <c r="EU89" s="759">
        <f t="shared" si="217"/>
        <v>44485</v>
      </c>
      <c r="EV89" s="581"/>
      <c r="EW89" s="753">
        <f t="shared" si="186"/>
        <v>3.5666666666666669</v>
      </c>
      <c r="EX89" s="722"/>
      <c r="EY89" s="247">
        <f t="shared" si="187"/>
        <v>0</v>
      </c>
      <c r="EZ89" s="118"/>
      <c r="FA89" s="562"/>
      <c r="FB89" s="562">
        <v>0</v>
      </c>
      <c r="FC89" s="562"/>
      <c r="FD89" s="562"/>
      <c r="FE89" s="562"/>
      <c r="FF89" s="562"/>
      <c r="FG89" s="559"/>
      <c r="FH89" s="571"/>
      <c r="FI89" s="559"/>
      <c r="FJ89" s="559"/>
      <c r="FK89" s="122"/>
      <c r="FL89" s="122"/>
      <c r="FM89" s="122"/>
      <c r="FN89" s="122"/>
      <c r="FO89" s="122"/>
      <c r="FP89" s="50"/>
      <c r="FQ89" s="279">
        <f t="shared" si="162"/>
        <v>44805</v>
      </c>
      <c r="FR89" s="279"/>
      <c r="FS89" s="50"/>
      <c r="FT89" s="50"/>
      <c r="FU89" s="50"/>
      <c r="FV89" s="50"/>
      <c r="FW89" s="50"/>
      <c r="FX89" s="50"/>
      <c r="FY89" s="50"/>
      <c r="FZ89" s="50"/>
      <c r="GA89" s="50"/>
      <c r="GB89" s="50"/>
      <c r="GC89" s="50"/>
      <c r="GD89" s="50"/>
      <c r="GE89" s="50"/>
      <c r="GF89" s="113"/>
      <c r="GG89" s="113"/>
      <c r="GH89" s="90"/>
      <c r="GI89" s="64"/>
      <c r="GJ89" s="91"/>
      <c r="GK89" s="46"/>
      <c r="GL89" s="46"/>
      <c r="GM89" s="90"/>
      <c r="GN89" s="64"/>
      <c r="GO89" s="91"/>
      <c r="GP89" s="129"/>
      <c r="GQ89" s="130"/>
      <c r="GR89" s="90"/>
      <c r="GS89" s="64"/>
      <c r="GT89" s="64"/>
      <c r="GU89" s="46"/>
      <c r="GV89" s="92"/>
      <c r="GW89" s="90"/>
      <c r="GX89" s="64"/>
      <c r="GY89" s="84"/>
      <c r="GZ89" s="84"/>
      <c r="HA89" s="92"/>
      <c r="HB89" s="641"/>
      <c r="HC89" s="64"/>
      <c r="HD89" s="90"/>
      <c r="HE89" s="64"/>
      <c r="HF89" s="64"/>
      <c r="HG89" s="85"/>
      <c r="HH89" s="302"/>
      <c r="HI89" s="64"/>
      <c r="HJ89" s="86"/>
      <c r="HK89" s="46"/>
      <c r="HL89" s="78"/>
      <c r="HM89" s="86"/>
      <c r="HN89" s="87"/>
      <c r="HO89" s="87"/>
      <c r="HP89" s="88"/>
      <c r="HQ89" s="88"/>
      <c r="HR89" s="46"/>
      <c r="HS89" s="88"/>
      <c r="HT89" s="46"/>
      <c r="HU89" s="47"/>
      <c r="HV89" s="88"/>
      <c r="HW89" s="88"/>
      <c r="HX89" s="64">
        <f t="shared" si="161"/>
        <v>0</v>
      </c>
      <c r="HY89" s="93"/>
      <c r="HZ89" s="276"/>
      <c r="IA89" s="276"/>
      <c r="IB89" s="114"/>
      <c r="IC89" s="233"/>
      <c r="ID89" s="233"/>
      <c r="IE89" s="114"/>
      <c r="IF89" s="114"/>
      <c r="IG89" s="233"/>
      <c r="IH89" s="114"/>
      <c r="II89" s="233"/>
      <c r="IJ89" s="114"/>
      <c r="IK89" s="233"/>
      <c r="IL89" s="115"/>
      <c r="IM89" s="322"/>
      <c r="IN89" s="314"/>
      <c r="IO89" s="314"/>
      <c r="IP89" s="275"/>
      <c r="IQ89" s="284"/>
      <c r="IR89" s="275"/>
      <c r="IS89" s="284"/>
      <c r="IT89" s="299"/>
      <c r="IU89" s="299"/>
      <c r="IV89" s="299"/>
      <c r="IW89" s="299"/>
      <c r="IX89" s="268"/>
      <c r="IY89" s="268"/>
      <c r="IZ89" s="268"/>
      <c r="JA89" s="268"/>
      <c r="JB89" s="268"/>
      <c r="JC89" s="268"/>
      <c r="JD89" s="233"/>
      <c r="JE89" s="123"/>
      <c r="JF89" s="115"/>
      <c r="JG89" s="123"/>
      <c r="JH89" s="123"/>
      <c r="JI89" s="115"/>
    </row>
    <row r="90" spans="1:269" ht="15" customHeight="1">
      <c r="A90" s="83" t="s">
        <v>833</v>
      </c>
      <c r="B90" s="50" t="s">
        <v>35</v>
      </c>
      <c r="C90" s="50" t="s">
        <v>110</v>
      </c>
      <c r="D90" s="50">
        <v>2019</v>
      </c>
      <c r="E90" s="50"/>
      <c r="F90" s="50" t="s">
        <v>383</v>
      </c>
      <c r="G90" s="50"/>
      <c r="H90" s="52" t="s">
        <v>412</v>
      </c>
      <c r="I90" s="50"/>
      <c r="J90" s="50"/>
      <c r="K90" s="256"/>
      <c r="L90" s="166"/>
      <c r="M90" s="167"/>
      <c r="N90" s="168"/>
      <c r="O90" s="207"/>
      <c r="P90" s="207"/>
      <c r="Q90" s="207"/>
      <c r="R90" s="207">
        <f>P90/AD90</f>
        <v>0</v>
      </c>
      <c r="S90" s="207"/>
      <c r="T90" s="213"/>
      <c r="U90" s="213"/>
      <c r="V90" s="213">
        <f>Q90/AD90</f>
        <v>0</v>
      </c>
      <c r="W90" s="207">
        <f>O90/AD90</f>
        <v>0</v>
      </c>
      <c r="X90" s="208"/>
      <c r="Y90" s="216"/>
      <c r="Z90" s="208"/>
      <c r="AA90" s="208"/>
      <c r="AB90" s="209"/>
      <c r="AC90" s="50" t="s">
        <v>16</v>
      </c>
      <c r="AD90" s="318">
        <f t="shared" si="212"/>
        <v>30</v>
      </c>
      <c r="AE90" s="61"/>
      <c r="AF90" s="50">
        <v>30</v>
      </c>
      <c r="AG90" s="61"/>
      <c r="AH90" s="50"/>
      <c r="AI90" s="268"/>
      <c r="AJ90" s="54"/>
      <c r="AK90" s="54"/>
      <c r="AL90" s="89"/>
      <c r="AM90" s="7"/>
      <c r="AN90" s="75"/>
      <c r="AO90" s="75"/>
      <c r="AP90" s="75"/>
      <c r="AQ90" s="75"/>
      <c r="AR90" s="75"/>
      <c r="AS90" s="54"/>
      <c r="AT90" s="73"/>
      <c r="AU90" s="75"/>
      <c r="AV90" s="54"/>
      <c r="AW90" s="53"/>
      <c r="AX90" s="50"/>
      <c r="AY90" s="785"/>
      <c r="AZ90" s="50"/>
      <c r="BA90" s="239"/>
      <c r="BB90" s="184"/>
      <c r="BC90" s="110"/>
      <c r="BD90" s="110"/>
      <c r="BE90" s="94"/>
      <c r="BF90" s="204"/>
      <c r="BG90" s="96"/>
      <c r="BH90" s="96"/>
      <c r="BI90" s="204"/>
      <c r="BJ90" s="96"/>
      <c r="BK90" s="160"/>
      <c r="BL90" s="203"/>
      <c r="BM90" s="160"/>
      <c r="BN90" s="160"/>
      <c r="BO90" s="298"/>
      <c r="BP90" s="297"/>
      <c r="BQ90" s="297"/>
      <c r="BR90" s="297"/>
      <c r="BS90" s="297"/>
      <c r="BT90" s="686"/>
      <c r="BU90" s="686">
        <f t="shared" si="165"/>
        <v>0</v>
      </c>
      <c r="BV90" s="686">
        <f t="shared" si="166"/>
        <v>0</v>
      </c>
      <c r="BW90" s="160"/>
      <c r="BX90" s="165"/>
      <c r="BY90" s="97"/>
      <c r="BZ90" s="98"/>
      <c r="CA90" s="98"/>
      <c r="CB90" s="98"/>
      <c r="CC90" s="158"/>
      <c r="CD90" s="251"/>
      <c r="CE90" s="251"/>
      <c r="CF90" s="157"/>
      <c r="CG90" s="251"/>
      <c r="CH90" s="251"/>
      <c r="CI90" s="251"/>
      <c r="CJ90" s="251"/>
      <c r="CK90" s="604"/>
      <c r="CL90" s="546"/>
      <c r="CM90" s="549"/>
      <c r="CN90" s="549"/>
      <c r="CO90" s="551"/>
      <c r="CP90" s="549"/>
      <c r="CQ90" s="549"/>
      <c r="CR90" s="551"/>
      <c r="CS90" s="549"/>
      <c r="CT90" s="549"/>
      <c r="CU90" s="551"/>
      <c r="CV90" s="549"/>
      <c r="CW90" s="549"/>
      <c r="CX90" s="551"/>
      <c r="CY90" s="552"/>
      <c r="CZ90" s="553"/>
      <c r="DA90" s="551"/>
      <c r="DB90" s="457"/>
      <c r="DC90" s="554"/>
      <c r="DD90" s="533"/>
      <c r="DE90" s="534"/>
      <c r="DF90" s="535"/>
      <c r="DG90" s="533"/>
      <c r="DH90" s="703">
        <v>43862</v>
      </c>
      <c r="DI90" s="348"/>
      <c r="DJ90" s="446"/>
      <c r="DK90" s="535" t="str">
        <f t="shared" si="174"/>
        <v>0</v>
      </c>
      <c r="DL90" s="704">
        <v>16</v>
      </c>
      <c r="DM90" s="243"/>
      <c r="DN90" s="533"/>
      <c r="DO90" s="534"/>
      <c r="DP90" s="535"/>
      <c r="DQ90" s="533"/>
      <c r="DR90" s="557"/>
      <c r="DS90" s="536"/>
      <c r="DT90" s="537"/>
      <c r="DU90" s="538"/>
      <c r="DV90" s="535"/>
      <c r="DW90" s="539"/>
      <c r="DX90" s="539"/>
      <c r="DY90" s="535"/>
      <c r="DZ90" s="539"/>
      <c r="EA90" s="539"/>
      <c r="EB90" s="535"/>
      <c r="EC90" s="539"/>
      <c r="ED90" s="539"/>
      <c r="EE90" s="535"/>
      <c r="EF90" s="539"/>
      <c r="EG90" s="539"/>
      <c r="EH90" s="535"/>
      <c r="EI90" s="539"/>
      <c r="EJ90" s="539"/>
      <c r="EK90" s="539"/>
      <c r="EL90" s="760">
        <f t="shared" si="183"/>
        <v>44348</v>
      </c>
      <c r="EM90" s="759">
        <f t="shared" si="225"/>
        <v>44440</v>
      </c>
      <c r="EN90" s="756">
        <f t="shared" si="184"/>
        <v>3.0666666666666669</v>
      </c>
      <c r="EO90" s="580"/>
      <c r="EP90" s="244"/>
      <c r="EQ90" s="244"/>
      <c r="ER90" s="186">
        <f>DATE(YEAR(EM90),MONTH(EM90),DAY(EM90)+15)</f>
        <v>44455</v>
      </c>
      <c r="ES90" s="467"/>
      <c r="ET90" s="578">
        <f t="shared" si="185"/>
        <v>44378</v>
      </c>
      <c r="EU90" s="759">
        <f t="shared" si="217"/>
        <v>44485</v>
      </c>
      <c r="EV90" s="581"/>
      <c r="EW90" s="753">
        <f t="shared" si="186"/>
        <v>3.5666666666666669</v>
      </c>
      <c r="EX90" s="722"/>
      <c r="EY90" s="247">
        <f t="shared" si="187"/>
        <v>0</v>
      </c>
      <c r="EZ90" s="118"/>
      <c r="FA90" s="562"/>
      <c r="FB90" s="562">
        <v>0</v>
      </c>
      <c r="FC90" s="562"/>
      <c r="FD90" s="562"/>
      <c r="FE90" s="562"/>
      <c r="FF90" s="562"/>
      <c r="FG90" s="559"/>
      <c r="FH90" s="571"/>
      <c r="FI90" s="559"/>
      <c r="FJ90" s="559"/>
      <c r="FK90" s="122"/>
      <c r="FL90" s="122"/>
      <c r="FM90" s="122"/>
      <c r="FN90" s="122"/>
      <c r="FO90" s="122"/>
      <c r="FP90" s="50"/>
      <c r="FQ90" s="279">
        <f t="shared" si="162"/>
        <v>44805</v>
      </c>
      <c r="FR90" s="279"/>
      <c r="FS90" s="50"/>
      <c r="FT90" s="50"/>
      <c r="FU90" s="50"/>
      <c r="FV90" s="50"/>
      <c r="FW90" s="50"/>
      <c r="FX90" s="50"/>
      <c r="FY90" s="50"/>
      <c r="FZ90" s="50"/>
      <c r="GA90" s="50"/>
      <c r="GB90" s="50"/>
      <c r="GC90" s="50"/>
      <c r="GD90" s="50"/>
      <c r="GE90" s="50"/>
      <c r="GF90" s="113"/>
      <c r="GG90" s="113"/>
      <c r="GH90" s="90"/>
      <c r="GI90" s="64"/>
      <c r="GJ90" s="91"/>
      <c r="GK90" s="46"/>
      <c r="GL90" s="46"/>
      <c r="GM90" s="90"/>
      <c r="GN90" s="64"/>
      <c r="GO90" s="91"/>
      <c r="GP90" s="129"/>
      <c r="GQ90" s="130"/>
      <c r="GR90" s="90"/>
      <c r="GS90" s="64"/>
      <c r="GT90" s="64"/>
      <c r="GU90" s="46"/>
      <c r="GV90" s="92"/>
      <c r="GW90" s="90"/>
      <c r="GX90" s="64"/>
      <c r="GY90" s="84"/>
      <c r="GZ90" s="84"/>
      <c r="HA90" s="92"/>
      <c r="HB90" s="641"/>
      <c r="HC90" s="64"/>
      <c r="HD90" s="286"/>
      <c r="HE90" s="64"/>
      <c r="HF90" s="64"/>
      <c r="HG90" s="85"/>
      <c r="HH90" s="90"/>
      <c r="HI90" s="64"/>
      <c r="HJ90" s="86"/>
      <c r="HK90" s="46">
        <f>HE90/AD90</f>
        <v>0</v>
      </c>
      <c r="HL90" s="78">
        <f>(GS90+HE90)/AD90</f>
        <v>0</v>
      </c>
      <c r="HM90" s="86"/>
      <c r="HN90" s="87"/>
      <c r="HO90" s="87"/>
      <c r="HP90" s="88"/>
      <c r="HQ90" s="88"/>
      <c r="HR90" s="46">
        <f>(GR90+HD90+HQ90)/AD90</f>
        <v>0</v>
      </c>
      <c r="HS90" s="88"/>
      <c r="HT90" s="46">
        <f>(GS90+HE90+HQ90+HS90)/AD90</f>
        <v>0</v>
      </c>
      <c r="HU90" s="47"/>
      <c r="HV90" s="88"/>
      <c r="HW90" s="88"/>
      <c r="HX90" s="64">
        <f t="shared" si="161"/>
        <v>0</v>
      </c>
      <c r="HY90" s="93"/>
      <c r="HZ90" s="233"/>
      <c r="IA90" s="233"/>
      <c r="IB90" s="114"/>
      <c r="IC90" s="315"/>
      <c r="ID90" s="315"/>
      <c r="IE90" s="241"/>
      <c r="IF90" s="241"/>
      <c r="IG90" s="331"/>
      <c r="IH90" s="238"/>
      <c r="II90" s="332"/>
      <c r="IJ90" s="238"/>
      <c r="IK90" s="332"/>
      <c r="IL90" s="290"/>
      <c r="IM90" s="333"/>
      <c r="IN90" s="329"/>
      <c r="IO90" s="329"/>
      <c r="IP90" s="194"/>
      <c r="IQ90" s="331"/>
      <c r="IR90" s="194"/>
      <c r="IS90" s="331"/>
      <c r="IT90" s="290"/>
      <c r="IU90" s="290"/>
      <c r="IV90" s="290"/>
      <c r="IW90" s="290"/>
      <c r="IX90" s="268"/>
      <c r="IY90" s="268"/>
      <c r="IZ90" s="268"/>
      <c r="JA90" s="268"/>
      <c r="JB90" s="268"/>
      <c r="JC90" s="268"/>
      <c r="JD90" s="331"/>
      <c r="JE90" s="330"/>
      <c r="JF90" s="290"/>
      <c r="JG90" s="330"/>
      <c r="JH90" s="330"/>
      <c r="JI90" s="290"/>
    </row>
    <row r="91" spans="1:269" ht="15" customHeight="1">
      <c r="A91" s="95" t="s">
        <v>848</v>
      </c>
      <c r="B91" s="50" t="s">
        <v>35</v>
      </c>
      <c r="C91" s="50" t="s">
        <v>110</v>
      </c>
      <c r="D91" s="50">
        <v>2019</v>
      </c>
      <c r="E91" s="50"/>
      <c r="F91" s="51" t="s">
        <v>382</v>
      </c>
      <c r="G91" s="628"/>
      <c r="H91" s="51" t="s">
        <v>412</v>
      </c>
      <c r="I91" s="51"/>
      <c r="J91" s="50"/>
      <c r="K91" s="256"/>
      <c r="L91" s="166"/>
      <c r="M91" s="167"/>
      <c r="N91" s="168"/>
      <c r="O91" s="207"/>
      <c r="P91" s="207"/>
      <c r="Q91" s="207"/>
      <c r="R91" s="207"/>
      <c r="S91" s="213"/>
      <c r="T91" s="219"/>
      <c r="U91" s="219"/>
      <c r="V91" s="219"/>
      <c r="W91" s="207"/>
      <c r="X91" s="217"/>
      <c r="Y91" s="218"/>
      <c r="Z91" s="217"/>
      <c r="AA91" s="220"/>
      <c r="AB91" s="216"/>
      <c r="AC91" s="51" t="s">
        <v>433</v>
      </c>
      <c r="AD91" s="318">
        <f t="shared" si="212"/>
        <v>61</v>
      </c>
      <c r="AE91" s="61"/>
      <c r="AF91" s="61"/>
      <c r="AG91" s="50">
        <v>61</v>
      </c>
      <c r="AH91" s="50"/>
      <c r="AI91" s="268">
        <v>4348</v>
      </c>
      <c r="AJ91" s="55"/>
      <c r="AK91" s="55">
        <v>4313.55</v>
      </c>
      <c r="AL91" s="412">
        <v>4313.55</v>
      </c>
      <c r="AM91" s="54"/>
      <c r="AN91" s="57"/>
      <c r="AO91" s="57"/>
      <c r="AP91" s="57"/>
      <c r="AQ91" s="57"/>
      <c r="AR91" s="57"/>
      <c r="AS91" s="55"/>
      <c r="AT91" s="74"/>
      <c r="AU91" s="76"/>
      <c r="AV91" s="55"/>
      <c r="AW91" s="51"/>
      <c r="AX91" s="51"/>
      <c r="AY91" s="806">
        <v>10783875.512</v>
      </c>
      <c r="AZ91" s="51"/>
      <c r="BA91" s="190"/>
      <c r="BB91" s="190"/>
      <c r="BC91" s="110"/>
      <c r="BD91" s="110"/>
      <c r="BE91" s="285"/>
      <c r="BF91" s="204"/>
      <c r="BG91" s="96"/>
      <c r="BH91" s="96"/>
      <c r="BI91" s="204"/>
      <c r="BJ91" s="96"/>
      <c r="BK91" s="160"/>
      <c r="BL91" s="203"/>
      <c r="BM91" s="160"/>
      <c r="BN91" s="160"/>
      <c r="BO91" s="298"/>
      <c r="BP91" s="297"/>
      <c r="BQ91" s="297"/>
      <c r="BR91" s="297"/>
      <c r="BS91" s="297"/>
      <c r="BT91" s="686"/>
      <c r="BU91" s="686">
        <f t="shared" si="165"/>
        <v>0</v>
      </c>
      <c r="BV91" s="686">
        <f t="shared" si="166"/>
        <v>0</v>
      </c>
      <c r="BW91" s="160"/>
      <c r="BX91" s="160"/>
      <c r="BY91" s="101"/>
      <c r="BZ91" s="101"/>
      <c r="CA91" s="101"/>
      <c r="CB91" s="101"/>
      <c r="CC91" s="158"/>
      <c r="CD91" s="251"/>
      <c r="CE91" s="251"/>
      <c r="CF91" s="157"/>
      <c r="CG91" s="251"/>
      <c r="CH91" s="251"/>
      <c r="CI91" s="251"/>
      <c r="CJ91" s="251"/>
      <c r="CK91" s="603"/>
      <c r="CL91" s="123"/>
      <c r="CM91" s="123"/>
      <c r="CN91" s="123"/>
      <c r="CO91" s="529"/>
      <c r="CP91" s="123"/>
      <c r="CQ91" s="123"/>
      <c r="CR91" s="529"/>
      <c r="CS91" s="316"/>
      <c r="CT91" s="316"/>
      <c r="CU91" s="529"/>
      <c r="CV91" s="549"/>
      <c r="CW91" s="549"/>
      <c r="CX91" s="551"/>
      <c r="CY91" s="549"/>
      <c r="CZ91" s="549"/>
      <c r="DA91" s="551"/>
      <c r="DB91" s="459"/>
      <c r="DC91" s="550"/>
      <c r="DD91" s="543"/>
      <c r="DE91" s="539"/>
      <c r="DF91" s="535"/>
      <c r="DG91" s="543"/>
      <c r="DH91" s="703">
        <v>43862</v>
      </c>
      <c r="DI91" s="348"/>
      <c r="DJ91" s="446"/>
      <c r="DK91" s="535" t="str">
        <f t="shared" si="174"/>
        <v>0</v>
      </c>
      <c r="DL91" s="704">
        <v>16</v>
      </c>
      <c r="DM91" s="243"/>
      <c r="DN91" s="539"/>
      <c r="DO91" s="539"/>
      <c r="DP91" s="535"/>
      <c r="DQ91" s="539"/>
      <c r="DR91" s="557"/>
      <c r="DS91" s="536"/>
      <c r="DT91" s="539"/>
      <c r="DU91" s="539"/>
      <c r="DV91" s="535"/>
      <c r="DW91" s="539"/>
      <c r="DX91" s="539"/>
      <c r="DY91" s="535"/>
      <c r="DZ91" s="539"/>
      <c r="EA91" s="539"/>
      <c r="EB91" s="535"/>
      <c r="EC91" s="539"/>
      <c r="ED91" s="539"/>
      <c r="EE91" s="535"/>
      <c r="EF91" s="539"/>
      <c r="EG91" s="539"/>
      <c r="EH91" s="535"/>
      <c r="EI91" s="539"/>
      <c r="EJ91" s="539"/>
      <c r="EK91" s="539"/>
      <c r="EL91" s="760">
        <f t="shared" si="183"/>
        <v>44348</v>
      </c>
      <c r="EM91" s="759">
        <f t="shared" si="225"/>
        <v>44440</v>
      </c>
      <c r="EN91" s="756">
        <f t="shared" si="184"/>
        <v>3.0666666666666669</v>
      </c>
      <c r="EO91" s="580"/>
      <c r="EP91" s="244"/>
      <c r="EQ91" s="244"/>
      <c r="ER91" s="186">
        <f>DATE(YEAR(EM91),MONTH(EM91),DAY(EM91)+15)</f>
        <v>44455</v>
      </c>
      <c r="ES91" s="467"/>
      <c r="ET91" s="578">
        <f t="shared" si="185"/>
        <v>44378</v>
      </c>
      <c r="EU91" s="759">
        <f t="shared" si="217"/>
        <v>44485</v>
      </c>
      <c r="EV91" s="581"/>
      <c r="EW91" s="753">
        <f t="shared" si="186"/>
        <v>3.5666666666666669</v>
      </c>
      <c r="EX91" s="722"/>
      <c r="EY91" s="247">
        <f t="shared" si="187"/>
        <v>0</v>
      </c>
      <c r="EZ91" s="118"/>
      <c r="FA91" s="562"/>
      <c r="FB91" s="562">
        <v>0</v>
      </c>
      <c r="FC91" s="562"/>
      <c r="FD91" s="562"/>
      <c r="FE91" s="562"/>
      <c r="FF91" s="562"/>
      <c r="FG91" s="559"/>
      <c r="FH91" s="571"/>
      <c r="FI91" s="571"/>
      <c r="FJ91" s="559"/>
      <c r="FK91" s="124"/>
      <c r="FL91" s="124"/>
      <c r="FM91" s="124"/>
      <c r="FN91" s="124"/>
      <c r="FO91" s="124"/>
      <c r="FP91" s="51"/>
      <c r="FQ91" s="279">
        <f t="shared" si="162"/>
        <v>44805</v>
      </c>
      <c r="FR91" s="279"/>
      <c r="FS91" s="51"/>
      <c r="FT91" s="51"/>
      <c r="FU91" s="51"/>
      <c r="FV91" s="51"/>
      <c r="FW91" s="51"/>
      <c r="FX91" s="51"/>
      <c r="FY91" s="51"/>
      <c r="FZ91" s="51"/>
      <c r="GA91" s="51"/>
      <c r="GB91" s="51"/>
      <c r="GC91" s="51"/>
      <c r="GD91" s="51"/>
      <c r="GE91" s="51"/>
      <c r="GF91" s="113"/>
      <c r="GG91" s="113"/>
      <c r="GH91" s="90"/>
      <c r="GI91" s="64"/>
      <c r="GJ91" s="91"/>
      <c r="GK91" s="46"/>
      <c r="GL91" s="46"/>
      <c r="GM91" s="286"/>
      <c r="GN91" s="69"/>
      <c r="GO91" s="91"/>
      <c r="GP91" s="129"/>
      <c r="GQ91" s="130"/>
      <c r="GR91" s="286"/>
      <c r="GS91" s="64"/>
      <c r="GT91" s="657"/>
      <c r="GU91" s="46"/>
      <c r="GV91" s="92"/>
      <c r="GW91" s="747"/>
      <c r="GX91" s="64"/>
      <c r="GY91" s="292"/>
      <c r="GZ91" s="292"/>
      <c r="HA91" s="92"/>
      <c r="HB91" s="641"/>
      <c r="HC91" s="390"/>
      <c r="HD91" s="286"/>
      <c r="HE91" s="69"/>
      <c r="HF91" s="69"/>
      <c r="HG91" s="85"/>
      <c r="HH91" s="396"/>
      <c r="HI91" s="69"/>
      <c r="HJ91" s="86"/>
      <c r="HK91" s="46"/>
      <c r="HL91" s="78"/>
      <c r="HM91" s="86"/>
      <c r="HN91" s="87"/>
      <c r="HO91" s="87"/>
      <c r="HP91" s="413"/>
      <c r="HQ91" s="413"/>
      <c r="HR91" s="46"/>
      <c r="HS91" s="413"/>
      <c r="HT91" s="46"/>
      <c r="HU91" s="47"/>
      <c r="HV91" s="413"/>
      <c r="HW91" s="413"/>
      <c r="HX91" s="64">
        <f t="shared" si="161"/>
        <v>0</v>
      </c>
      <c r="HY91" s="93"/>
      <c r="HZ91" s="276"/>
      <c r="IA91" s="276"/>
      <c r="IB91" s="277"/>
      <c r="IC91" s="276"/>
      <c r="ID91" s="276"/>
      <c r="IE91" s="269"/>
      <c r="IF91" s="269"/>
      <c r="IG91" s="464"/>
      <c r="IH91" s="269"/>
      <c r="II91" s="273"/>
      <c r="IJ91" s="269"/>
      <c r="IK91" s="466"/>
      <c r="IL91" s="278"/>
      <c r="IM91" s="283"/>
      <c r="IN91" s="281"/>
      <c r="IO91" s="281"/>
      <c r="IP91" s="275"/>
      <c r="IQ91" s="280"/>
      <c r="IR91" s="275"/>
      <c r="IS91" s="280"/>
      <c r="IT91" s="299"/>
      <c r="IU91" s="299"/>
      <c r="IV91" s="299"/>
      <c r="IW91" s="299"/>
      <c r="IX91" s="268"/>
      <c r="IY91" s="268"/>
      <c r="IZ91" s="268"/>
      <c r="JA91" s="268"/>
      <c r="JB91" s="268"/>
      <c r="JC91" s="268"/>
      <c r="JD91" s="276"/>
      <c r="JE91" s="270"/>
      <c r="JF91" s="278"/>
      <c r="JG91" s="270"/>
      <c r="JH91" s="270"/>
      <c r="JI91" s="278"/>
    </row>
    <row r="92" spans="1:269" ht="15" customHeight="1">
      <c r="A92" s="572" t="s">
        <v>783</v>
      </c>
      <c r="B92" s="50" t="s">
        <v>35</v>
      </c>
      <c r="C92" s="50" t="s">
        <v>110</v>
      </c>
      <c r="D92" s="50">
        <v>2019</v>
      </c>
      <c r="E92" s="50" t="s">
        <v>664</v>
      </c>
      <c r="F92" s="50" t="s">
        <v>378</v>
      </c>
      <c r="G92" s="50" t="s">
        <v>279</v>
      </c>
      <c r="H92" s="52" t="s">
        <v>412</v>
      </c>
      <c r="I92" s="50"/>
      <c r="J92" s="50" t="s">
        <v>656</v>
      </c>
      <c r="K92" s="256" t="s">
        <v>822</v>
      </c>
      <c r="L92" s="166"/>
      <c r="M92" s="167"/>
      <c r="N92" s="305" t="s">
        <v>665</v>
      </c>
      <c r="O92" s="207">
        <f>1017+580</f>
        <v>1597</v>
      </c>
      <c r="P92" s="207">
        <f>150000+300000</f>
        <v>450000</v>
      </c>
      <c r="Q92" s="207"/>
      <c r="R92" s="207">
        <f t="shared" ref="R92:R98" si="226">P92/AD92</f>
        <v>15000</v>
      </c>
      <c r="S92" s="207">
        <f t="shared" ref="S92:S98" si="227">P92/O92</f>
        <v>281.77833437695682</v>
      </c>
      <c r="T92" s="213">
        <f t="shared" ref="T92:T98" si="228">Q92/O92</f>
        <v>0</v>
      </c>
      <c r="U92" s="213" t="e">
        <f t="shared" ref="U92:U98" si="229">Q92/AL92</f>
        <v>#DIV/0!</v>
      </c>
      <c r="V92" s="213">
        <f t="shared" ref="V92:V98" si="230">Q92/AD92</f>
        <v>0</v>
      </c>
      <c r="W92" s="207">
        <f t="shared" ref="W92:W98" si="231">O92/AD92</f>
        <v>53.233333333333334</v>
      </c>
      <c r="X92" s="208"/>
      <c r="Y92" s="216">
        <f t="shared" ref="Y92:Y98" si="232">AL92/O92</f>
        <v>0</v>
      </c>
      <c r="Z92" s="208"/>
      <c r="AA92" s="208"/>
      <c r="AB92" s="209"/>
      <c r="AC92" s="50" t="s">
        <v>433</v>
      </c>
      <c r="AD92" s="318">
        <f t="shared" si="212"/>
        <v>30</v>
      </c>
      <c r="AE92" s="115"/>
      <c r="AF92" s="61"/>
      <c r="AG92" s="50">
        <v>30</v>
      </c>
      <c r="AH92" s="61"/>
      <c r="AI92" s="268"/>
      <c r="AJ92" s="54">
        <v>2237</v>
      </c>
      <c r="AK92" s="54"/>
      <c r="AL92" s="89"/>
      <c r="AM92" s="54"/>
      <c r="AN92" s="75"/>
      <c r="AO92" s="75"/>
      <c r="AP92" s="75"/>
      <c r="AQ92" s="75"/>
      <c r="AR92" s="75"/>
      <c r="AS92" s="54"/>
      <c r="AT92" s="73"/>
      <c r="AU92" s="75"/>
      <c r="AV92" s="54"/>
      <c r="AW92" s="53"/>
      <c r="AX92" s="50"/>
      <c r="AY92" s="785"/>
      <c r="AZ92" s="50"/>
      <c r="BA92" s="238"/>
      <c r="BB92" s="238"/>
      <c r="BC92" s="110"/>
      <c r="BD92" s="110"/>
      <c r="BE92" s="94"/>
      <c r="BF92" s="204"/>
      <c r="BG92" s="96"/>
      <c r="BH92" s="96"/>
      <c r="BI92" s="204"/>
      <c r="BJ92" s="96"/>
      <c r="BK92" s="160"/>
      <c r="BL92" s="203"/>
      <c r="BM92" s="160"/>
      <c r="BN92" s="160"/>
      <c r="BO92" s="298">
        <f t="shared" ref="BO92:BO107" si="233">BL92</f>
        <v>0</v>
      </c>
      <c r="BP92" s="297">
        <f t="shared" ref="BP92:BP107" si="234">DATE(YEAR(BO92),MONTH(BO92)+24,DAY(BO92))</f>
        <v>731</v>
      </c>
      <c r="BQ92" s="297">
        <f t="shared" ref="BQ92:BQ107" si="235">DATE(YEAR(BO92),MONTH(BO92)+36,DAY(BO92))</f>
        <v>1096</v>
      </c>
      <c r="BR92" s="297"/>
      <c r="BS92" s="297" t="str">
        <f t="shared" ref="BS92:BS107" si="236">IF(EU92&gt;BP92,"oui","non")</f>
        <v>oui</v>
      </c>
      <c r="BT92" s="686" t="e">
        <f t="shared" ref="BT92:BT107" si="237">DATEDIF(EU92,BQ92,"M")</f>
        <v>#NUM!</v>
      </c>
      <c r="BU92" s="686" t="e">
        <f t="shared" si="165"/>
        <v>#NUM!</v>
      </c>
      <c r="BV92" s="686" t="e">
        <f t="shared" si="166"/>
        <v>#NUM!</v>
      </c>
      <c r="BW92" s="160"/>
      <c r="BX92" s="165"/>
      <c r="BY92" s="97"/>
      <c r="BZ92" s="98"/>
      <c r="CA92" s="98"/>
      <c r="CB92" s="98"/>
      <c r="CC92" s="158"/>
      <c r="CD92" s="251"/>
      <c r="CE92" s="251"/>
      <c r="CF92" s="157"/>
      <c r="CG92" s="251"/>
      <c r="CH92" s="251"/>
      <c r="CI92" s="251"/>
      <c r="CJ92" s="251" t="s">
        <v>165</v>
      </c>
      <c r="CK92" s="604"/>
      <c r="CL92" s="546">
        <v>43150</v>
      </c>
      <c r="CM92" s="549">
        <v>43151</v>
      </c>
      <c r="CN92" s="549"/>
      <c r="CO92" s="551" t="str">
        <f>IF(AND(CM92&gt;0,CN92&gt;0),CN92-CM92,"0")</f>
        <v>0</v>
      </c>
      <c r="CP92" s="549">
        <v>43266</v>
      </c>
      <c r="CQ92" s="549">
        <v>43266</v>
      </c>
      <c r="CR92" s="551">
        <f>IF(AND(CP92&gt;0,CQ92&gt;0),CQ92-CP92,"0")</f>
        <v>0</v>
      </c>
      <c r="CS92" s="549">
        <v>43245</v>
      </c>
      <c r="CT92" s="549">
        <f ca="1">IF(CS92&lt;TODAY(),TODAY(),CS92)</f>
        <v>43332</v>
      </c>
      <c r="CU92" s="551">
        <f ca="1">IF(AND(CS92&gt;0,CT92&gt;0),CT92-CS92,"0")</f>
        <v>87</v>
      </c>
      <c r="CV92" s="549">
        <v>43326</v>
      </c>
      <c r="CW92" s="549">
        <f ca="1">IF(CV92&lt;TODAY(),TODAY(),CV92)</f>
        <v>43332</v>
      </c>
      <c r="CX92" s="551">
        <f ca="1">IF(AND(CV92&gt;0,CW92&gt;0),CW92-CV92,"0")</f>
        <v>6</v>
      </c>
      <c r="CY92" s="549">
        <v>43388</v>
      </c>
      <c r="CZ92" s="549">
        <f ca="1">IF(CY92&lt;TODAY(),TODAY(),CY92)</f>
        <v>43388</v>
      </c>
      <c r="DA92" s="551">
        <f ca="1">IF(AND(CY92&gt;0,CZ92&gt;0),CZ92-CY92,"0")</f>
        <v>0</v>
      </c>
      <c r="DB92" s="457"/>
      <c r="DC92" s="550"/>
      <c r="DD92" s="533">
        <v>43676</v>
      </c>
      <c r="DE92" s="539">
        <f ca="1">IF(DD92&lt;TODAY(),TODAY(),DD92)</f>
        <v>43676</v>
      </c>
      <c r="DF92" s="535">
        <f ca="1">IF(AND(DD92&gt;0,DE92&gt;0),DE92-DD92,"0")</f>
        <v>0</v>
      </c>
      <c r="DG92" s="533">
        <v>43691</v>
      </c>
      <c r="DH92" s="703">
        <v>43926</v>
      </c>
      <c r="DI92" s="348"/>
      <c r="DJ92" s="446">
        <f>(DATEDIF(BF92,DH92,"d"))/30</f>
        <v>1464.2</v>
      </c>
      <c r="DK92" s="535">
        <f t="shared" si="174"/>
        <v>235</v>
      </c>
      <c r="DL92" s="704">
        <v>16</v>
      </c>
      <c r="DM92" s="243">
        <f>DATEDIF(DH92,EM92,"M")</f>
        <v>19</v>
      </c>
      <c r="DN92" s="533"/>
      <c r="DO92" s="539">
        <f ca="1">IF(DN92&lt;TODAY(),TODAY(),DN92)</f>
        <v>43332</v>
      </c>
      <c r="DP92" s="535" t="str">
        <f ca="1">IF(AND(DN92&gt;0,DO92&gt;0),DO92-DN92,"0")</f>
        <v>0</v>
      </c>
      <c r="DQ92" s="533"/>
      <c r="DR92" s="557">
        <f ca="1">IF(DQ92&lt;TODAY(),TODAY(),DQ92)</f>
        <v>43332</v>
      </c>
      <c r="DS92" s="536" t="str">
        <f ca="1">IF(AND(DQ92&gt;0,DR92&gt;0),DR92-DQ92,"0")</f>
        <v>0</v>
      </c>
      <c r="DT92" s="537"/>
      <c r="DU92" s="539">
        <f ca="1">IF(DT92&lt;TODAY(),TODAY(),DT92)</f>
        <v>43332</v>
      </c>
      <c r="DV92" s="535" t="str">
        <f ca="1">IF(AND(DT92&gt;0,DU92&gt;0),DU92-DT92,"0")</f>
        <v>0</v>
      </c>
      <c r="DW92" s="539"/>
      <c r="DX92" s="539">
        <f ca="1">IF(DW92&lt;TODAY(),TODAY(),DW92)</f>
        <v>43332</v>
      </c>
      <c r="DY92" s="535" t="str">
        <f ca="1">IF(AND(DW92&gt;0,DX92&gt;0),DX92-DW92,"0")</f>
        <v>0</v>
      </c>
      <c r="DZ92" s="539"/>
      <c r="EA92" s="539">
        <f ca="1">IF(DZ92&lt;TODAY(),TODAY(),DZ92)</f>
        <v>43332</v>
      </c>
      <c r="EB92" s="535" t="str">
        <f ca="1">IF(AND(DZ92&gt;0,EA92&gt;0),EA92-DZ92,"0")</f>
        <v>0</v>
      </c>
      <c r="EC92" s="539"/>
      <c r="ED92" s="539">
        <f ca="1">IF(EC92&lt;TODAY(),TODAY(),EC92)</f>
        <v>43332</v>
      </c>
      <c r="EE92" s="535" t="str">
        <f ca="1">IF(AND(EC92&gt;0,ED92&gt;0),ED92-EC92,"0")</f>
        <v>0</v>
      </c>
      <c r="EF92" s="539"/>
      <c r="EG92" s="539">
        <f ca="1">IF(EF92&lt;TODAY(),TODAY(),EF92)</f>
        <v>43332</v>
      </c>
      <c r="EH92" s="535" t="str">
        <f ca="1">IF(AND(EF92&gt;0,EG92&gt;0),EG92-EF92,"0")</f>
        <v>0</v>
      </c>
      <c r="EI92" s="539"/>
      <c r="EJ92" s="539"/>
      <c r="EK92" s="539"/>
      <c r="EL92" s="760">
        <f t="shared" si="183"/>
        <v>44413</v>
      </c>
      <c r="EM92" s="759">
        <f t="shared" si="225"/>
        <v>44505</v>
      </c>
      <c r="EN92" s="756">
        <f t="shared" si="184"/>
        <v>3.0666666666666669</v>
      </c>
      <c r="EO92" s="580">
        <f>DATE(YEAR(CI92)+2,MONTH(CI92),DAY(CI92))</f>
        <v>731</v>
      </c>
      <c r="EP92" s="244"/>
      <c r="EQ92" s="244"/>
      <c r="ER92" s="186">
        <f t="shared" ref="ER92:ER97" si="238">DATE(YEAR(EM92),MONTH(EM92)+1,DAY(EM92))</f>
        <v>44535</v>
      </c>
      <c r="ES92" s="467"/>
      <c r="ET92" s="578">
        <f t="shared" si="185"/>
        <v>44444</v>
      </c>
      <c r="EU92" s="759">
        <f t="shared" si="217"/>
        <v>44566</v>
      </c>
      <c r="EV92" s="581"/>
      <c r="EW92" s="753">
        <f t="shared" si="186"/>
        <v>4.0666666666666664</v>
      </c>
      <c r="EX92" s="722"/>
      <c r="EY92" s="247">
        <f t="shared" si="187"/>
        <v>0</v>
      </c>
      <c r="EZ92" s="118"/>
      <c r="FA92" s="562">
        <v>0</v>
      </c>
      <c r="FB92" s="562">
        <v>0</v>
      </c>
      <c r="FC92" s="562"/>
      <c r="FD92" s="562"/>
      <c r="FE92" s="562"/>
      <c r="FF92" s="562"/>
      <c r="FG92" s="559"/>
      <c r="FH92" s="571"/>
      <c r="FI92" s="559" t="s">
        <v>738</v>
      </c>
      <c r="FJ92" s="559"/>
      <c r="FK92" s="122"/>
      <c r="FL92" s="122"/>
      <c r="FM92" s="122"/>
      <c r="FN92" s="122"/>
      <c r="FO92" s="122"/>
      <c r="FP92" s="50"/>
      <c r="FQ92" s="279">
        <f t="shared" si="162"/>
        <v>44870</v>
      </c>
      <c r="FR92" s="279"/>
      <c r="FS92" s="50"/>
      <c r="FT92" s="50"/>
      <c r="FU92" s="50"/>
      <c r="FV92" s="50"/>
      <c r="FW92" s="50"/>
      <c r="FX92" s="50"/>
      <c r="FY92" s="50"/>
      <c r="FZ92" s="50"/>
      <c r="GA92" s="50"/>
      <c r="GB92" s="50"/>
      <c r="GC92" s="50"/>
      <c r="GD92" s="50"/>
      <c r="GE92" s="50"/>
      <c r="GF92" s="113"/>
      <c r="GG92" s="113"/>
      <c r="GH92" s="90">
        <f>+GR92+GW92+HD92+HX92+HI92</f>
        <v>5276624</v>
      </c>
      <c r="GI92" s="64">
        <f>GS92+GX92+HE92+HX92+HF92+HI92</f>
        <v>0</v>
      </c>
      <c r="GJ92" s="91">
        <f>GI92-GH92</f>
        <v>-5276624</v>
      </c>
      <c r="GK92" s="46">
        <f>GH92/AJ92</f>
        <v>2358.7948144836837</v>
      </c>
      <c r="GL92" s="46">
        <f>GH92/AD92</f>
        <v>175887.46666666667</v>
      </c>
      <c r="GM92" s="90"/>
      <c r="GN92" s="64"/>
      <c r="GO92" s="91">
        <f>GN92-GM92</f>
        <v>0</v>
      </c>
      <c r="GP92" s="129" t="e">
        <f>GN92*1.021/GI92</f>
        <v>#DIV/0!</v>
      </c>
      <c r="GQ92" s="130">
        <v>0.4</v>
      </c>
      <c r="GR92" s="90">
        <v>1821843</v>
      </c>
      <c r="GS92" s="64"/>
      <c r="GT92" s="64"/>
      <c r="GU92" s="46">
        <f>GS92/AD92</f>
        <v>0</v>
      </c>
      <c r="GV92" s="92"/>
      <c r="GW92" s="90">
        <v>3454781</v>
      </c>
      <c r="GX92" s="64">
        <f>GY92+GZ92</f>
        <v>0</v>
      </c>
      <c r="GY92" s="84"/>
      <c r="GZ92" s="84"/>
      <c r="HA92" s="92">
        <f>GX92-GW92</f>
        <v>-3454781</v>
      </c>
      <c r="HB92" s="641">
        <f>GX92/AD92</f>
        <v>0</v>
      </c>
      <c r="HC92" s="64"/>
      <c r="HD92" s="90"/>
      <c r="HE92" s="64"/>
      <c r="HF92" s="64"/>
      <c r="HG92" s="85" t="e">
        <f>HE92/GI92</f>
        <v>#DIV/0!</v>
      </c>
      <c r="HH92" s="302"/>
      <c r="HI92" s="64"/>
      <c r="HJ92" s="86">
        <f>HE92-HD92</f>
        <v>0</v>
      </c>
      <c r="HK92" s="46">
        <f>HE92/AD92</f>
        <v>0</v>
      </c>
      <c r="HL92" s="78">
        <f>(GS92+HE92)/AD92</f>
        <v>0</v>
      </c>
      <c r="HM92" s="86">
        <f>HJ92/AD92</f>
        <v>0</v>
      </c>
      <c r="HN92" s="87">
        <v>6.31</v>
      </c>
      <c r="HO92" s="87"/>
      <c r="HP92" s="88"/>
      <c r="HQ92" s="88"/>
      <c r="HR92" s="46">
        <f>(GR92+HD92+HQ92)/AD92</f>
        <v>60728.1</v>
      </c>
      <c r="HS92" s="88"/>
      <c r="HT92" s="46">
        <f>(GS92+HE92+HQ92+HS92)/AD92</f>
        <v>0</v>
      </c>
      <c r="HU92" s="47">
        <f>(GR92+HD92+HQ92+HS92)/(HP92+GH92-HV92)</f>
        <v>0.34526678421657486</v>
      </c>
      <c r="HV92" s="88"/>
      <c r="HW92" s="88"/>
      <c r="HX92" s="64">
        <f t="shared" si="161"/>
        <v>0</v>
      </c>
      <c r="HY92" s="93">
        <f>GH92+HP92</f>
        <v>5276624</v>
      </c>
      <c r="HZ92" s="276"/>
      <c r="IA92" s="276">
        <f>IC92+IE92+IG92+II92+IK92+IM92+IO92+IQ92+IS92+IU92+IW92+IY92+JA92+JC92+JE92+JG92+JI92</f>
        <v>0</v>
      </c>
      <c r="IB92" s="114"/>
      <c r="IC92" s="233"/>
      <c r="ID92" s="233"/>
      <c r="IE92" s="114"/>
      <c r="IF92" s="114"/>
      <c r="IG92" s="233"/>
      <c r="IH92" s="114"/>
      <c r="II92" s="233"/>
      <c r="IJ92" s="114"/>
      <c r="IK92" s="233"/>
      <c r="IL92" s="115"/>
      <c r="IM92" s="322"/>
      <c r="IN92" s="314"/>
      <c r="IO92" s="314"/>
      <c r="IP92" s="275"/>
      <c r="IQ92" s="284"/>
      <c r="IR92" s="275"/>
      <c r="IS92" s="284"/>
      <c r="IT92" s="299"/>
      <c r="IU92" s="299"/>
      <c r="IV92" s="299"/>
      <c r="IW92" s="299"/>
      <c r="IX92" s="268"/>
      <c r="IY92" s="268"/>
      <c r="IZ92" s="268"/>
      <c r="JA92" s="268"/>
      <c r="JB92" s="268"/>
      <c r="JC92" s="268"/>
      <c r="JD92" s="233"/>
      <c r="JE92" s="123"/>
      <c r="JF92" s="115"/>
      <c r="JG92" s="123"/>
      <c r="JH92" s="123"/>
      <c r="JI92" s="115"/>
    </row>
    <row r="93" spans="1:269" ht="15" customHeight="1">
      <c r="A93" s="83" t="s">
        <v>622</v>
      </c>
      <c r="B93" s="50" t="s">
        <v>35</v>
      </c>
      <c r="C93" s="50" t="s">
        <v>110</v>
      </c>
      <c r="D93" s="50">
        <v>2019</v>
      </c>
      <c r="E93" s="50"/>
      <c r="F93" s="50" t="s">
        <v>55</v>
      </c>
      <c r="G93" s="50"/>
      <c r="H93" s="50" t="s">
        <v>241</v>
      </c>
      <c r="I93" s="50"/>
      <c r="J93" s="50" t="s">
        <v>611</v>
      </c>
      <c r="K93" s="256" t="s">
        <v>640</v>
      </c>
      <c r="L93" s="166" t="s">
        <v>612</v>
      </c>
      <c r="M93" s="167"/>
      <c r="N93" s="168"/>
      <c r="O93" s="207">
        <v>5498</v>
      </c>
      <c r="P93" s="207">
        <v>924932</v>
      </c>
      <c r="Q93" s="207"/>
      <c r="R93" s="207">
        <f t="shared" si="226"/>
        <v>22022.190476190477</v>
      </c>
      <c r="S93" s="207">
        <f t="shared" si="227"/>
        <v>168.23062931975264</v>
      </c>
      <c r="T93" s="213">
        <f t="shared" si="228"/>
        <v>0</v>
      </c>
      <c r="U93" s="213" t="e">
        <f t="shared" si="229"/>
        <v>#DIV/0!</v>
      </c>
      <c r="V93" s="213">
        <f t="shared" si="230"/>
        <v>0</v>
      </c>
      <c r="W93" s="207">
        <f t="shared" si="231"/>
        <v>130.9047619047619</v>
      </c>
      <c r="X93" s="208"/>
      <c r="Y93" s="216">
        <f t="shared" si="232"/>
        <v>0</v>
      </c>
      <c r="Z93" s="208" t="s">
        <v>185</v>
      </c>
      <c r="AA93" s="208">
        <v>580</v>
      </c>
      <c r="AB93" s="209">
        <v>0.1</v>
      </c>
      <c r="AC93" s="50" t="s">
        <v>15</v>
      </c>
      <c r="AD93" s="318">
        <f t="shared" si="212"/>
        <v>42</v>
      </c>
      <c r="AE93" s="50">
        <v>42</v>
      </c>
      <c r="AF93" s="61"/>
      <c r="AG93" s="61"/>
      <c r="AH93" s="61"/>
      <c r="AI93" s="268"/>
      <c r="AJ93" s="54"/>
      <c r="AK93" s="54"/>
      <c r="AL93" s="89"/>
      <c r="AM93" s="7"/>
      <c r="AN93" s="75"/>
      <c r="AO93" s="75"/>
      <c r="AP93" s="75"/>
      <c r="AQ93" s="75"/>
      <c r="AR93" s="75"/>
      <c r="AS93" s="54"/>
      <c r="AT93" s="73"/>
      <c r="AU93" s="75"/>
      <c r="AV93" s="54"/>
      <c r="AW93" s="50"/>
      <c r="AX93" s="50"/>
      <c r="AY93" s="785"/>
      <c r="AZ93" s="50"/>
      <c r="BA93" s="50"/>
      <c r="BB93" s="50"/>
      <c r="BC93" s="110"/>
      <c r="BD93" s="110"/>
      <c r="BE93" s="94"/>
      <c r="BF93" s="204"/>
      <c r="BG93" s="96"/>
      <c r="BH93" s="96"/>
      <c r="BI93" s="204"/>
      <c r="BJ93" s="96"/>
      <c r="BK93" s="160"/>
      <c r="BL93" s="203"/>
      <c r="BM93" s="160"/>
      <c r="BN93" s="160"/>
      <c r="BO93" s="298">
        <f t="shared" si="233"/>
        <v>0</v>
      </c>
      <c r="BP93" s="297">
        <f t="shared" si="234"/>
        <v>731</v>
      </c>
      <c r="BQ93" s="297">
        <f t="shared" si="235"/>
        <v>1096</v>
      </c>
      <c r="BR93" s="297"/>
      <c r="BS93" s="297" t="str">
        <f t="shared" si="236"/>
        <v>oui</v>
      </c>
      <c r="BT93" s="686" t="e">
        <f t="shared" si="237"/>
        <v>#NUM!</v>
      </c>
      <c r="BU93" s="686" t="e">
        <f t="shared" si="165"/>
        <v>#NUM!</v>
      </c>
      <c r="BV93" s="686" t="e">
        <f t="shared" si="166"/>
        <v>#NUM!</v>
      </c>
      <c r="BW93" s="160"/>
      <c r="BX93" s="165"/>
      <c r="BY93" s="97"/>
      <c r="BZ93" s="98"/>
      <c r="CA93" s="98"/>
      <c r="CB93" s="98"/>
      <c r="CC93" s="158"/>
      <c r="CD93" s="251"/>
      <c r="CE93" s="251"/>
      <c r="CF93" s="157"/>
      <c r="CG93" s="251"/>
      <c r="CH93" s="251"/>
      <c r="CI93" s="251"/>
      <c r="CJ93" s="251" t="s">
        <v>165</v>
      </c>
      <c r="CK93" s="604"/>
      <c r="CL93" s="546"/>
      <c r="CM93" s="549"/>
      <c r="CN93" s="549"/>
      <c r="CO93" s="551" t="str">
        <f>IF(AND(CM93&gt;0,CN93&gt;0),CN93-CM93,"0")</f>
        <v>0</v>
      </c>
      <c r="CP93" s="549"/>
      <c r="CQ93" s="549"/>
      <c r="CR93" s="551" t="str">
        <f>IF(AND(CP93&gt;0,CQ93&gt;0),CQ93-CP93,"0")</f>
        <v>0</v>
      </c>
      <c r="CS93" s="549"/>
      <c r="CT93" s="549"/>
      <c r="CU93" s="551" t="str">
        <f>IF(AND(CS93&gt;0,CT93&gt;0),CT93-CS93,"0")</f>
        <v>0</v>
      </c>
      <c r="CV93" s="549"/>
      <c r="CW93" s="549"/>
      <c r="CX93" s="551" t="str">
        <f>IF(AND(CV93&gt;0,CW93&gt;0),CW93-CV93,"0")</f>
        <v>0</v>
      </c>
      <c r="CY93" s="552"/>
      <c r="CZ93" s="553"/>
      <c r="DA93" s="551" t="str">
        <f>IF(AND(CY93&gt;0,CZ93&gt;0),CZ93-CY93,"0")</f>
        <v>0</v>
      </c>
      <c r="DB93" s="457"/>
      <c r="DC93" s="554"/>
      <c r="DD93" s="533"/>
      <c r="DE93" s="534"/>
      <c r="DF93" s="535" t="str">
        <f>IF(AND(DD93&gt;0,DE93&gt;0),DE93-DD93,"0")</f>
        <v>0</v>
      </c>
      <c r="DG93" s="533"/>
      <c r="DH93" s="703">
        <v>44013</v>
      </c>
      <c r="DI93" s="348"/>
      <c r="DJ93" s="446">
        <f>(DATEDIF(BF93,DH93,"d"))/30</f>
        <v>1467.1</v>
      </c>
      <c r="DK93" s="535" t="str">
        <f t="shared" si="174"/>
        <v>0</v>
      </c>
      <c r="DL93" s="704">
        <v>24</v>
      </c>
      <c r="DM93" s="243">
        <f>DATEDIF(DH93,EM93,"M")</f>
        <v>27</v>
      </c>
      <c r="DN93" s="533"/>
      <c r="DO93" s="534"/>
      <c r="DP93" s="535" t="str">
        <f>IF(AND(DN93&gt;0,DO93&gt;0),DO93-DN93,"0")</f>
        <v>0</v>
      </c>
      <c r="DQ93" s="533"/>
      <c r="DR93" s="557"/>
      <c r="DS93" s="536" t="str">
        <f>IF(AND(DQ93&gt;0,DR93&gt;0),DR93-DQ93,"0")</f>
        <v>0</v>
      </c>
      <c r="DT93" s="537"/>
      <c r="DU93" s="538">
        <f ca="1">IF(DT93&lt;TODAY(),TODAY(),DT93)</f>
        <v>43332</v>
      </c>
      <c r="DV93" s="535" t="str">
        <f ca="1">IF(AND(DT93&gt;0,DU93&gt;0),DU93-DT93,"0")</f>
        <v>0</v>
      </c>
      <c r="DW93" s="539"/>
      <c r="DX93" s="539"/>
      <c r="DY93" s="535" t="str">
        <f>IF(AND(DW93&gt;0,DX93&gt;0),DX93-DW93,"0")</f>
        <v>0</v>
      </c>
      <c r="DZ93" s="539"/>
      <c r="EA93" s="539"/>
      <c r="EB93" s="535" t="str">
        <f>IF(AND(DZ93&gt;0,EA93&gt;0),EA93-DZ93,"0")</f>
        <v>0</v>
      </c>
      <c r="EC93" s="539"/>
      <c r="ED93" s="539"/>
      <c r="EE93" s="535" t="str">
        <f>IF(AND(EC93&gt;0,ED93&gt;0),ED93-EC93,"0")</f>
        <v>0</v>
      </c>
      <c r="EF93" s="539"/>
      <c r="EG93" s="539">
        <f ca="1">IF(EF93&lt;TODAY(),TODAY(),EF93)</f>
        <v>43332</v>
      </c>
      <c r="EH93" s="535" t="str">
        <f ca="1">IF(AND(EF93&gt;0,EG93&gt;0),EG93-EF93,"0")</f>
        <v>0</v>
      </c>
      <c r="EI93" s="539"/>
      <c r="EJ93" s="539"/>
      <c r="EK93" s="539"/>
      <c r="EL93" s="760">
        <f t="shared" si="183"/>
        <v>44743</v>
      </c>
      <c r="EM93" s="759">
        <f t="shared" si="225"/>
        <v>44835</v>
      </c>
      <c r="EN93" s="756">
        <f t="shared" si="184"/>
        <v>3.0666666666666669</v>
      </c>
      <c r="EO93" s="580">
        <f>DATE(YEAR(CI93)+2,MONTH(CI93),DAY(CI93))</f>
        <v>731</v>
      </c>
      <c r="EP93" s="244"/>
      <c r="EQ93" s="244"/>
      <c r="ER93" s="186">
        <f t="shared" si="238"/>
        <v>44866</v>
      </c>
      <c r="ES93" s="467"/>
      <c r="ET93" s="578">
        <f t="shared" si="185"/>
        <v>44774</v>
      </c>
      <c r="EU93" s="759">
        <f t="shared" si="217"/>
        <v>44896</v>
      </c>
      <c r="EV93" s="581"/>
      <c r="EW93" s="753">
        <f t="shared" si="186"/>
        <v>4.0666666666666664</v>
      </c>
      <c r="EX93" s="722"/>
      <c r="EY93" s="247">
        <f t="shared" si="187"/>
        <v>0</v>
      </c>
      <c r="EZ93" s="118"/>
      <c r="FA93" s="562"/>
      <c r="FB93" s="562">
        <v>0</v>
      </c>
      <c r="FC93" s="562"/>
      <c r="FD93" s="562"/>
      <c r="FE93" s="562"/>
      <c r="FF93" s="562"/>
      <c r="FG93" s="559"/>
      <c r="FH93" s="571"/>
      <c r="FI93" s="559"/>
      <c r="FJ93" s="559"/>
      <c r="FK93" s="122"/>
      <c r="FL93" s="122"/>
      <c r="FM93" s="122"/>
      <c r="FN93" s="122"/>
      <c r="FO93" s="122"/>
      <c r="FP93" s="50"/>
      <c r="FQ93" s="279">
        <f t="shared" si="162"/>
        <v>45200</v>
      </c>
      <c r="FR93" s="279"/>
      <c r="FS93" s="50"/>
      <c r="FT93" s="50"/>
      <c r="FU93" s="50"/>
      <c r="FV93" s="50"/>
      <c r="FW93" s="50"/>
      <c r="FX93" s="50"/>
      <c r="FY93" s="50"/>
      <c r="FZ93" s="50"/>
      <c r="GA93" s="50"/>
      <c r="GB93" s="50"/>
      <c r="GC93" s="50"/>
      <c r="GD93" s="50"/>
      <c r="GE93" s="50"/>
      <c r="GF93" s="113"/>
      <c r="GG93" s="113"/>
      <c r="GH93" s="90">
        <f>+GR93+GW93+HD93+HX93+HI93</f>
        <v>0</v>
      </c>
      <c r="GI93" s="64">
        <f>GS93+GX93+HE93+HX93+HF93+HI93</f>
        <v>0</v>
      </c>
      <c r="GJ93" s="91">
        <f>GI93-GH93</f>
        <v>0</v>
      </c>
      <c r="GK93" s="46" t="e">
        <f>GI93/AJ93</f>
        <v>#DIV/0!</v>
      </c>
      <c r="GL93" s="46">
        <f>GI93/AD93</f>
        <v>0</v>
      </c>
      <c r="GM93" s="90"/>
      <c r="GN93" s="64"/>
      <c r="GO93" s="91">
        <f>GN93-GM93</f>
        <v>0</v>
      </c>
      <c r="GP93" s="129" t="e">
        <f>GN93*1.021/GI93</f>
        <v>#DIV/0!</v>
      </c>
      <c r="GQ93" s="130">
        <v>0.4</v>
      </c>
      <c r="GR93" s="90"/>
      <c r="GS93" s="64"/>
      <c r="GT93" s="64"/>
      <c r="GU93" s="46">
        <f>GR93/AD93</f>
        <v>0</v>
      </c>
      <c r="GV93" s="92"/>
      <c r="GW93" s="90"/>
      <c r="GX93" s="64">
        <f>GY93+GZ93</f>
        <v>0</v>
      </c>
      <c r="GY93" s="84"/>
      <c r="GZ93" s="84"/>
      <c r="HA93" s="92">
        <f>GX93-GW93</f>
        <v>0</v>
      </c>
      <c r="HB93" s="641">
        <f>GX93/AD93</f>
        <v>0</v>
      </c>
      <c r="HC93" s="64"/>
      <c r="HD93" s="286"/>
      <c r="HE93" s="64"/>
      <c r="HF93" s="64"/>
      <c r="HG93" s="85" t="e">
        <f>HE93/GI93</f>
        <v>#DIV/0!</v>
      </c>
      <c r="HH93" s="90"/>
      <c r="HI93" s="64"/>
      <c r="HJ93" s="86">
        <f>HE93-HD93</f>
        <v>0</v>
      </c>
      <c r="HK93" s="46">
        <f>HE93/AD93</f>
        <v>0</v>
      </c>
      <c r="HL93" s="78">
        <f>(GS93+HE93)/AD93</f>
        <v>0</v>
      </c>
      <c r="HM93" s="86">
        <f>HJ93/AD93</f>
        <v>0</v>
      </c>
      <c r="HN93" s="87">
        <v>6.31</v>
      </c>
      <c r="HO93" s="87"/>
      <c r="HP93" s="88"/>
      <c r="HQ93" s="88"/>
      <c r="HR93" s="46">
        <f>(GR93+HD93+HQ93)/AD93</f>
        <v>0</v>
      </c>
      <c r="HS93" s="88"/>
      <c r="HT93" s="46">
        <f>(GS93+HE93+HQ93+HS93)/AD93</f>
        <v>0</v>
      </c>
      <c r="HU93" s="47" t="e">
        <f>(GR93+HD93+HQ93+HS93)/(HP93+GH93-HV93)</f>
        <v>#DIV/0!</v>
      </c>
      <c r="HV93" s="88"/>
      <c r="HW93" s="88"/>
      <c r="HX93" s="64">
        <f t="shared" si="161"/>
        <v>0</v>
      </c>
      <c r="HY93" s="93">
        <f>GH93+HP93</f>
        <v>0</v>
      </c>
      <c r="HZ93" s="276">
        <v>417427</v>
      </c>
      <c r="IA93" s="276">
        <f>IC93+IE93+IG93+II93+IK93+IM93+IO93+IQ93+IS93+IU93+IW93+IY93+JA93+JC93+JE93+JG93+JI93</f>
        <v>41743</v>
      </c>
      <c r="IB93" s="317">
        <v>43026</v>
      </c>
      <c r="IC93" s="315">
        <v>41743</v>
      </c>
      <c r="ID93" s="57"/>
      <c r="IE93" s="262"/>
      <c r="IF93" s="262"/>
      <c r="IG93" s="388"/>
      <c r="IH93" s="262"/>
      <c r="II93" s="56"/>
      <c r="IJ93" s="262"/>
      <c r="IK93" s="56"/>
      <c r="IL93" s="50"/>
      <c r="IM93" s="389"/>
      <c r="IN93" s="83"/>
      <c r="IO93" s="83"/>
      <c r="IP93" s="122"/>
      <c r="IQ93" s="56"/>
      <c r="IR93" s="122"/>
      <c r="IS93" s="56"/>
      <c r="IT93" s="50"/>
      <c r="IU93" s="50"/>
      <c r="IV93" s="50"/>
      <c r="IW93" s="50"/>
      <c r="IX93" s="268"/>
      <c r="IY93" s="268"/>
      <c r="IZ93" s="268"/>
      <c r="JA93" s="268"/>
      <c r="JB93" s="268"/>
      <c r="JC93" s="268"/>
      <c r="JD93" s="280"/>
      <c r="JE93" s="118"/>
      <c r="JF93" s="278"/>
      <c r="JG93" s="118"/>
      <c r="JH93" s="118"/>
      <c r="JI93" s="278"/>
    </row>
    <row r="94" spans="1:269" ht="15" customHeight="1">
      <c r="A94" s="83" t="s">
        <v>621</v>
      </c>
      <c r="B94" s="50" t="s">
        <v>35</v>
      </c>
      <c r="C94" s="50" t="s">
        <v>110</v>
      </c>
      <c r="D94" s="50">
        <v>2019</v>
      </c>
      <c r="E94" s="50"/>
      <c r="F94" s="50" t="s">
        <v>55</v>
      </c>
      <c r="G94" s="50"/>
      <c r="H94" s="50" t="s">
        <v>241</v>
      </c>
      <c r="I94" s="50"/>
      <c r="J94" s="50" t="s">
        <v>611</v>
      </c>
      <c r="K94" s="256" t="s">
        <v>627</v>
      </c>
      <c r="L94" s="166" t="s">
        <v>612</v>
      </c>
      <c r="M94" s="167"/>
      <c r="N94" s="168"/>
      <c r="O94" s="207">
        <v>5498</v>
      </c>
      <c r="P94" s="207">
        <v>1219167</v>
      </c>
      <c r="Q94" s="207"/>
      <c r="R94" s="207">
        <f t="shared" si="226"/>
        <v>23003.150943396227</v>
      </c>
      <c r="S94" s="207">
        <f t="shared" si="227"/>
        <v>221.74736267733721</v>
      </c>
      <c r="T94" s="213">
        <f t="shared" si="228"/>
        <v>0</v>
      </c>
      <c r="U94" s="213" t="e">
        <f t="shared" si="229"/>
        <v>#DIV/0!</v>
      </c>
      <c r="V94" s="213">
        <f t="shared" si="230"/>
        <v>0</v>
      </c>
      <c r="W94" s="207">
        <f t="shared" si="231"/>
        <v>103.73584905660377</v>
      </c>
      <c r="X94" s="208"/>
      <c r="Y94" s="216">
        <f t="shared" si="232"/>
        <v>0</v>
      </c>
      <c r="Z94" s="208" t="s">
        <v>185</v>
      </c>
      <c r="AA94" s="208">
        <v>580</v>
      </c>
      <c r="AB94" s="209">
        <v>0.1</v>
      </c>
      <c r="AC94" s="50" t="s">
        <v>16</v>
      </c>
      <c r="AD94" s="318">
        <f t="shared" si="212"/>
        <v>53</v>
      </c>
      <c r="AE94" s="61"/>
      <c r="AF94" s="50">
        <v>53</v>
      </c>
      <c r="AG94" s="61"/>
      <c r="AH94" s="50"/>
      <c r="AI94" s="268"/>
      <c r="AJ94" s="54"/>
      <c r="AK94" s="54"/>
      <c r="AL94" s="89"/>
      <c r="AM94" s="7"/>
      <c r="AN94" s="75"/>
      <c r="AO94" s="75"/>
      <c r="AP94" s="75"/>
      <c r="AQ94" s="75"/>
      <c r="AR94" s="75"/>
      <c r="AS94" s="54"/>
      <c r="AT94" s="73"/>
      <c r="AU94" s="75"/>
      <c r="AV94" s="54"/>
      <c r="AW94" s="50"/>
      <c r="AX94" s="50"/>
      <c r="AY94" s="785"/>
      <c r="AZ94" s="50"/>
      <c r="BA94" s="50"/>
      <c r="BB94" s="50"/>
      <c r="BC94" s="110"/>
      <c r="BD94" s="110"/>
      <c r="BE94" s="94"/>
      <c r="BF94" s="204"/>
      <c r="BG94" s="96"/>
      <c r="BH94" s="96"/>
      <c r="BI94" s="204"/>
      <c r="BJ94" s="96"/>
      <c r="BK94" s="160"/>
      <c r="BL94" s="203"/>
      <c r="BM94" s="160"/>
      <c r="BN94" s="160"/>
      <c r="BO94" s="298">
        <f t="shared" si="233"/>
        <v>0</v>
      </c>
      <c r="BP94" s="297">
        <f t="shared" si="234"/>
        <v>731</v>
      </c>
      <c r="BQ94" s="297">
        <f t="shared" si="235"/>
        <v>1096</v>
      </c>
      <c r="BR94" s="297"/>
      <c r="BS94" s="297" t="str">
        <f t="shared" si="236"/>
        <v>oui</v>
      </c>
      <c r="BT94" s="686" t="e">
        <f t="shared" si="237"/>
        <v>#NUM!</v>
      </c>
      <c r="BU94" s="686" t="e">
        <f t="shared" si="165"/>
        <v>#NUM!</v>
      </c>
      <c r="BV94" s="686" t="e">
        <f t="shared" si="166"/>
        <v>#NUM!</v>
      </c>
      <c r="BW94" s="160"/>
      <c r="BX94" s="165"/>
      <c r="BY94" s="97"/>
      <c r="BZ94" s="98"/>
      <c r="CA94" s="98"/>
      <c r="CB94" s="98"/>
      <c r="CC94" s="158"/>
      <c r="CD94" s="251"/>
      <c r="CE94" s="251"/>
      <c r="CF94" s="157"/>
      <c r="CG94" s="251"/>
      <c r="CH94" s="251"/>
      <c r="CI94" s="251"/>
      <c r="CJ94" s="251" t="s">
        <v>165</v>
      </c>
      <c r="CK94" s="604"/>
      <c r="CL94" s="546"/>
      <c r="CM94" s="549"/>
      <c r="CN94" s="549"/>
      <c r="CO94" s="551" t="str">
        <f>IF(AND(CM94&gt;0,CN94&gt;0),CN94-CM94,"0")</f>
        <v>0</v>
      </c>
      <c r="CP94" s="549"/>
      <c r="CQ94" s="549"/>
      <c r="CR94" s="551" t="str">
        <f>IF(AND(CP94&gt;0,CQ94&gt;0),CQ94-CP94,"0")</f>
        <v>0</v>
      </c>
      <c r="CS94" s="549"/>
      <c r="CT94" s="549"/>
      <c r="CU94" s="551" t="str">
        <f>IF(AND(CS94&gt;0,CT94&gt;0),CT94-CS94,"0")</f>
        <v>0</v>
      </c>
      <c r="CV94" s="549"/>
      <c r="CW94" s="549"/>
      <c r="CX94" s="551" t="str">
        <f>IF(AND(CV94&gt;0,CW94&gt;0),CW94-CV94,"0")</f>
        <v>0</v>
      </c>
      <c r="CY94" s="552"/>
      <c r="CZ94" s="553"/>
      <c r="DA94" s="551" t="str">
        <f>IF(AND(CY94&gt;0,CZ94&gt;0),CZ94-CY94,"0")</f>
        <v>0</v>
      </c>
      <c r="DB94" s="457"/>
      <c r="DC94" s="554"/>
      <c r="DD94" s="533"/>
      <c r="DE94" s="534"/>
      <c r="DF94" s="535" t="str">
        <f>IF(AND(DD94&gt;0,DE94&gt;0),DE94-DD94,"0")</f>
        <v>0</v>
      </c>
      <c r="DG94" s="533"/>
      <c r="DH94" s="703">
        <v>44013</v>
      </c>
      <c r="DI94" s="348"/>
      <c r="DJ94" s="446">
        <f>(DATEDIF(BF94,DH94,"d"))/30</f>
        <v>1467.1</v>
      </c>
      <c r="DK94" s="535" t="str">
        <f t="shared" si="174"/>
        <v>0</v>
      </c>
      <c r="DL94" s="704">
        <v>24</v>
      </c>
      <c r="DM94" s="243">
        <f>DATEDIF(DH94,EM94,"M")</f>
        <v>27</v>
      </c>
      <c r="DN94" s="533"/>
      <c r="DO94" s="534"/>
      <c r="DP94" s="535" t="str">
        <f>IF(AND(DN94&gt;0,DO94&gt;0),DO94-DN94,"0")</f>
        <v>0</v>
      </c>
      <c r="DQ94" s="533"/>
      <c r="DR94" s="557"/>
      <c r="DS94" s="536" t="str">
        <f>IF(AND(DQ94&gt;0,DR94&gt;0),DR94-DQ94,"0")</f>
        <v>0</v>
      </c>
      <c r="DT94" s="537"/>
      <c r="DU94" s="538">
        <f ca="1">IF(DT94&lt;TODAY(),TODAY(),DT94)</f>
        <v>43332</v>
      </c>
      <c r="DV94" s="535" t="str">
        <f ca="1">IF(AND(DT94&gt;0,DU94&gt;0),DU94-DT94,"0")</f>
        <v>0</v>
      </c>
      <c r="DW94" s="539"/>
      <c r="DX94" s="539"/>
      <c r="DY94" s="535" t="str">
        <f>IF(AND(DW94&gt;0,DX94&gt;0),DX94-DW94,"0")</f>
        <v>0</v>
      </c>
      <c r="DZ94" s="539"/>
      <c r="EA94" s="539"/>
      <c r="EB94" s="535" t="str">
        <f>IF(AND(DZ94&gt;0,EA94&gt;0),EA94-DZ94,"0")</f>
        <v>0</v>
      </c>
      <c r="EC94" s="539"/>
      <c r="ED94" s="539"/>
      <c r="EE94" s="535" t="str">
        <f>IF(AND(EC94&gt;0,ED94&gt;0),ED94-EC94,"0")</f>
        <v>0</v>
      </c>
      <c r="EF94" s="539"/>
      <c r="EG94" s="539">
        <f ca="1">IF(EF94&lt;TODAY(),TODAY(),EF94)</f>
        <v>43332</v>
      </c>
      <c r="EH94" s="535" t="str">
        <f ca="1">IF(AND(EF94&gt;0,EG94&gt;0),EG94-EF94,"0")</f>
        <v>0</v>
      </c>
      <c r="EI94" s="539"/>
      <c r="EJ94" s="539"/>
      <c r="EK94" s="539"/>
      <c r="EL94" s="760">
        <f t="shared" si="183"/>
        <v>44743</v>
      </c>
      <c r="EM94" s="759">
        <f t="shared" si="225"/>
        <v>44835</v>
      </c>
      <c r="EN94" s="756">
        <f t="shared" si="184"/>
        <v>3.0666666666666669</v>
      </c>
      <c r="EO94" s="580">
        <f>DATE(YEAR(CI94)+2,MONTH(CI94),DAY(CI94))</f>
        <v>731</v>
      </c>
      <c r="EP94" s="244"/>
      <c r="EQ94" s="244"/>
      <c r="ER94" s="186">
        <f t="shared" si="238"/>
        <v>44866</v>
      </c>
      <c r="ES94" s="467"/>
      <c r="ET94" s="578">
        <f t="shared" si="185"/>
        <v>44774</v>
      </c>
      <c r="EU94" s="759">
        <f t="shared" si="217"/>
        <v>44896</v>
      </c>
      <c r="EV94" s="581"/>
      <c r="EW94" s="753">
        <f t="shared" si="186"/>
        <v>4.0666666666666664</v>
      </c>
      <c r="EX94" s="722"/>
      <c r="EY94" s="247">
        <f t="shared" si="187"/>
        <v>0</v>
      </c>
      <c r="EZ94" s="118"/>
      <c r="FA94" s="562"/>
      <c r="FB94" s="562">
        <v>0</v>
      </c>
      <c r="FC94" s="562"/>
      <c r="FD94" s="562"/>
      <c r="FE94" s="562"/>
      <c r="FF94" s="562"/>
      <c r="FG94" s="559"/>
      <c r="FH94" s="571"/>
      <c r="FI94" s="559"/>
      <c r="FJ94" s="559"/>
      <c r="FK94" s="122"/>
      <c r="FL94" s="122"/>
      <c r="FM94" s="122"/>
      <c r="FN94" s="122"/>
      <c r="FO94" s="122"/>
      <c r="FP94" s="50"/>
      <c r="FQ94" s="279">
        <f t="shared" ref="FQ94:FQ107" si="239">DATE(YEAR(EM94)+1,MONTH(EM94),DAY(EM94))</f>
        <v>45200</v>
      </c>
      <c r="FR94" s="279"/>
      <c r="FS94" s="50"/>
      <c r="FT94" s="50"/>
      <c r="FU94" s="50"/>
      <c r="FV94" s="50"/>
      <c r="FW94" s="50"/>
      <c r="FX94" s="50"/>
      <c r="FY94" s="50"/>
      <c r="FZ94" s="50"/>
      <c r="GA94" s="50"/>
      <c r="GB94" s="50"/>
      <c r="GC94" s="50"/>
      <c r="GD94" s="50"/>
      <c r="GE94" s="50"/>
      <c r="GF94" s="113"/>
      <c r="GG94" s="113"/>
      <c r="GH94" s="90">
        <f>+GR94+GW94+HD94+HX94+HI94</f>
        <v>0</v>
      </c>
      <c r="GI94" s="64">
        <f>GS94+GX94+HE94+HX94+HF94+HI94</f>
        <v>0</v>
      </c>
      <c r="GJ94" s="91">
        <f>GI94-GH94</f>
        <v>0</v>
      </c>
      <c r="GK94" s="46" t="e">
        <f>GI94/AJ94</f>
        <v>#DIV/0!</v>
      </c>
      <c r="GL94" s="46">
        <f>GI94/AD94</f>
        <v>0</v>
      </c>
      <c r="GM94" s="90"/>
      <c r="GN94" s="64"/>
      <c r="GO94" s="91">
        <f>GN94-GM94</f>
        <v>0</v>
      </c>
      <c r="GP94" s="129" t="e">
        <f>GN94*1.021/GI94</f>
        <v>#DIV/0!</v>
      </c>
      <c r="GQ94" s="130">
        <v>0.4</v>
      </c>
      <c r="GR94" s="90"/>
      <c r="GS94" s="64"/>
      <c r="GT94" s="64"/>
      <c r="GU94" s="46">
        <f>GR94/AD94</f>
        <v>0</v>
      </c>
      <c r="GV94" s="92"/>
      <c r="GW94" s="90"/>
      <c r="GX94" s="64">
        <f>GY94+GZ94</f>
        <v>0</v>
      </c>
      <c r="GY94" s="84"/>
      <c r="GZ94" s="84"/>
      <c r="HA94" s="92">
        <f>GX94-GW94</f>
        <v>0</v>
      </c>
      <c r="HB94" s="641">
        <f>GX94/AD94</f>
        <v>0</v>
      </c>
      <c r="HC94" s="64"/>
      <c r="HD94" s="286"/>
      <c r="HE94" s="64"/>
      <c r="HF94" s="64"/>
      <c r="HG94" s="85" t="e">
        <f>HE94/GI94</f>
        <v>#DIV/0!</v>
      </c>
      <c r="HH94" s="90"/>
      <c r="HI94" s="64"/>
      <c r="HJ94" s="86">
        <f>HE94-HD94</f>
        <v>0</v>
      </c>
      <c r="HK94" s="46">
        <f>HE94/AD94</f>
        <v>0</v>
      </c>
      <c r="HL94" s="78">
        <f>(GS94+HE94)/AD94</f>
        <v>0</v>
      </c>
      <c r="HM94" s="86">
        <f>HJ94/AD94</f>
        <v>0</v>
      </c>
      <c r="HN94" s="87">
        <v>6.31</v>
      </c>
      <c r="HO94" s="87"/>
      <c r="HP94" s="88"/>
      <c r="HQ94" s="88"/>
      <c r="HR94" s="46">
        <f>(GR94+HD94+HQ94)/AD94</f>
        <v>0</v>
      </c>
      <c r="HS94" s="88"/>
      <c r="HT94" s="46">
        <f>(GS94+HE94+HQ94+HS94)/AD94</f>
        <v>0</v>
      </c>
      <c r="HU94" s="47" t="e">
        <f>(GR94+HD94+HQ94+HS94)/(HP94+GH94-HV94)</f>
        <v>#DIV/0!</v>
      </c>
      <c r="HV94" s="88"/>
      <c r="HW94" s="88"/>
      <c r="HX94" s="64">
        <f t="shared" si="161"/>
        <v>0</v>
      </c>
      <c r="HY94" s="93">
        <f>GH94+HP94</f>
        <v>0</v>
      </c>
      <c r="HZ94" s="276">
        <v>325108</v>
      </c>
      <c r="IA94" s="276">
        <f>IC94+IE94+IG94+II94+IK94+IM94+IO94+IQ94+IS94+IU94+IW94+IY94+JA94+JC94+JE94+JG94+JI94</f>
        <v>32511</v>
      </c>
      <c r="IB94" s="317">
        <v>43026</v>
      </c>
      <c r="IC94" s="315">
        <v>32511</v>
      </c>
      <c r="ID94" s="57"/>
      <c r="IE94" s="262"/>
      <c r="IF94" s="262"/>
      <c r="IG94" s="388"/>
      <c r="IH94" s="262"/>
      <c r="II94" s="56"/>
      <c r="IJ94" s="262"/>
      <c r="IK94" s="56"/>
      <c r="IL94" s="50"/>
      <c r="IM94" s="389"/>
      <c r="IN94" s="83"/>
      <c r="IO94" s="83"/>
      <c r="IP94" s="122"/>
      <c r="IQ94" s="56"/>
      <c r="IR94" s="122"/>
      <c r="IS94" s="56"/>
      <c r="IT94" s="50"/>
      <c r="IU94" s="50"/>
      <c r="IV94" s="50"/>
      <c r="IW94" s="50"/>
      <c r="IX94" s="268"/>
      <c r="IY94" s="268"/>
      <c r="IZ94" s="268"/>
      <c r="JA94" s="268"/>
      <c r="JB94" s="268"/>
      <c r="JC94" s="268"/>
      <c r="JD94" s="280"/>
      <c r="JE94" s="118"/>
      <c r="JF94" s="278"/>
      <c r="JG94" s="118"/>
      <c r="JH94" s="118"/>
      <c r="JI94" s="278"/>
    </row>
    <row r="95" spans="1:269" ht="15" customHeight="1">
      <c r="A95" s="83" t="s">
        <v>671</v>
      </c>
      <c r="B95" s="50" t="s">
        <v>436</v>
      </c>
      <c r="C95" s="50" t="s">
        <v>111</v>
      </c>
      <c r="D95" s="50">
        <v>2019</v>
      </c>
      <c r="E95" s="50"/>
      <c r="F95" s="50"/>
      <c r="G95" s="50"/>
      <c r="H95" s="52" t="s">
        <v>241</v>
      </c>
      <c r="I95" s="50"/>
      <c r="J95" s="50"/>
      <c r="K95" s="256"/>
      <c r="L95" s="166"/>
      <c r="M95" s="167"/>
      <c r="N95" s="168"/>
      <c r="O95" s="207">
        <v>6860</v>
      </c>
      <c r="P95" s="207">
        <v>1500000</v>
      </c>
      <c r="Q95" s="207"/>
      <c r="R95" s="207">
        <f t="shared" si="226"/>
        <v>25000</v>
      </c>
      <c r="S95" s="207">
        <f t="shared" si="227"/>
        <v>218.65889212827989</v>
      </c>
      <c r="T95" s="213">
        <f t="shared" si="228"/>
        <v>0</v>
      </c>
      <c r="U95" s="213">
        <f t="shared" si="229"/>
        <v>0</v>
      </c>
      <c r="V95" s="213">
        <f t="shared" si="230"/>
        <v>0</v>
      </c>
      <c r="W95" s="207">
        <f t="shared" si="231"/>
        <v>114.33333333333333</v>
      </c>
      <c r="X95" s="208"/>
      <c r="Y95" s="216">
        <f t="shared" si="232"/>
        <v>0.76187317784256559</v>
      </c>
      <c r="Z95" s="208"/>
      <c r="AA95" s="208"/>
      <c r="AB95" s="209"/>
      <c r="AC95" s="50" t="s">
        <v>433</v>
      </c>
      <c r="AD95" s="193">
        <f t="shared" si="212"/>
        <v>60</v>
      </c>
      <c r="AE95" s="61"/>
      <c r="AF95" s="61"/>
      <c r="AG95" s="50">
        <v>60</v>
      </c>
      <c r="AH95" s="50"/>
      <c r="AI95" s="268">
        <v>4451.04</v>
      </c>
      <c r="AJ95" s="54">
        <v>5226.45</v>
      </c>
      <c r="AK95" s="54">
        <v>5226.45</v>
      </c>
      <c r="AL95" s="89">
        <v>5226.45</v>
      </c>
      <c r="AM95" s="54"/>
      <c r="AN95" s="75"/>
      <c r="AO95" s="75"/>
      <c r="AP95" s="75"/>
      <c r="AQ95" s="75"/>
      <c r="AR95" s="75"/>
      <c r="AS95" s="54"/>
      <c r="AT95" s="73"/>
      <c r="AU95" s="75"/>
      <c r="AV95" s="54"/>
      <c r="AW95" s="53"/>
      <c r="AX95" s="50"/>
      <c r="AY95" s="785">
        <v>10724849</v>
      </c>
      <c r="AZ95" s="114">
        <v>43277</v>
      </c>
      <c r="BA95" s="239">
        <v>43208</v>
      </c>
      <c r="BB95" s="184"/>
      <c r="BC95" s="110"/>
      <c r="BD95" s="110"/>
      <c r="BE95" s="94"/>
      <c r="BF95" s="204"/>
      <c r="BG95" s="96"/>
      <c r="BH95" s="96"/>
      <c r="BI95" s="204"/>
      <c r="BJ95" s="96"/>
      <c r="BK95" s="160"/>
      <c r="BL95" s="203"/>
      <c r="BM95" s="160"/>
      <c r="BN95" s="160"/>
      <c r="BO95" s="298">
        <f t="shared" si="233"/>
        <v>0</v>
      </c>
      <c r="BP95" s="297">
        <f t="shared" si="234"/>
        <v>731</v>
      </c>
      <c r="BQ95" s="297">
        <f t="shared" si="235"/>
        <v>1096</v>
      </c>
      <c r="BR95" s="297"/>
      <c r="BS95" s="297" t="str">
        <f t="shared" si="236"/>
        <v>oui</v>
      </c>
      <c r="BT95" s="686" t="e">
        <f t="shared" si="237"/>
        <v>#NUM!</v>
      </c>
      <c r="BU95" s="686" t="e">
        <f t="shared" si="165"/>
        <v>#NUM!</v>
      </c>
      <c r="BV95" s="686" t="e">
        <f t="shared" si="166"/>
        <v>#NUM!</v>
      </c>
      <c r="BW95" s="160"/>
      <c r="BX95" s="165"/>
      <c r="BY95" s="97"/>
      <c r="BZ95" s="98"/>
      <c r="CA95" s="98"/>
      <c r="CB95" s="98"/>
      <c r="CC95" s="158"/>
      <c r="CD95" s="251"/>
      <c r="CE95" s="251"/>
      <c r="CF95" s="157"/>
      <c r="CG95" s="251"/>
      <c r="CH95" s="251"/>
      <c r="CI95" s="251"/>
      <c r="CJ95" s="251"/>
      <c r="CK95" s="603" t="e">
        <f>DATEDIF(EU95,CJ95,"M")</f>
        <v>#NUM!</v>
      </c>
      <c r="CL95" s="546"/>
      <c r="CM95" s="549"/>
      <c r="CN95" s="549"/>
      <c r="CO95" s="551" t="str">
        <f>IF(AND(CM95&gt;0,CN95&gt;0),CN95-CM95,"0")</f>
        <v>0</v>
      </c>
      <c r="CP95" s="549"/>
      <c r="CQ95" s="549"/>
      <c r="CR95" s="551" t="str">
        <f>IF(AND(CP95&gt;0,CQ95&gt;0),CQ95-CP95,"0")</f>
        <v>0</v>
      </c>
      <c r="CS95" s="549"/>
      <c r="CT95" s="549"/>
      <c r="CU95" s="551" t="str">
        <f>IF(AND(CS95&gt;0,CT95&gt;0),CT95-CS95,"0")</f>
        <v>0</v>
      </c>
      <c r="CV95" s="549"/>
      <c r="CW95" s="549"/>
      <c r="CX95" s="551" t="str">
        <f>IF(AND(CV95&gt;0,CW95&gt;0),CW95-CV95,"0")</f>
        <v>0</v>
      </c>
      <c r="CY95" s="552"/>
      <c r="CZ95" s="553"/>
      <c r="DA95" s="551" t="str">
        <f>IF(AND(CY95&gt;0,CZ95&gt;0),CZ95-CY95,"0")</f>
        <v>0</v>
      </c>
      <c r="DB95" s="457"/>
      <c r="DC95" s="554"/>
      <c r="DD95" s="533"/>
      <c r="DE95" s="534"/>
      <c r="DF95" s="535" t="str">
        <f>IF(AND(DD95&gt;0,DE95&gt;0),DE95-DD95,"0")</f>
        <v>0</v>
      </c>
      <c r="DG95" s="533"/>
      <c r="DH95" s="703">
        <v>44013</v>
      </c>
      <c r="DI95" s="348"/>
      <c r="DJ95" s="446"/>
      <c r="DK95" s="535" t="str">
        <f t="shared" si="174"/>
        <v>0</v>
      </c>
      <c r="DL95" s="704">
        <v>18</v>
      </c>
      <c r="DM95" s="243"/>
      <c r="DN95" s="533"/>
      <c r="DO95" s="534"/>
      <c r="DP95" s="535" t="str">
        <f>IF(AND(DN95&gt;0,DO95&gt;0),DO95-DN95,"0")</f>
        <v>0</v>
      </c>
      <c r="DQ95" s="533"/>
      <c r="DR95" s="557"/>
      <c r="DS95" s="536" t="str">
        <f>IF(AND(DQ95&gt;0,DR95&gt;0),DR95-DQ95,"0")</f>
        <v>0</v>
      </c>
      <c r="DT95" s="537"/>
      <c r="DU95" s="538"/>
      <c r="DV95" s="535" t="str">
        <f>IF(AND(DT95&gt;0,DU95&gt;0),DU95-DT95,"0")</f>
        <v>0</v>
      </c>
      <c r="DW95" s="539"/>
      <c r="DX95" s="539"/>
      <c r="DY95" s="535" t="str">
        <f>IF(AND(DW95&gt;0,DX95&gt;0),DX95-DW95,"0")</f>
        <v>0</v>
      </c>
      <c r="DZ95" s="539"/>
      <c r="EA95" s="539"/>
      <c r="EB95" s="535" t="str">
        <f>IF(AND(DZ95&gt;0,EA95&gt;0),EA95-DZ95,"0")</f>
        <v>0</v>
      </c>
      <c r="EC95" s="539"/>
      <c r="ED95" s="539"/>
      <c r="EE95" s="535" t="str">
        <f>IF(AND(EC95&gt;0,ED95&gt;0),ED95-EC95,"0")</f>
        <v>0</v>
      </c>
      <c r="EF95" s="539"/>
      <c r="EG95" s="539">
        <f ca="1">IF(EF95&lt;TODAY(),TODAY(),EF95)</f>
        <v>43332</v>
      </c>
      <c r="EH95" s="535" t="str">
        <f ca="1">IF(AND(EF95&gt;0,EG95&gt;0),EG95-EF95,"0")</f>
        <v>0</v>
      </c>
      <c r="EI95" s="539"/>
      <c r="EJ95" s="539"/>
      <c r="EK95" s="539"/>
      <c r="EL95" s="760">
        <f t="shared" si="183"/>
        <v>44562</v>
      </c>
      <c r="EM95" s="759">
        <f>DATE(YEAR(DH95),MONTH(DH95)+DL95,DAY(DH95))</f>
        <v>44562</v>
      </c>
      <c r="EN95" s="756">
        <f t="shared" si="184"/>
        <v>0</v>
      </c>
      <c r="EO95" s="580">
        <f>DATE(YEAR(CI95)+2,MONTH(CI95),DAY(CI95))</f>
        <v>731</v>
      </c>
      <c r="EP95" s="244"/>
      <c r="EQ95" s="244"/>
      <c r="ER95" s="186">
        <f t="shared" si="238"/>
        <v>44593</v>
      </c>
      <c r="ES95" s="467"/>
      <c r="ET95" s="578">
        <f t="shared" si="185"/>
        <v>44593</v>
      </c>
      <c r="EU95" s="759">
        <f>ER95</f>
        <v>44593</v>
      </c>
      <c r="EV95" s="581"/>
      <c r="EW95" s="753">
        <f t="shared" si="186"/>
        <v>0</v>
      </c>
      <c r="EX95" s="722"/>
      <c r="EY95" s="247">
        <f t="shared" si="187"/>
        <v>0</v>
      </c>
      <c r="EZ95" s="118"/>
      <c r="FA95" s="562"/>
      <c r="FB95" s="562">
        <v>0</v>
      </c>
      <c r="FC95" s="562"/>
      <c r="FD95" s="562"/>
      <c r="FE95" s="562"/>
      <c r="FF95" s="562"/>
      <c r="FG95" s="559"/>
      <c r="FH95" s="571"/>
      <c r="FI95" s="559"/>
      <c r="FJ95" s="559"/>
      <c r="FK95" s="122"/>
      <c r="FL95" s="122"/>
      <c r="FM95" s="122"/>
      <c r="FN95" s="122"/>
      <c r="FO95" s="122"/>
      <c r="FP95" s="50"/>
      <c r="FQ95" s="279">
        <f t="shared" si="239"/>
        <v>44927</v>
      </c>
      <c r="FR95" s="279"/>
      <c r="FS95" s="50"/>
      <c r="FT95" s="50"/>
      <c r="FU95" s="50"/>
      <c r="FV95" s="50"/>
      <c r="FW95" s="50"/>
      <c r="FX95" s="50"/>
      <c r="FY95" s="50"/>
      <c r="FZ95" s="50"/>
      <c r="GA95" s="50"/>
      <c r="GB95" s="50"/>
      <c r="GC95" s="50"/>
      <c r="GD95" s="50"/>
      <c r="GE95" s="50"/>
      <c r="GF95" s="113"/>
      <c r="GG95" s="113"/>
      <c r="GH95" s="90"/>
      <c r="GI95" s="64">
        <f>GS95+GX95+HE95+HX95+HF95+HI95</f>
        <v>0</v>
      </c>
      <c r="GJ95" s="91"/>
      <c r="GK95" s="46"/>
      <c r="GL95" s="46"/>
      <c r="GM95" s="90"/>
      <c r="GN95" s="64"/>
      <c r="GO95" s="91"/>
      <c r="GP95" s="129"/>
      <c r="GQ95" s="130"/>
      <c r="GR95" s="90"/>
      <c r="GS95" s="64"/>
      <c r="GT95" s="64"/>
      <c r="GU95" s="46">
        <f>GS95/AD95</f>
        <v>0</v>
      </c>
      <c r="GV95" s="92"/>
      <c r="GW95" s="90"/>
      <c r="GX95" s="64"/>
      <c r="GY95" s="84"/>
      <c r="GZ95" s="84"/>
      <c r="HA95" s="92"/>
      <c r="HB95" s="641">
        <f>GX95/AD95</f>
        <v>0</v>
      </c>
      <c r="HC95" s="64"/>
      <c r="HD95" s="286"/>
      <c r="HE95" s="64"/>
      <c r="HF95" s="64"/>
      <c r="HG95" s="85" t="e">
        <f>HE95/GI95</f>
        <v>#DIV/0!</v>
      </c>
      <c r="HH95" s="90"/>
      <c r="HI95" s="64"/>
      <c r="HJ95" s="86"/>
      <c r="HK95" s="46">
        <f>HE95/AD95</f>
        <v>0</v>
      </c>
      <c r="HL95" s="78">
        <f>(GS95+HE95)/AD95</f>
        <v>0</v>
      </c>
      <c r="HM95" s="86"/>
      <c r="HN95" s="87"/>
      <c r="HO95" s="87"/>
      <c r="HP95" s="88"/>
      <c r="HQ95" s="88"/>
      <c r="HR95" s="46"/>
      <c r="HS95" s="88"/>
      <c r="HT95" s="46"/>
      <c r="HU95" s="47"/>
      <c r="HV95" s="88"/>
      <c r="HW95" s="88"/>
      <c r="HX95" s="64">
        <f t="shared" si="161"/>
        <v>0</v>
      </c>
      <c r="HY95" s="93"/>
      <c r="HZ95" s="233"/>
      <c r="IA95" s="233">
        <f>IC95+IE95+IG95+II95+IK95+IM95+IO95+IQ95+IS95+IU95+IW95+IY95+JA95+JC95+JE95+JG95+JI95</f>
        <v>0</v>
      </c>
      <c r="IB95" s="114"/>
      <c r="IC95" s="315"/>
      <c r="ID95" s="315"/>
      <c r="IE95" s="241"/>
      <c r="IF95" s="241"/>
      <c r="IG95" s="331"/>
      <c r="IH95" s="238"/>
      <c r="II95" s="332"/>
      <c r="IJ95" s="238"/>
      <c r="IK95" s="332"/>
      <c r="IL95" s="290"/>
      <c r="IM95" s="333"/>
      <c r="IN95" s="329"/>
      <c r="IO95" s="329"/>
      <c r="IP95" s="194"/>
      <c r="IQ95" s="331"/>
      <c r="IR95" s="194"/>
      <c r="IS95" s="331"/>
      <c r="IT95" s="290"/>
      <c r="IU95" s="290"/>
      <c r="IV95" s="290"/>
      <c r="IW95" s="290"/>
      <c r="IX95" s="268"/>
      <c r="IY95" s="268"/>
      <c r="IZ95" s="268"/>
      <c r="JA95" s="268"/>
      <c r="JB95" s="268"/>
      <c r="JC95" s="268"/>
      <c r="JD95" s="331"/>
      <c r="JE95" s="330"/>
      <c r="JF95" s="290"/>
      <c r="JG95" s="330"/>
      <c r="JH95" s="330"/>
      <c r="JI95" s="290"/>
    </row>
    <row r="96" spans="1:269" ht="24.95" customHeight="1">
      <c r="A96" s="83" t="s">
        <v>637</v>
      </c>
      <c r="B96" s="50" t="s">
        <v>35</v>
      </c>
      <c r="C96" s="50" t="s">
        <v>110</v>
      </c>
      <c r="D96" s="50">
        <v>2019</v>
      </c>
      <c r="E96" s="50"/>
      <c r="F96" s="50"/>
      <c r="G96" s="50"/>
      <c r="H96" s="50" t="s">
        <v>412</v>
      </c>
      <c r="I96" s="50"/>
      <c r="J96" s="50" t="s">
        <v>638</v>
      </c>
      <c r="K96" s="256" t="s">
        <v>797</v>
      </c>
      <c r="L96" s="166"/>
      <c r="M96" s="167"/>
      <c r="N96" s="168"/>
      <c r="O96" s="207"/>
      <c r="P96" s="207"/>
      <c r="Q96" s="207"/>
      <c r="R96" s="207">
        <f t="shared" si="226"/>
        <v>0</v>
      </c>
      <c r="S96" s="207" t="e">
        <f t="shared" si="227"/>
        <v>#DIV/0!</v>
      </c>
      <c r="T96" s="213" t="e">
        <f t="shared" si="228"/>
        <v>#DIV/0!</v>
      </c>
      <c r="U96" s="213" t="e">
        <f t="shared" si="229"/>
        <v>#DIV/0!</v>
      </c>
      <c r="V96" s="213">
        <f t="shared" si="230"/>
        <v>0</v>
      </c>
      <c r="W96" s="207">
        <f t="shared" si="231"/>
        <v>0</v>
      </c>
      <c r="X96" s="208"/>
      <c r="Y96" s="216" t="e">
        <f t="shared" si="232"/>
        <v>#DIV/0!</v>
      </c>
      <c r="Z96" s="208"/>
      <c r="AA96" s="208"/>
      <c r="AB96" s="209"/>
      <c r="AC96" s="51" t="s">
        <v>433</v>
      </c>
      <c r="AD96" s="318">
        <f t="shared" si="212"/>
        <v>30</v>
      </c>
      <c r="AE96" s="61"/>
      <c r="AF96" s="115"/>
      <c r="AG96" s="50">
        <v>30</v>
      </c>
      <c r="AH96" s="115"/>
      <c r="AI96" s="268"/>
      <c r="AJ96" s="54"/>
      <c r="AK96" s="54"/>
      <c r="AL96" s="89"/>
      <c r="AM96" s="54"/>
      <c r="AN96" s="75"/>
      <c r="AO96" s="75"/>
      <c r="AP96" s="75"/>
      <c r="AQ96" s="75"/>
      <c r="AR96" s="75"/>
      <c r="AS96" s="54"/>
      <c r="AT96" s="73"/>
      <c r="AU96" s="75"/>
      <c r="AV96" s="54"/>
      <c r="AW96" s="50"/>
      <c r="AX96" s="50"/>
      <c r="AY96" s="785"/>
      <c r="AZ96" s="184">
        <v>43229</v>
      </c>
      <c r="BA96" s="184"/>
      <c r="BB96" s="50"/>
      <c r="BC96" s="110"/>
      <c r="BD96" s="110"/>
      <c r="BE96" s="94"/>
      <c r="BF96" s="204"/>
      <c r="BG96" s="96"/>
      <c r="BH96" s="96"/>
      <c r="BI96" s="204"/>
      <c r="BJ96" s="96"/>
      <c r="BK96" s="160"/>
      <c r="BL96" s="203"/>
      <c r="BM96" s="160"/>
      <c r="BN96" s="160"/>
      <c r="BO96" s="298">
        <f t="shared" si="233"/>
        <v>0</v>
      </c>
      <c r="BP96" s="297">
        <f t="shared" si="234"/>
        <v>731</v>
      </c>
      <c r="BQ96" s="297">
        <f t="shared" si="235"/>
        <v>1096</v>
      </c>
      <c r="BR96" s="297"/>
      <c r="BS96" s="297" t="str">
        <f t="shared" si="236"/>
        <v>oui</v>
      </c>
      <c r="BT96" s="686" t="e">
        <f t="shared" si="237"/>
        <v>#NUM!</v>
      </c>
      <c r="BU96" s="686" t="e">
        <f t="shared" si="165"/>
        <v>#NUM!</v>
      </c>
      <c r="BV96" s="686" t="e">
        <f t="shared" si="166"/>
        <v>#NUM!</v>
      </c>
      <c r="BW96" s="160"/>
      <c r="BX96" s="165"/>
      <c r="BY96" s="97"/>
      <c r="BZ96" s="98"/>
      <c r="CA96" s="98"/>
      <c r="CB96" s="98"/>
      <c r="CC96" s="158"/>
      <c r="CD96" s="251"/>
      <c r="CE96" s="251"/>
      <c r="CF96" s="157"/>
      <c r="CG96" s="251"/>
      <c r="CH96" s="251"/>
      <c r="CI96" s="251"/>
      <c r="CJ96" s="251" t="s">
        <v>165</v>
      </c>
      <c r="CK96" s="604"/>
      <c r="CL96" s="549"/>
      <c r="CM96" s="549"/>
      <c r="CN96" s="549"/>
      <c r="CO96" s="551" t="str">
        <f>IF(AND(CM96&gt;0,CN96&gt;0),CN96-CM96,"0")</f>
        <v>0</v>
      </c>
      <c r="CP96" s="549"/>
      <c r="CQ96" s="549"/>
      <c r="CR96" s="551" t="str">
        <f>IF(AND(CP96&gt;0,CQ96&gt;0),CQ96-CP96,"0")</f>
        <v>0</v>
      </c>
      <c r="CS96" s="549"/>
      <c r="CT96" s="549"/>
      <c r="CU96" s="551" t="str">
        <f>IF(AND(CS96&gt;0,CT96&gt;0),CT96-CS96,"0")</f>
        <v>0</v>
      </c>
      <c r="CV96" s="549"/>
      <c r="CW96" s="549"/>
      <c r="CX96" s="551" t="str">
        <f>IF(AND(CV96&gt;0,CW96&gt;0),CW96-CV96,"0")</f>
        <v>0</v>
      </c>
      <c r="CY96" s="552"/>
      <c r="CZ96" s="553"/>
      <c r="DA96" s="551" t="str">
        <f>IF(AND(CY96&gt;0,CZ96&gt;0),CZ96-CY96,"0")</f>
        <v>0</v>
      </c>
      <c r="DB96" s="457"/>
      <c r="DC96" s="550"/>
      <c r="DD96" s="533"/>
      <c r="DE96" s="534"/>
      <c r="DF96" s="535" t="str">
        <f>IF(AND(DD96&gt;0,DE96&gt;0),DE96-DD96,"0")</f>
        <v>0</v>
      </c>
      <c r="DG96" s="533"/>
      <c r="DH96" s="703">
        <v>44013</v>
      </c>
      <c r="DI96" s="348"/>
      <c r="DJ96" s="446">
        <f>(DATEDIF(BF96,DH96,"d"))/30</f>
        <v>1467.1</v>
      </c>
      <c r="DK96" s="535" t="str">
        <f t="shared" si="174"/>
        <v>0</v>
      </c>
      <c r="DL96" s="704">
        <v>16</v>
      </c>
      <c r="DM96" s="243">
        <f>DATEDIF(DH96,EM96,"M")</f>
        <v>19</v>
      </c>
      <c r="DN96" s="533"/>
      <c r="DO96" s="534"/>
      <c r="DP96" s="535" t="str">
        <f>IF(AND(DN96&gt;0,DO96&gt;0),DO96-DN96,"0")</f>
        <v>0</v>
      </c>
      <c r="DQ96" s="533"/>
      <c r="DR96" s="557"/>
      <c r="DS96" s="536" t="str">
        <f>IF(AND(DQ96&gt;0,DR96&gt;0),DR96-DQ96,"0")</f>
        <v>0</v>
      </c>
      <c r="DT96" s="537"/>
      <c r="DU96" s="538"/>
      <c r="DV96" s="535" t="str">
        <f>IF(AND(DT96&gt;0,DU96&gt;0),DU96-DT96,"0")</f>
        <v>0</v>
      </c>
      <c r="DW96" s="534"/>
      <c r="DX96" s="539"/>
      <c r="DY96" s="535" t="str">
        <f>IF(AND(DW96&gt;0,DX96&gt;0),DX96-DW96,"0")</f>
        <v>0</v>
      </c>
      <c r="DZ96" s="541"/>
      <c r="EA96" s="541"/>
      <c r="EB96" s="535" t="str">
        <f>IF(AND(DZ96&gt;0,EA96&gt;0),EA96-DZ96,"0")</f>
        <v>0</v>
      </c>
      <c r="EC96" s="541"/>
      <c r="ED96" s="541"/>
      <c r="EE96" s="535" t="str">
        <f>IF(AND(EC96&gt;0,ED96&gt;0),ED96-EC96,"0")</f>
        <v>0</v>
      </c>
      <c r="EF96" s="539"/>
      <c r="EG96" s="539">
        <f ca="1">IF(EF96&lt;TODAY(),TODAY(),EF96)</f>
        <v>43332</v>
      </c>
      <c r="EH96" s="535" t="str">
        <f ca="1">IF(AND(EF96&gt;0,EG96&gt;0),EG96-EF96,"0")</f>
        <v>0</v>
      </c>
      <c r="EI96" s="541"/>
      <c r="EJ96" s="541"/>
      <c r="EK96" s="541"/>
      <c r="EL96" s="625">
        <f t="shared" si="183"/>
        <v>44501</v>
      </c>
      <c r="EM96" s="404">
        <f>DATE(YEAR(EL96),MONTH(EL96)+3,DAY(EL96))</f>
        <v>44593</v>
      </c>
      <c r="EN96" s="756">
        <f t="shared" si="184"/>
        <v>3.0666666666666669</v>
      </c>
      <c r="EO96" s="580">
        <f>DATE(YEAR(CI96)+2,MONTH(CI96),DAY(CI96))</f>
        <v>731</v>
      </c>
      <c r="EP96" s="244"/>
      <c r="EQ96" s="244"/>
      <c r="ER96" s="186">
        <f t="shared" si="238"/>
        <v>44621</v>
      </c>
      <c r="ES96" s="467"/>
      <c r="ET96" s="578">
        <f t="shared" si="185"/>
        <v>44531</v>
      </c>
      <c r="EU96" s="455">
        <f>DATE(YEAR(ER96),MONTH(ER96)+1,DAY(ER96))</f>
        <v>44652</v>
      </c>
      <c r="EV96" s="581"/>
      <c r="EW96" s="753">
        <f t="shared" si="186"/>
        <v>4.0333333333333332</v>
      </c>
      <c r="EX96" s="722"/>
      <c r="EY96" s="247">
        <f t="shared" si="187"/>
        <v>0</v>
      </c>
      <c r="EZ96" s="118"/>
      <c r="FA96" s="562"/>
      <c r="FB96" s="562">
        <v>0</v>
      </c>
      <c r="FC96" s="562"/>
      <c r="FD96" s="562"/>
      <c r="FE96" s="562"/>
      <c r="FF96" s="562"/>
      <c r="FG96" s="559"/>
      <c r="FH96" s="571"/>
      <c r="FI96" s="559"/>
      <c r="FJ96" s="559"/>
      <c r="FK96" s="122"/>
      <c r="FL96" s="122"/>
      <c r="FM96" s="122"/>
      <c r="FN96" s="122"/>
      <c r="FO96" s="122"/>
      <c r="FP96" s="50"/>
      <c r="FQ96" s="279">
        <f t="shared" si="239"/>
        <v>44958</v>
      </c>
      <c r="FR96" s="279"/>
      <c r="FS96" s="50"/>
      <c r="FT96" s="50"/>
      <c r="FU96" s="50"/>
      <c r="FV96" s="50"/>
      <c r="FW96" s="50"/>
      <c r="FX96" s="50"/>
      <c r="FY96" s="50"/>
      <c r="FZ96" s="50"/>
      <c r="GA96" s="50"/>
      <c r="GB96" s="50"/>
      <c r="GC96" s="50"/>
      <c r="GD96" s="50"/>
      <c r="GE96" s="50"/>
      <c r="GF96" s="113"/>
      <c r="GG96" s="113"/>
      <c r="GH96" s="90">
        <f>+GR96+GW96+HD96+HX96+HI96</f>
        <v>0</v>
      </c>
      <c r="GI96" s="64">
        <f>GS96+GX96+HE96+HX96+HF96+HI96</f>
        <v>0</v>
      </c>
      <c r="GJ96" s="91">
        <f>GI96-GH96</f>
        <v>0</v>
      </c>
      <c r="GK96" s="46" t="e">
        <f>GI96/AJ96</f>
        <v>#DIV/0!</v>
      </c>
      <c r="GL96" s="46">
        <f>GI96/AD96</f>
        <v>0</v>
      </c>
      <c r="GM96" s="90"/>
      <c r="GN96" s="64"/>
      <c r="GO96" s="91">
        <f>GN96-GM96</f>
        <v>0</v>
      </c>
      <c r="GP96" s="129" t="e">
        <f>GN96*1.021/GI96</f>
        <v>#DIV/0!</v>
      </c>
      <c r="GQ96" s="130">
        <v>0.4</v>
      </c>
      <c r="GR96" s="90"/>
      <c r="GS96" s="64"/>
      <c r="GT96" s="64"/>
      <c r="GU96" s="46">
        <f>GS96/AD96</f>
        <v>0</v>
      </c>
      <c r="GV96" s="92"/>
      <c r="GW96" s="90"/>
      <c r="GX96" s="64">
        <f>GY96+GZ96</f>
        <v>0</v>
      </c>
      <c r="GY96" s="84"/>
      <c r="GZ96" s="84"/>
      <c r="HA96" s="92">
        <f>GX96-GW96</f>
        <v>0</v>
      </c>
      <c r="HB96" s="641">
        <f>GX96/AD96</f>
        <v>0</v>
      </c>
      <c r="HC96" s="64"/>
      <c r="HD96" s="90"/>
      <c r="HE96" s="64"/>
      <c r="HF96" s="64"/>
      <c r="HG96" s="85" t="e">
        <f>HE96/GI96</f>
        <v>#DIV/0!</v>
      </c>
      <c r="HH96" s="302"/>
      <c r="HI96" s="64"/>
      <c r="HJ96" s="86">
        <f>HE96-HD96</f>
        <v>0</v>
      </c>
      <c r="HK96" s="46">
        <f>HE96/AD96</f>
        <v>0</v>
      </c>
      <c r="HL96" s="78">
        <f>(GS96+HE96)/AD96</f>
        <v>0</v>
      </c>
      <c r="HM96" s="86">
        <f>HJ96/AD96</f>
        <v>0</v>
      </c>
      <c r="HN96" s="87">
        <v>6.31</v>
      </c>
      <c r="HO96" s="87"/>
      <c r="HP96" s="88"/>
      <c r="HQ96" s="88"/>
      <c r="HR96" s="46">
        <f>(GR96+HD96+HQ96)/AD96</f>
        <v>0</v>
      </c>
      <c r="HS96" s="88"/>
      <c r="HT96" s="46">
        <f>(GS96+HE96+HQ96+HS96)/AD96</f>
        <v>0</v>
      </c>
      <c r="HU96" s="47" t="e">
        <f>(GR96+HD96+HQ96+HS96)/(HP96+GH96-HV96)</f>
        <v>#DIV/0!</v>
      </c>
      <c r="HV96" s="88"/>
      <c r="HW96" s="88"/>
      <c r="HX96" s="64">
        <f t="shared" si="161"/>
        <v>0</v>
      </c>
      <c r="HY96" s="93">
        <f>GH96+HP96</f>
        <v>0</v>
      </c>
      <c r="HZ96" s="276"/>
      <c r="IA96" s="276">
        <f>IC96+IE96+IG96+II96+IK96+IM96+IO96+IQ96+IS96+IU96+IW96+IY96+JA96+JC96+JE96+JG96+JI96</f>
        <v>0</v>
      </c>
      <c r="IB96" s="277"/>
      <c r="IC96" s="280"/>
      <c r="ID96" s="280"/>
      <c r="IE96" s="254"/>
      <c r="IF96" s="254"/>
      <c r="IG96" s="388"/>
      <c r="IH96" s="262"/>
      <c r="II96" s="273"/>
      <c r="IJ96" s="262"/>
      <c r="IK96" s="466"/>
      <c r="IL96" s="278"/>
      <c r="IM96" s="283"/>
      <c r="IN96" s="281"/>
      <c r="IO96" s="281"/>
      <c r="IP96" s="275"/>
      <c r="IQ96" s="276"/>
      <c r="IR96" s="275"/>
      <c r="IS96" s="276"/>
      <c r="IT96" s="299"/>
      <c r="IU96" s="299"/>
      <c r="IV96" s="299"/>
      <c r="IW96" s="299"/>
      <c r="IX96" s="268"/>
      <c r="IY96" s="268"/>
      <c r="IZ96" s="268"/>
      <c r="JA96" s="268"/>
      <c r="JB96" s="268"/>
      <c r="JC96" s="268"/>
      <c r="JD96" s="280"/>
      <c r="JE96" s="118"/>
      <c r="JF96" s="278"/>
      <c r="JG96" s="118"/>
      <c r="JH96" s="270"/>
      <c r="JI96" s="278"/>
    </row>
    <row r="97" spans="1:269" ht="15" customHeight="1">
      <c r="A97" s="83" t="s">
        <v>600</v>
      </c>
      <c r="B97" s="50" t="s">
        <v>40</v>
      </c>
      <c r="C97" s="50" t="s">
        <v>112</v>
      </c>
      <c r="D97" s="50">
        <v>2020</v>
      </c>
      <c r="E97" s="50"/>
      <c r="F97" s="50"/>
      <c r="G97" s="50"/>
      <c r="H97" s="52" t="s">
        <v>412</v>
      </c>
      <c r="I97" s="50"/>
      <c r="J97" s="50" t="s">
        <v>600</v>
      </c>
      <c r="K97" s="256" t="s">
        <v>826</v>
      </c>
      <c r="L97" s="166"/>
      <c r="M97" s="167"/>
      <c r="N97" s="168"/>
      <c r="O97" s="207"/>
      <c r="P97" s="207"/>
      <c r="Q97" s="207"/>
      <c r="R97" s="207">
        <f t="shared" si="226"/>
        <v>0</v>
      </c>
      <c r="S97" s="207" t="e">
        <f t="shared" si="227"/>
        <v>#DIV/0!</v>
      </c>
      <c r="T97" s="213" t="e">
        <f t="shared" si="228"/>
        <v>#DIV/0!</v>
      </c>
      <c r="U97" s="213" t="e">
        <f t="shared" si="229"/>
        <v>#DIV/0!</v>
      </c>
      <c r="V97" s="213">
        <f t="shared" si="230"/>
        <v>0</v>
      </c>
      <c r="W97" s="207">
        <f t="shared" si="231"/>
        <v>0</v>
      </c>
      <c r="X97" s="208"/>
      <c r="Y97" s="216" t="e">
        <f t="shared" si="232"/>
        <v>#DIV/0!</v>
      </c>
      <c r="Z97" s="208"/>
      <c r="AA97" s="208"/>
      <c r="AB97" s="209"/>
      <c r="AC97" s="50" t="s">
        <v>16</v>
      </c>
      <c r="AD97" s="318">
        <f t="shared" si="212"/>
        <v>70</v>
      </c>
      <c r="AE97" s="61"/>
      <c r="AF97" s="50">
        <v>70</v>
      </c>
      <c r="AG97" s="61"/>
      <c r="AH97" s="50"/>
      <c r="AI97" s="268"/>
      <c r="AJ97" s="54"/>
      <c r="AK97" s="54"/>
      <c r="AL97" s="89"/>
      <c r="AM97" s="54"/>
      <c r="AN97" s="75"/>
      <c r="AO97" s="75"/>
      <c r="AP97" s="75"/>
      <c r="AQ97" s="75"/>
      <c r="AR97" s="75"/>
      <c r="AS97" s="54"/>
      <c r="AT97" s="73"/>
      <c r="AU97" s="75"/>
      <c r="AV97" s="54"/>
      <c r="AW97" s="53"/>
      <c r="AX97" s="50"/>
      <c r="AY97" s="785"/>
      <c r="AZ97" s="184">
        <v>43208</v>
      </c>
      <c r="BA97" s="239"/>
      <c r="BB97" s="184"/>
      <c r="BC97" s="110"/>
      <c r="BD97" s="110"/>
      <c r="BE97" s="94"/>
      <c r="BF97" s="204"/>
      <c r="BG97" s="96"/>
      <c r="BH97" s="96"/>
      <c r="BI97" s="204"/>
      <c r="BJ97" s="96"/>
      <c r="BK97" s="160"/>
      <c r="BL97" s="203"/>
      <c r="BM97" s="160"/>
      <c r="BN97" s="160"/>
      <c r="BO97" s="298">
        <f t="shared" si="233"/>
        <v>0</v>
      </c>
      <c r="BP97" s="297">
        <f t="shared" si="234"/>
        <v>731</v>
      </c>
      <c r="BQ97" s="297">
        <f t="shared" si="235"/>
        <v>1096</v>
      </c>
      <c r="BR97" s="297"/>
      <c r="BS97" s="297" t="str">
        <f t="shared" si="236"/>
        <v>oui</v>
      </c>
      <c r="BT97" s="686" t="e">
        <f t="shared" si="237"/>
        <v>#NUM!</v>
      </c>
      <c r="BU97" s="686" t="e">
        <f t="shared" si="165"/>
        <v>#NUM!</v>
      </c>
      <c r="BV97" s="686" t="e">
        <f t="shared" si="166"/>
        <v>#NUM!</v>
      </c>
      <c r="BW97" s="160"/>
      <c r="BX97" s="165"/>
      <c r="BY97" s="97"/>
      <c r="BZ97" s="98"/>
      <c r="CA97" s="98"/>
      <c r="CB97" s="98"/>
      <c r="CC97" s="158"/>
      <c r="CD97" s="251"/>
      <c r="CE97" s="251"/>
      <c r="CF97" s="157"/>
      <c r="CG97" s="251"/>
      <c r="CH97" s="251"/>
      <c r="CI97" s="251"/>
      <c r="CJ97" s="251"/>
      <c r="CK97" s="603"/>
      <c r="CL97" s="546"/>
      <c r="CM97" s="549"/>
      <c r="CN97" s="549"/>
      <c r="CO97" s="551"/>
      <c r="CP97" s="549"/>
      <c r="CQ97" s="549"/>
      <c r="CR97" s="551"/>
      <c r="CS97" s="549"/>
      <c r="CT97" s="549"/>
      <c r="CU97" s="551"/>
      <c r="CV97" s="549"/>
      <c r="CW97" s="549"/>
      <c r="CX97" s="551"/>
      <c r="CY97" s="552"/>
      <c r="CZ97" s="553"/>
      <c r="DA97" s="551"/>
      <c r="DB97" s="457"/>
      <c r="DC97" s="554"/>
      <c r="DD97" s="533"/>
      <c r="DE97" s="534"/>
      <c r="DF97" s="535"/>
      <c r="DG97" s="533"/>
      <c r="DH97" s="703">
        <v>44013</v>
      </c>
      <c r="DI97" s="348"/>
      <c r="DJ97" s="446"/>
      <c r="DK97" s="535" t="str">
        <f t="shared" si="174"/>
        <v>0</v>
      </c>
      <c r="DL97" s="704">
        <v>20</v>
      </c>
      <c r="DM97" s="243"/>
      <c r="DN97" s="533"/>
      <c r="DO97" s="534"/>
      <c r="DP97" s="535"/>
      <c r="DQ97" s="533"/>
      <c r="DR97" s="557"/>
      <c r="DS97" s="536"/>
      <c r="DT97" s="537"/>
      <c r="DU97" s="538"/>
      <c r="DV97" s="535"/>
      <c r="DW97" s="539"/>
      <c r="DX97" s="539"/>
      <c r="DY97" s="535"/>
      <c r="DZ97" s="539"/>
      <c r="EA97" s="539"/>
      <c r="EB97" s="535"/>
      <c r="EC97" s="539"/>
      <c r="ED97" s="539"/>
      <c r="EE97" s="535"/>
      <c r="EF97" s="539"/>
      <c r="EG97" s="539"/>
      <c r="EH97" s="535"/>
      <c r="EI97" s="539"/>
      <c r="EJ97" s="539"/>
      <c r="EK97" s="539"/>
      <c r="EL97" s="625">
        <f t="shared" si="183"/>
        <v>44621</v>
      </c>
      <c r="EM97" s="356">
        <f>DATE(YEAR(DH97),MONTH(DH97)+DL97,DAY(DH97))</f>
        <v>44621</v>
      </c>
      <c r="EN97" s="756">
        <f t="shared" si="184"/>
        <v>0</v>
      </c>
      <c r="EO97" s="580"/>
      <c r="EP97" s="244"/>
      <c r="EQ97" s="244"/>
      <c r="ER97" s="186">
        <f t="shared" si="238"/>
        <v>44652</v>
      </c>
      <c r="ES97" s="467"/>
      <c r="ET97" s="578">
        <f t="shared" si="185"/>
        <v>44652</v>
      </c>
      <c r="EU97" s="455">
        <f>ER97</f>
        <v>44652</v>
      </c>
      <c r="EV97" s="581"/>
      <c r="EW97" s="753">
        <f t="shared" si="186"/>
        <v>0</v>
      </c>
      <c r="EX97" s="722"/>
      <c r="EY97" s="247">
        <f t="shared" si="187"/>
        <v>0</v>
      </c>
      <c r="EZ97" s="118"/>
      <c r="FA97" s="562"/>
      <c r="FB97" s="562">
        <v>0</v>
      </c>
      <c r="FC97" s="562"/>
      <c r="FD97" s="562"/>
      <c r="FE97" s="562"/>
      <c r="FF97" s="562"/>
      <c r="FG97" s="559"/>
      <c r="FH97" s="571"/>
      <c r="FI97" s="559"/>
      <c r="FJ97" s="559"/>
      <c r="FK97" s="122"/>
      <c r="FL97" s="122"/>
      <c r="FM97" s="122"/>
      <c r="FN97" s="122"/>
      <c r="FO97" s="122"/>
      <c r="FP97" s="50"/>
      <c r="FQ97" s="279">
        <f t="shared" si="239"/>
        <v>44986</v>
      </c>
      <c r="FR97" s="279"/>
      <c r="FS97" s="50"/>
      <c r="FT97" s="50"/>
      <c r="FU97" s="50"/>
      <c r="FV97" s="50"/>
      <c r="FW97" s="50"/>
      <c r="FX97" s="50"/>
      <c r="FY97" s="50"/>
      <c r="FZ97" s="50"/>
      <c r="GA97" s="50"/>
      <c r="GB97" s="50"/>
      <c r="GC97" s="50"/>
      <c r="GD97" s="50"/>
      <c r="GE97" s="50"/>
      <c r="GF97" s="113"/>
      <c r="GG97" s="113"/>
      <c r="GH97" s="90"/>
      <c r="GI97" s="64"/>
      <c r="GJ97" s="91"/>
      <c r="GK97" s="46"/>
      <c r="GL97" s="46"/>
      <c r="GM97" s="90"/>
      <c r="GN97" s="64"/>
      <c r="GO97" s="91"/>
      <c r="GP97" s="129"/>
      <c r="GQ97" s="130"/>
      <c r="GR97" s="90"/>
      <c r="GS97" s="64"/>
      <c r="GT97" s="64"/>
      <c r="GU97" s="46"/>
      <c r="GV97" s="92"/>
      <c r="GW97" s="90"/>
      <c r="GX97" s="64"/>
      <c r="GY97" s="84"/>
      <c r="GZ97" s="84"/>
      <c r="HA97" s="92"/>
      <c r="HB97" s="641"/>
      <c r="HC97" s="64"/>
      <c r="HD97" s="286"/>
      <c r="HE97" s="64"/>
      <c r="HF97" s="64"/>
      <c r="HG97" s="85"/>
      <c r="HH97" s="90"/>
      <c r="HI97" s="64"/>
      <c r="HJ97" s="86"/>
      <c r="HK97" s="46"/>
      <c r="HL97" s="78"/>
      <c r="HM97" s="86"/>
      <c r="HN97" s="87"/>
      <c r="HO97" s="87"/>
      <c r="HP97" s="88"/>
      <c r="HQ97" s="88"/>
      <c r="HR97" s="46"/>
      <c r="HS97" s="88"/>
      <c r="HT97" s="46"/>
      <c r="HU97" s="47"/>
      <c r="HV97" s="88"/>
      <c r="HW97" s="88"/>
      <c r="HX97" s="64">
        <f t="shared" si="161"/>
        <v>0</v>
      </c>
      <c r="HY97" s="93"/>
      <c r="HZ97" s="233"/>
      <c r="IA97" s="233"/>
      <c r="IB97" s="114"/>
      <c r="IC97" s="315"/>
      <c r="ID97" s="315"/>
      <c r="IE97" s="241"/>
      <c r="IF97" s="241"/>
      <c r="IG97" s="331"/>
      <c r="IH97" s="238"/>
      <c r="II97" s="332"/>
      <c r="IJ97" s="238"/>
      <c r="IK97" s="332"/>
      <c r="IL97" s="290"/>
      <c r="IM97" s="333"/>
      <c r="IN97" s="329"/>
      <c r="IO97" s="329"/>
      <c r="IP97" s="194"/>
      <c r="IQ97" s="331"/>
      <c r="IR97" s="194"/>
      <c r="IS97" s="331"/>
      <c r="IT97" s="290"/>
      <c r="IU97" s="290"/>
      <c r="IV97" s="290"/>
      <c r="IW97" s="290"/>
      <c r="IX97" s="268"/>
      <c r="IY97" s="268"/>
      <c r="IZ97" s="268"/>
      <c r="JA97" s="268"/>
      <c r="JB97" s="268"/>
      <c r="JC97" s="268"/>
      <c r="JD97" s="331"/>
      <c r="JE97" s="330"/>
      <c r="JF97" s="290"/>
      <c r="JG97" s="330"/>
      <c r="JH97" s="330"/>
      <c r="JI97" s="290"/>
    </row>
    <row r="98" spans="1:269" ht="15" customHeight="1">
      <c r="A98" s="95" t="s">
        <v>812</v>
      </c>
      <c r="B98" s="51" t="s">
        <v>35</v>
      </c>
      <c r="C98" s="51" t="s">
        <v>110</v>
      </c>
      <c r="D98" s="50">
        <v>2020</v>
      </c>
      <c r="E98" s="51"/>
      <c r="F98" s="50"/>
      <c r="G98" s="50"/>
      <c r="H98" s="51" t="s">
        <v>412</v>
      </c>
      <c r="I98" s="50"/>
      <c r="J98" s="51" t="s">
        <v>810</v>
      </c>
      <c r="K98" s="206"/>
      <c r="L98" s="166"/>
      <c r="M98" s="167"/>
      <c r="N98" s="168"/>
      <c r="O98" s="212"/>
      <c r="P98" s="212"/>
      <c r="Q98" s="212"/>
      <c r="R98" s="207">
        <f t="shared" si="226"/>
        <v>0</v>
      </c>
      <c r="S98" s="207" t="e">
        <f t="shared" si="227"/>
        <v>#DIV/0!</v>
      </c>
      <c r="T98" s="213" t="e">
        <f t="shared" si="228"/>
        <v>#DIV/0!</v>
      </c>
      <c r="U98" s="213" t="e">
        <f t="shared" si="229"/>
        <v>#DIV/0!</v>
      </c>
      <c r="V98" s="213">
        <f t="shared" si="230"/>
        <v>0</v>
      </c>
      <c r="W98" s="207">
        <f t="shared" si="231"/>
        <v>0</v>
      </c>
      <c r="X98" s="208"/>
      <c r="Y98" s="216" t="e">
        <f t="shared" si="232"/>
        <v>#DIV/0!</v>
      </c>
      <c r="Z98" s="214"/>
      <c r="AA98" s="208"/>
      <c r="AB98" s="209"/>
      <c r="AC98" s="51" t="s">
        <v>16</v>
      </c>
      <c r="AD98" s="318">
        <f t="shared" si="212"/>
        <v>55</v>
      </c>
      <c r="AE98" s="258"/>
      <c r="AF98" s="51">
        <v>55</v>
      </c>
      <c r="AG98" s="49"/>
      <c r="AH98" s="258"/>
      <c r="AI98" s="268"/>
      <c r="AJ98" s="54"/>
      <c r="AK98" s="54"/>
      <c r="AL98" s="89"/>
      <c r="AM98" s="54"/>
      <c r="AN98" s="56"/>
      <c r="AO98" s="75"/>
      <c r="AP98" s="75"/>
      <c r="AQ98" s="75"/>
      <c r="AR98" s="56"/>
      <c r="AS98" s="54"/>
      <c r="AT98" s="73"/>
      <c r="AU98" s="75"/>
      <c r="AV98" s="54"/>
      <c r="AW98" s="53"/>
      <c r="AX98" s="50"/>
      <c r="AY98" s="785"/>
      <c r="AZ98" s="50"/>
      <c r="BA98" s="238"/>
      <c r="BB98" s="238"/>
      <c r="BC98" s="110"/>
      <c r="BD98" s="110"/>
      <c r="BE98" s="259"/>
      <c r="BF98" s="204"/>
      <c r="BG98" s="96"/>
      <c r="BH98" s="96"/>
      <c r="BI98" s="204"/>
      <c r="BJ98" s="96"/>
      <c r="BK98" s="160"/>
      <c r="BL98" s="203"/>
      <c r="BM98" s="160"/>
      <c r="BN98" s="160"/>
      <c r="BO98" s="298">
        <f t="shared" si="233"/>
        <v>0</v>
      </c>
      <c r="BP98" s="297">
        <f t="shared" si="234"/>
        <v>731</v>
      </c>
      <c r="BQ98" s="297">
        <f t="shared" si="235"/>
        <v>1096</v>
      </c>
      <c r="BR98" s="297"/>
      <c r="BS98" s="297" t="str">
        <f t="shared" si="236"/>
        <v>oui</v>
      </c>
      <c r="BT98" s="686" t="e">
        <f t="shared" si="237"/>
        <v>#NUM!</v>
      </c>
      <c r="BU98" s="686" t="e">
        <f t="shared" ref="BU98:BU129" si="240">BT98*EX98</f>
        <v>#NUM!</v>
      </c>
      <c r="BV98" s="686" t="e">
        <f t="shared" ref="BV98:BV129" si="241">IF((BU98-BR98&gt;0),0,(BU98-BR98))</f>
        <v>#NUM!</v>
      </c>
      <c r="BW98" s="160"/>
      <c r="BX98" s="165"/>
      <c r="BY98" s="97"/>
      <c r="BZ98" s="98"/>
      <c r="CA98" s="98"/>
      <c r="CB98" s="98"/>
      <c r="CC98" s="158"/>
      <c r="CD98" s="251"/>
      <c r="CE98" s="251"/>
      <c r="CF98" s="157"/>
      <c r="CG98" s="251"/>
      <c r="CH98" s="251"/>
      <c r="CI98" s="251"/>
      <c r="CJ98" s="251"/>
      <c r="CK98" s="604"/>
      <c r="CL98" s="546"/>
      <c r="CM98" s="549"/>
      <c r="CN98" s="549"/>
      <c r="CO98" s="551"/>
      <c r="CP98" s="549"/>
      <c r="CQ98" s="549"/>
      <c r="CR98" s="551"/>
      <c r="CS98" s="549"/>
      <c r="CT98" s="549"/>
      <c r="CU98" s="551"/>
      <c r="CV98" s="549"/>
      <c r="CW98" s="549"/>
      <c r="CX98" s="551"/>
      <c r="CY98" s="552"/>
      <c r="CZ98" s="553"/>
      <c r="DA98" s="551"/>
      <c r="DB98" s="457"/>
      <c r="DC98" s="554"/>
      <c r="DD98" s="533"/>
      <c r="DE98" s="534"/>
      <c r="DF98" s="535"/>
      <c r="DG98" s="533"/>
      <c r="DH98" s="703">
        <v>44228</v>
      </c>
      <c r="DI98" s="348"/>
      <c r="DJ98" s="446"/>
      <c r="DK98" s="535" t="str">
        <f t="shared" ref="DK98:DK107" si="242">IF(AND(DG98&gt;0,DH98&gt;0),DH98-DG98,"0")</f>
        <v>0</v>
      </c>
      <c r="DL98" s="704">
        <v>16</v>
      </c>
      <c r="DM98" s="243"/>
      <c r="DN98" s="533"/>
      <c r="DO98" s="534"/>
      <c r="DP98" s="535"/>
      <c r="DQ98" s="533"/>
      <c r="DR98" s="557"/>
      <c r="DS98" s="536"/>
      <c r="DT98" s="537"/>
      <c r="DU98" s="538"/>
      <c r="DV98" s="535"/>
      <c r="DW98" s="539"/>
      <c r="DX98" s="539"/>
      <c r="DY98" s="535"/>
      <c r="DZ98" s="539"/>
      <c r="EA98" s="539"/>
      <c r="EB98" s="535"/>
      <c r="EC98" s="539"/>
      <c r="ED98" s="539"/>
      <c r="EE98" s="535"/>
      <c r="EF98" s="539"/>
      <c r="EG98" s="539"/>
      <c r="EH98" s="535"/>
      <c r="EI98" s="539"/>
      <c r="EJ98" s="539"/>
      <c r="EK98" s="539"/>
      <c r="EL98" s="760">
        <f t="shared" ref="EL98:EL107" si="243">DATE(YEAR(DH98),MONTH(DH98)+DL98,DAY(DH98))</f>
        <v>44713</v>
      </c>
      <c r="EM98" s="759">
        <f t="shared" ref="EM98:EM107" si="244">DATE(YEAR(EL98),MONTH(EL98)+3,DAY(EL98))</f>
        <v>44805</v>
      </c>
      <c r="EN98" s="756">
        <f t="shared" ref="EN98:EN129" si="245">(DATEDIF(EL98,EM98,"d"))/30</f>
        <v>3.0666666666666669</v>
      </c>
      <c r="EO98" s="580"/>
      <c r="EP98" s="244"/>
      <c r="EQ98" s="244"/>
      <c r="ER98" s="186">
        <f>DATE(YEAR(EM98),MONTH(EM98),DAY(EM98)+15)</f>
        <v>44820</v>
      </c>
      <c r="ES98" s="467"/>
      <c r="ET98" s="578">
        <f t="shared" ref="ET98:ET107" si="246">DATE(YEAR(EL98),MONTH(EL98)+1,DAY(EL98))</f>
        <v>44743</v>
      </c>
      <c r="EU98" s="759">
        <f t="shared" ref="EU98:EU107" si="247">DATE(YEAR(ER98),MONTH(ER98)+1,DAY(ER98))</f>
        <v>44850</v>
      </c>
      <c r="EV98" s="581"/>
      <c r="EW98" s="753">
        <f t="shared" si="186"/>
        <v>3.5666666666666669</v>
      </c>
      <c r="EX98" s="722"/>
      <c r="EY98" s="247">
        <f t="shared" ref="EY98:EY129" si="248">EX98*EW98</f>
        <v>0</v>
      </c>
      <c r="EZ98" s="118"/>
      <c r="FA98" s="562"/>
      <c r="FB98" s="562">
        <v>0</v>
      </c>
      <c r="FC98" s="562"/>
      <c r="FD98" s="562"/>
      <c r="FE98" s="562"/>
      <c r="FF98" s="562"/>
      <c r="FG98" s="559"/>
      <c r="FH98" s="571"/>
      <c r="FI98" s="559"/>
      <c r="FJ98" s="559"/>
      <c r="FK98" s="122"/>
      <c r="FL98" s="122"/>
      <c r="FM98" s="122"/>
      <c r="FN98" s="122"/>
      <c r="FO98" s="122"/>
      <c r="FP98" s="50"/>
      <c r="FQ98" s="279">
        <f t="shared" si="239"/>
        <v>45170</v>
      </c>
      <c r="FR98" s="279"/>
      <c r="FS98" s="50"/>
      <c r="FT98" s="50"/>
      <c r="FU98" s="50"/>
      <c r="FV98" s="50"/>
      <c r="FW98" s="50"/>
      <c r="FX98" s="50"/>
      <c r="FY98" s="50"/>
      <c r="FZ98" s="50"/>
      <c r="GA98" s="50"/>
      <c r="GB98" s="50"/>
      <c r="GC98" s="50"/>
      <c r="GD98" s="50"/>
      <c r="GE98" s="50"/>
      <c r="GF98" s="113"/>
      <c r="GG98" s="113"/>
      <c r="GH98" s="90"/>
      <c r="GI98" s="64"/>
      <c r="GJ98" s="91"/>
      <c r="GK98" s="46"/>
      <c r="GL98" s="46"/>
      <c r="GM98" s="90"/>
      <c r="GN98" s="64"/>
      <c r="GO98" s="91"/>
      <c r="GP98" s="129"/>
      <c r="GQ98" s="130"/>
      <c r="GR98" s="90"/>
      <c r="GS98" s="64"/>
      <c r="GT98" s="64"/>
      <c r="GU98" s="46"/>
      <c r="GV98" s="92"/>
      <c r="GW98" s="90"/>
      <c r="GX98" s="64"/>
      <c r="GY98" s="84"/>
      <c r="GZ98" s="84"/>
      <c r="HA98" s="92"/>
      <c r="HB98" s="641"/>
      <c r="HC98" s="64"/>
      <c r="HD98" s="90"/>
      <c r="HE98" s="64"/>
      <c r="HF98" s="69"/>
      <c r="HG98" s="85"/>
      <c r="HH98" s="302"/>
      <c r="HI98" s="64"/>
      <c r="HJ98" s="86"/>
      <c r="HK98" s="46"/>
      <c r="HL98" s="78"/>
      <c r="HM98" s="86"/>
      <c r="HN98" s="260"/>
      <c r="HO98" s="260"/>
      <c r="HP98" s="88"/>
      <c r="HQ98" s="88"/>
      <c r="HR98" s="46"/>
      <c r="HS98" s="88"/>
      <c r="HT98" s="46"/>
      <c r="HU98" s="47"/>
      <c r="HV98" s="88"/>
      <c r="HW98" s="88"/>
      <c r="HX98" s="64">
        <f t="shared" si="161"/>
        <v>0</v>
      </c>
      <c r="HY98" s="93"/>
      <c r="HZ98" s="276"/>
      <c r="IA98" s="276"/>
      <c r="IB98" s="114"/>
      <c r="IC98" s="233"/>
      <c r="ID98" s="233"/>
      <c r="IE98" s="114"/>
      <c r="IF98" s="114"/>
      <c r="IG98" s="233"/>
      <c r="IH98" s="114"/>
      <c r="II98" s="233"/>
      <c r="IJ98" s="114"/>
      <c r="IK98" s="233"/>
      <c r="IL98" s="115"/>
      <c r="IM98" s="322"/>
      <c r="IN98" s="314"/>
      <c r="IO98" s="314"/>
      <c r="IP98" s="275"/>
      <c r="IQ98" s="280"/>
      <c r="IR98" s="275"/>
      <c r="IS98" s="280"/>
      <c r="IT98" s="299"/>
      <c r="IU98" s="299"/>
      <c r="IV98" s="299"/>
      <c r="IW98" s="299"/>
      <c r="IX98" s="268"/>
      <c r="IY98" s="268"/>
      <c r="IZ98" s="268"/>
      <c r="JA98" s="268"/>
      <c r="JB98" s="268"/>
      <c r="JC98" s="268"/>
      <c r="JD98" s="233"/>
      <c r="JE98" s="123"/>
      <c r="JF98" s="115"/>
      <c r="JG98" s="123"/>
      <c r="JH98" s="123"/>
      <c r="JI98" s="115"/>
    </row>
    <row r="99" spans="1:269" ht="15" customHeight="1">
      <c r="A99" s="83" t="s">
        <v>636</v>
      </c>
      <c r="B99" s="50" t="s">
        <v>35</v>
      </c>
      <c r="C99" s="50" t="s">
        <v>110</v>
      </c>
      <c r="D99" s="50">
        <v>2020</v>
      </c>
      <c r="E99" s="50"/>
      <c r="F99" s="50"/>
      <c r="G99" s="50"/>
      <c r="H99" s="50" t="s">
        <v>412</v>
      </c>
      <c r="I99" s="50"/>
      <c r="J99" s="50" t="s">
        <v>636</v>
      </c>
      <c r="K99" s="256" t="s">
        <v>818</v>
      </c>
      <c r="L99" s="166"/>
      <c r="M99" s="167"/>
      <c r="N99" s="168"/>
      <c r="O99" s="207"/>
      <c r="P99" s="207"/>
      <c r="Q99" s="207"/>
      <c r="R99" s="207"/>
      <c r="S99" s="207"/>
      <c r="T99" s="213"/>
      <c r="U99" s="213"/>
      <c r="V99" s="213"/>
      <c r="W99" s="207"/>
      <c r="X99" s="208"/>
      <c r="Y99" s="216"/>
      <c r="Z99" s="208"/>
      <c r="AA99" s="208"/>
      <c r="AB99" s="209"/>
      <c r="AC99" s="51" t="s">
        <v>15</v>
      </c>
      <c r="AD99" s="318">
        <f t="shared" si="212"/>
        <v>35</v>
      </c>
      <c r="AE99" s="61"/>
      <c r="AF99" s="50">
        <v>35</v>
      </c>
      <c r="AG99" s="61"/>
      <c r="AH99" s="61"/>
      <c r="AI99" s="268"/>
      <c r="AJ99" s="54"/>
      <c r="AK99" s="54"/>
      <c r="AL99" s="89"/>
      <c r="AM99" s="54"/>
      <c r="AN99" s="75"/>
      <c r="AO99" s="75"/>
      <c r="AP99" s="75"/>
      <c r="AQ99" s="75"/>
      <c r="AR99" s="75"/>
      <c r="AS99" s="54"/>
      <c r="AT99" s="73"/>
      <c r="AU99" s="75"/>
      <c r="AV99" s="54"/>
      <c r="AW99" s="50"/>
      <c r="AX99" s="50"/>
      <c r="AY99" s="785"/>
      <c r="AZ99" s="184">
        <v>43229</v>
      </c>
      <c r="BA99" s="184"/>
      <c r="BB99" s="50"/>
      <c r="BC99" s="110"/>
      <c r="BD99" s="110"/>
      <c r="BE99" s="94"/>
      <c r="BF99" s="204"/>
      <c r="BG99" s="96"/>
      <c r="BH99" s="96"/>
      <c r="BI99" s="204"/>
      <c r="BJ99" s="96"/>
      <c r="BK99" s="160"/>
      <c r="BL99" s="203"/>
      <c r="BM99" s="160"/>
      <c r="BN99" s="160"/>
      <c r="BO99" s="298">
        <f t="shared" si="233"/>
        <v>0</v>
      </c>
      <c r="BP99" s="297">
        <f t="shared" si="234"/>
        <v>731</v>
      </c>
      <c r="BQ99" s="297">
        <f t="shared" si="235"/>
        <v>1096</v>
      </c>
      <c r="BR99" s="297"/>
      <c r="BS99" s="297" t="str">
        <f t="shared" si="236"/>
        <v>oui</v>
      </c>
      <c r="BT99" s="686" t="e">
        <f t="shared" si="237"/>
        <v>#NUM!</v>
      </c>
      <c r="BU99" s="686" t="e">
        <f t="shared" si="240"/>
        <v>#NUM!</v>
      </c>
      <c r="BV99" s="686" t="e">
        <f t="shared" si="241"/>
        <v>#NUM!</v>
      </c>
      <c r="BW99" s="160"/>
      <c r="BX99" s="165"/>
      <c r="BY99" s="97"/>
      <c r="BZ99" s="98"/>
      <c r="CA99" s="98"/>
      <c r="CB99" s="98"/>
      <c r="CC99" s="158"/>
      <c r="CD99" s="251"/>
      <c r="CE99" s="251"/>
      <c r="CF99" s="157"/>
      <c r="CG99" s="251"/>
      <c r="CH99" s="251"/>
      <c r="CI99" s="251"/>
      <c r="CJ99" s="251"/>
      <c r="CK99" s="603"/>
      <c r="CL99" s="549"/>
      <c r="CM99" s="549"/>
      <c r="CN99" s="549"/>
      <c r="CO99" s="551"/>
      <c r="CP99" s="549"/>
      <c r="CQ99" s="549"/>
      <c r="CR99" s="551"/>
      <c r="CS99" s="549"/>
      <c r="CT99" s="549"/>
      <c r="CU99" s="551"/>
      <c r="CV99" s="549"/>
      <c r="CW99" s="549"/>
      <c r="CX99" s="551"/>
      <c r="CY99" s="552"/>
      <c r="CZ99" s="553"/>
      <c r="DA99" s="551"/>
      <c r="DB99" s="457"/>
      <c r="DC99" s="550"/>
      <c r="DD99" s="533"/>
      <c r="DE99" s="534"/>
      <c r="DF99" s="535"/>
      <c r="DG99" s="533"/>
      <c r="DH99" s="703">
        <v>44378</v>
      </c>
      <c r="DI99" s="348"/>
      <c r="DJ99" s="446"/>
      <c r="DK99" s="535" t="str">
        <f t="shared" si="242"/>
        <v>0</v>
      </c>
      <c r="DL99" s="704">
        <v>16</v>
      </c>
      <c r="DM99" s="243"/>
      <c r="DN99" s="533"/>
      <c r="DO99" s="534"/>
      <c r="DP99" s="535"/>
      <c r="DQ99" s="533"/>
      <c r="DR99" s="557"/>
      <c r="DS99" s="536"/>
      <c r="DT99" s="537"/>
      <c r="DU99" s="538"/>
      <c r="DV99" s="535"/>
      <c r="DW99" s="539"/>
      <c r="DX99" s="539"/>
      <c r="DY99" s="535"/>
      <c r="DZ99" s="539"/>
      <c r="EA99" s="539"/>
      <c r="EB99" s="535"/>
      <c r="EC99" s="539"/>
      <c r="ED99" s="539"/>
      <c r="EE99" s="535"/>
      <c r="EF99" s="539"/>
      <c r="EG99" s="539"/>
      <c r="EH99" s="535"/>
      <c r="EI99" s="539"/>
      <c r="EJ99" s="539"/>
      <c r="EK99" s="539"/>
      <c r="EL99" s="625">
        <f t="shared" si="243"/>
        <v>44866</v>
      </c>
      <c r="EM99" s="404">
        <f t="shared" si="244"/>
        <v>44958</v>
      </c>
      <c r="EN99" s="756">
        <f t="shared" si="245"/>
        <v>3.0666666666666669</v>
      </c>
      <c r="EO99" s="580"/>
      <c r="EP99" s="244"/>
      <c r="EQ99" s="244"/>
      <c r="ER99" s="186">
        <f>DATE(YEAR(EM99),MONTH(EM99),DAY(EM99)+15)</f>
        <v>44973</v>
      </c>
      <c r="ES99" s="467"/>
      <c r="ET99" s="578">
        <f t="shared" si="246"/>
        <v>44896</v>
      </c>
      <c r="EU99" s="455">
        <f t="shared" si="247"/>
        <v>45001</v>
      </c>
      <c r="EV99" s="581"/>
      <c r="EW99" s="753">
        <f t="shared" si="186"/>
        <v>3.5</v>
      </c>
      <c r="EX99" s="722"/>
      <c r="EY99" s="247">
        <f t="shared" si="248"/>
        <v>0</v>
      </c>
      <c r="EZ99" s="118"/>
      <c r="FA99" s="562"/>
      <c r="FB99" s="562">
        <v>0</v>
      </c>
      <c r="FC99" s="562"/>
      <c r="FD99" s="562"/>
      <c r="FE99" s="562"/>
      <c r="FF99" s="562"/>
      <c r="FG99" s="559"/>
      <c r="FH99" s="571"/>
      <c r="FI99" s="559"/>
      <c r="FJ99" s="559"/>
      <c r="FK99" s="122"/>
      <c r="FL99" s="122"/>
      <c r="FM99" s="122"/>
      <c r="FN99" s="122"/>
      <c r="FO99" s="122"/>
      <c r="FP99" s="50"/>
      <c r="FQ99" s="279">
        <f t="shared" si="239"/>
        <v>45323</v>
      </c>
      <c r="FR99" s="279"/>
      <c r="FS99" s="50"/>
      <c r="FT99" s="50"/>
      <c r="FU99" s="50"/>
      <c r="FV99" s="50"/>
      <c r="FW99" s="50"/>
      <c r="FX99" s="50"/>
      <c r="FY99" s="50"/>
      <c r="FZ99" s="50"/>
      <c r="GA99" s="50"/>
      <c r="GB99" s="50"/>
      <c r="GC99" s="50"/>
      <c r="GD99" s="50"/>
      <c r="GE99" s="50"/>
      <c r="GF99" s="113"/>
      <c r="GG99" s="113"/>
      <c r="GH99" s="90"/>
      <c r="GI99" s="64"/>
      <c r="GJ99" s="91"/>
      <c r="GK99" s="46"/>
      <c r="GL99" s="46"/>
      <c r="GM99" s="90"/>
      <c r="GN99" s="64"/>
      <c r="GO99" s="91"/>
      <c r="GP99" s="129"/>
      <c r="GQ99" s="130"/>
      <c r="GR99" s="90"/>
      <c r="GS99" s="64"/>
      <c r="GT99" s="64"/>
      <c r="GU99" s="46"/>
      <c r="GV99" s="92"/>
      <c r="GW99" s="90"/>
      <c r="GX99" s="64"/>
      <c r="GY99" s="84"/>
      <c r="GZ99" s="84"/>
      <c r="HA99" s="92"/>
      <c r="HB99" s="641"/>
      <c r="HC99" s="64"/>
      <c r="HD99" s="90"/>
      <c r="HE99" s="64"/>
      <c r="HF99" s="64"/>
      <c r="HG99" s="85"/>
      <c r="HH99" s="302"/>
      <c r="HI99" s="64"/>
      <c r="HJ99" s="86"/>
      <c r="HK99" s="46"/>
      <c r="HL99" s="78"/>
      <c r="HM99" s="86"/>
      <c r="HN99" s="87"/>
      <c r="HO99" s="87"/>
      <c r="HP99" s="88"/>
      <c r="HQ99" s="88"/>
      <c r="HR99" s="46"/>
      <c r="HS99" s="88"/>
      <c r="HT99" s="46"/>
      <c r="HU99" s="47"/>
      <c r="HV99" s="88"/>
      <c r="HW99" s="88"/>
      <c r="HX99" s="64">
        <f t="shared" si="161"/>
        <v>0</v>
      </c>
      <c r="HY99" s="93"/>
      <c r="HZ99" s="276"/>
      <c r="IA99" s="276"/>
      <c r="IB99" s="277"/>
      <c r="IC99" s="280"/>
      <c r="ID99" s="280"/>
      <c r="IE99" s="254"/>
      <c r="IF99" s="254"/>
      <c r="IG99" s="388"/>
      <c r="IH99" s="262"/>
      <c r="II99" s="273"/>
      <c r="IJ99" s="262"/>
      <c r="IK99" s="466"/>
      <c r="IL99" s="278"/>
      <c r="IM99" s="283"/>
      <c r="IN99" s="281"/>
      <c r="IO99" s="281"/>
      <c r="IP99" s="275"/>
      <c r="IQ99" s="276"/>
      <c r="IR99" s="275"/>
      <c r="IS99" s="276"/>
      <c r="IT99" s="299"/>
      <c r="IU99" s="299"/>
      <c r="IV99" s="299"/>
      <c r="IW99" s="299"/>
      <c r="IX99" s="268"/>
      <c r="IY99" s="268"/>
      <c r="IZ99" s="268"/>
      <c r="JA99" s="268"/>
      <c r="JB99" s="268"/>
      <c r="JC99" s="268"/>
      <c r="JD99" s="280"/>
      <c r="JE99" s="118"/>
      <c r="JF99" s="278"/>
      <c r="JG99" s="118"/>
      <c r="JH99" s="270"/>
      <c r="JI99" s="278"/>
    </row>
    <row r="100" spans="1:269" ht="15" customHeight="1">
      <c r="A100" s="83" t="s">
        <v>821</v>
      </c>
      <c r="B100" s="50" t="s">
        <v>35</v>
      </c>
      <c r="C100" s="50" t="s">
        <v>110</v>
      </c>
      <c r="D100" s="50">
        <v>2020</v>
      </c>
      <c r="E100" s="50"/>
      <c r="F100" s="50"/>
      <c r="G100" s="50"/>
      <c r="H100" s="50" t="s">
        <v>412</v>
      </c>
      <c r="I100" s="50"/>
      <c r="J100" s="50" t="s">
        <v>469</v>
      </c>
      <c r="K100" s="256" t="s">
        <v>819</v>
      </c>
      <c r="L100" s="166"/>
      <c r="M100" s="167"/>
      <c r="N100" s="168"/>
      <c r="O100" s="207"/>
      <c r="P100" s="207"/>
      <c r="Q100" s="207"/>
      <c r="R100" s="207">
        <v>0</v>
      </c>
      <c r="S100" s="207" t="e">
        <v>#DIV/0!</v>
      </c>
      <c r="T100" s="213" t="e">
        <v>#DIV/0!</v>
      </c>
      <c r="U100" s="213" t="e">
        <v>#DIV/0!</v>
      </c>
      <c r="V100" s="213">
        <v>0</v>
      </c>
      <c r="W100" s="207">
        <v>0</v>
      </c>
      <c r="X100" s="208"/>
      <c r="Y100" s="216" t="e">
        <v>#DIV/0!</v>
      </c>
      <c r="Z100" s="208"/>
      <c r="AA100" s="208"/>
      <c r="AB100" s="209"/>
      <c r="AC100" s="51" t="s">
        <v>16</v>
      </c>
      <c r="AD100" s="318">
        <f t="shared" si="212"/>
        <v>40</v>
      </c>
      <c r="AE100" s="61"/>
      <c r="AF100" s="50">
        <v>40</v>
      </c>
      <c r="AG100" s="61"/>
      <c r="AH100" s="61"/>
      <c r="AI100" s="268"/>
      <c r="AJ100" s="54"/>
      <c r="AK100" s="54"/>
      <c r="AL100" s="89"/>
      <c r="AM100" s="7"/>
      <c r="AN100" s="75"/>
      <c r="AO100" s="75"/>
      <c r="AP100" s="75"/>
      <c r="AQ100" s="75"/>
      <c r="AR100" s="75"/>
      <c r="AS100" s="54"/>
      <c r="AT100" s="73"/>
      <c r="AU100" s="75"/>
      <c r="AV100" s="54"/>
      <c r="AW100" s="50"/>
      <c r="AX100" s="50"/>
      <c r="AY100" s="785"/>
      <c r="AZ100" s="184">
        <v>43229</v>
      </c>
      <c r="BA100" s="184"/>
      <c r="BB100" s="50"/>
      <c r="BC100" s="110"/>
      <c r="BD100" s="110"/>
      <c r="BE100" s="94"/>
      <c r="BF100" s="204"/>
      <c r="BG100" s="96"/>
      <c r="BH100" s="96"/>
      <c r="BI100" s="204"/>
      <c r="BJ100" s="96"/>
      <c r="BK100" s="160"/>
      <c r="BL100" s="203"/>
      <c r="BM100" s="160"/>
      <c r="BN100" s="160"/>
      <c r="BO100" s="298">
        <f t="shared" si="233"/>
        <v>0</v>
      </c>
      <c r="BP100" s="297">
        <f t="shared" si="234"/>
        <v>731</v>
      </c>
      <c r="BQ100" s="297">
        <f t="shared" si="235"/>
        <v>1096</v>
      </c>
      <c r="BR100" s="297"/>
      <c r="BS100" s="297" t="str">
        <f t="shared" si="236"/>
        <v>oui</v>
      </c>
      <c r="BT100" s="686" t="e">
        <f t="shared" si="237"/>
        <v>#NUM!</v>
      </c>
      <c r="BU100" s="686" t="e">
        <f t="shared" si="240"/>
        <v>#NUM!</v>
      </c>
      <c r="BV100" s="686" t="e">
        <f t="shared" si="241"/>
        <v>#NUM!</v>
      </c>
      <c r="BW100" s="160"/>
      <c r="BX100" s="165"/>
      <c r="BY100" s="97"/>
      <c r="BZ100" s="98"/>
      <c r="CA100" s="98"/>
      <c r="CB100" s="98"/>
      <c r="CC100" s="158"/>
      <c r="CD100" s="251"/>
      <c r="CE100" s="251"/>
      <c r="CF100" s="157"/>
      <c r="CG100" s="251"/>
      <c r="CH100" s="251"/>
      <c r="CI100" s="251"/>
      <c r="CJ100" s="251"/>
      <c r="CK100" s="603"/>
      <c r="CL100" s="549"/>
      <c r="CM100" s="549"/>
      <c r="CN100" s="549"/>
      <c r="CO100" s="551"/>
      <c r="CP100" s="549"/>
      <c r="CQ100" s="549"/>
      <c r="CR100" s="551"/>
      <c r="CS100" s="549"/>
      <c r="CT100" s="549"/>
      <c r="CU100" s="551"/>
      <c r="CV100" s="549"/>
      <c r="CW100" s="549"/>
      <c r="CX100" s="551"/>
      <c r="CY100" s="552"/>
      <c r="CZ100" s="553"/>
      <c r="DA100" s="551"/>
      <c r="DB100" s="457"/>
      <c r="DC100" s="550"/>
      <c r="DD100" s="533"/>
      <c r="DE100" s="534"/>
      <c r="DF100" s="535"/>
      <c r="DG100" s="533"/>
      <c r="DH100" s="703">
        <v>44378</v>
      </c>
      <c r="DI100" s="348"/>
      <c r="DJ100" s="446"/>
      <c r="DK100" s="535" t="str">
        <f t="shared" si="242"/>
        <v>0</v>
      </c>
      <c r="DL100" s="704">
        <v>16</v>
      </c>
      <c r="DM100" s="243"/>
      <c r="DN100" s="533"/>
      <c r="DO100" s="534"/>
      <c r="DP100" s="535"/>
      <c r="DQ100" s="533"/>
      <c r="DR100" s="557"/>
      <c r="DS100" s="536"/>
      <c r="DT100" s="537"/>
      <c r="DU100" s="538"/>
      <c r="DV100" s="535"/>
      <c r="DW100" s="539"/>
      <c r="DX100" s="539"/>
      <c r="DY100" s="535"/>
      <c r="DZ100" s="539"/>
      <c r="EA100" s="539"/>
      <c r="EB100" s="535"/>
      <c r="EC100" s="539"/>
      <c r="ED100" s="539"/>
      <c r="EE100" s="535"/>
      <c r="EF100" s="539"/>
      <c r="EG100" s="539"/>
      <c r="EH100" s="535"/>
      <c r="EI100" s="539"/>
      <c r="EJ100" s="539"/>
      <c r="EK100" s="539"/>
      <c r="EL100" s="760">
        <f t="shared" si="243"/>
        <v>44866</v>
      </c>
      <c r="EM100" s="759">
        <f t="shared" si="244"/>
        <v>44958</v>
      </c>
      <c r="EN100" s="756">
        <f t="shared" si="245"/>
        <v>3.0666666666666669</v>
      </c>
      <c r="EO100" s="580"/>
      <c r="EP100" s="244"/>
      <c r="EQ100" s="244"/>
      <c r="ER100" s="186">
        <f>DATE(YEAR(EM100),MONTH(EM100),DAY(EM100)+15)</f>
        <v>44973</v>
      </c>
      <c r="ES100" s="467"/>
      <c r="ET100" s="578">
        <f t="shared" si="246"/>
        <v>44896</v>
      </c>
      <c r="EU100" s="759">
        <f t="shared" si="247"/>
        <v>45001</v>
      </c>
      <c r="EV100" s="581"/>
      <c r="EW100" s="753">
        <f t="shared" si="186"/>
        <v>3.5</v>
      </c>
      <c r="EX100" s="722"/>
      <c r="EY100" s="247">
        <f t="shared" si="248"/>
        <v>0</v>
      </c>
      <c r="EZ100" s="118"/>
      <c r="FA100" s="562"/>
      <c r="FB100" s="562">
        <v>0</v>
      </c>
      <c r="FC100" s="562"/>
      <c r="FD100" s="562"/>
      <c r="FE100" s="562"/>
      <c r="FF100" s="562"/>
      <c r="FG100" s="559"/>
      <c r="FH100" s="571"/>
      <c r="FI100" s="559"/>
      <c r="FJ100" s="559"/>
      <c r="FK100" s="122"/>
      <c r="FL100" s="122"/>
      <c r="FM100" s="122"/>
      <c r="FN100" s="122"/>
      <c r="FO100" s="122"/>
      <c r="FP100" s="50"/>
      <c r="FQ100" s="279">
        <f t="shared" si="239"/>
        <v>45323</v>
      </c>
      <c r="FR100" s="279"/>
      <c r="FS100" s="50"/>
      <c r="FT100" s="50"/>
      <c r="FU100" s="50"/>
      <c r="FV100" s="50"/>
      <c r="FW100" s="50"/>
      <c r="FX100" s="50"/>
      <c r="FY100" s="50"/>
      <c r="FZ100" s="50"/>
      <c r="GA100" s="50"/>
      <c r="GB100" s="50"/>
      <c r="GC100" s="50"/>
      <c r="GD100" s="50"/>
      <c r="GE100" s="50"/>
      <c r="GF100" s="113"/>
      <c r="GG100" s="113"/>
      <c r="GH100" s="90"/>
      <c r="GI100" s="64"/>
      <c r="GJ100" s="91"/>
      <c r="GK100" s="46"/>
      <c r="GL100" s="46"/>
      <c r="GM100" s="90"/>
      <c r="GN100" s="64"/>
      <c r="GO100" s="91"/>
      <c r="GP100" s="129"/>
      <c r="GQ100" s="130"/>
      <c r="GR100" s="90"/>
      <c r="GS100" s="64"/>
      <c r="GT100" s="64"/>
      <c r="GU100" s="46"/>
      <c r="GV100" s="92"/>
      <c r="GW100" s="90"/>
      <c r="GX100" s="64"/>
      <c r="GY100" s="84"/>
      <c r="GZ100" s="84"/>
      <c r="HA100" s="92"/>
      <c r="HB100" s="641"/>
      <c r="HC100" s="64"/>
      <c r="HD100" s="90"/>
      <c r="HE100" s="9"/>
      <c r="HF100" s="64"/>
      <c r="HG100" s="85"/>
      <c r="HH100" s="302"/>
      <c r="HI100" s="64"/>
      <c r="HJ100" s="86"/>
      <c r="HK100" s="19"/>
      <c r="HL100" s="78"/>
      <c r="HM100" s="86"/>
      <c r="HN100" s="87"/>
      <c r="HO100" s="87"/>
      <c r="HP100" s="88"/>
      <c r="HQ100" s="88"/>
      <c r="HR100" s="46"/>
      <c r="HS100" s="88"/>
      <c r="HT100" s="46"/>
      <c r="HU100" s="47"/>
      <c r="HV100" s="88"/>
      <c r="HW100" s="88"/>
      <c r="HX100" s="64">
        <f t="shared" si="161"/>
        <v>0</v>
      </c>
      <c r="HY100" s="37"/>
      <c r="HZ100" s="276"/>
      <c r="IA100" s="276"/>
      <c r="IB100" s="277"/>
      <c r="IC100" s="280"/>
      <c r="ID100" s="280"/>
      <c r="IE100" s="254"/>
      <c r="IF100" s="254"/>
      <c r="IG100" s="388"/>
      <c r="IH100" s="262"/>
      <c r="II100" s="273"/>
      <c r="IJ100" s="262"/>
      <c r="IK100" s="466"/>
      <c r="IL100" s="278"/>
      <c r="IM100" s="283"/>
      <c r="IN100" s="281"/>
      <c r="IO100" s="281"/>
      <c r="IP100" s="275"/>
      <c r="IQ100" s="276"/>
      <c r="IR100" s="275"/>
      <c r="IS100" s="276"/>
      <c r="IT100" s="299"/>
      <c r="IU100" s="299"/>
      <c r="IV100" s="299"/>
      <c r="IW100" s="299"/>
      <c r="IX100" s="268"/>
      <c r="IY100" s="268"/>
      <c r="IZ100" s="268"/>
      <c r="JA100" s="268"/>
      <c r="JB100" s="268"/>
      <c r="JC100" s="268"/>
      <c r="JD100" s="280"/>
      <c r="JE100" s="118"/>
      <c r="JF100" s="278"/>
      <c r="JG100" s="118"/>
      <c r="JH100" s="270"/>
      <c r="JI100" s="278"/>
    </row>
    <row r="101" spans="1:269" ht="15" customHeight="1">
      <c r="A101" s="95" t="s">
        <v>824</v>
      </c>
      <c r="B101" s="50" t="s">
        <v>100</v>
      </c>
      <c r="C101" s="50" t="s">
        <v>112</v>
      </c>
      <c r="D101" s="50">
        <v>2020</v>
      </c>
      <c r="E101" s="50"/>
      <c r="F101" s="50"/>
      <c r="G101" s="50"/>
      <c r="H101" s="50" t="s">
        <v>197</v>
      </c>
      <c r="I101" s="50"/>
      <c r="J101" s="50" t="s">
        <v>823</v>
      </c>
      <c r="K101" s="256" t="s">
        <v>825</v>
      </c>
      <c r="L101" s="166"/>
      <c r="M101" s="167"/>
      <c r="N101" s="168"/>
      <c r="O101" s="213"/>
      <c r="P101" s="213"/>
      <c r="Q101" s="213"/>
      <c r="R101" s="207">
        <f t="shared" ref="R101:R107" si="249">P101/AD101</f>
        <v>0</v>
      </c>
      <c r="S101" s="207" t="e">
        <f t="shared" ref="S101:S106" si="250">P101/O101</f>
        <v>#DIV/0!</v>
      </c>
      <c r="T101" s="213" t="e">
        <f t="shared" ref="T101:T106" si="251">Q101/O101</f>
        <v>#DIV/0!</v>
      </c>
      <c r="U101" s="213" t="e">
        <f t="shared" ref="U101:U106" si="252">Q101/AL101</f>
        <v>#DIV/0!</v>
      </c>
      <c r="V101" s="213">
        <f t="shared" ref="V101:V107" si="253">Q101/AD101</f>
        <v>0</v>
      </c>
      <c r="W101" s="207">
        <f t="shared" ref="W101:W107" si="254">O101/AD101</f>
        <v>0</v>
      </c>
      <c r="X101" s="217"/>
      <c r="Y101" s="216" t="e">
        <f t="shared" ref="Y101:Y106" si="255">AL101/O101</f>
        <v>#DIV/0!</v>
      </c>
      <c r="Z101" s="217"/>
      <c r="AA101" s="208"/>
      <c r="AB101" s="209"/>
      <c r="AC101" s="50" t="s">
        <v>16</v>
      </c>
      <c r="AD101" s="318">
        <f t="shared" si="212"/>
        <v>40</v>
      </c>
      <c r="AE101" s="61"/>
      <c r="AF101" s="50">
        <v>40</v>
      </c>
      <c r="AG101" s="61"/>
      <c r="AH101" s="61"/>
      <c r="AI101" s="268"/>
      <c r="AJ101" s="54"/>
      <c r="AK101" s="54"/>
      <c r="AL101" s="403"/>
      <c r="AM101" s="54"/>
      <c r="AN101" s="56"/>
      <c r="AO101" s="56"/>
      <c r="AP101" s="56"/>
      <c r="AQ101" s="56"/>
      <c r="AR101" s="56"/>
      <c r="AS101" s="54"/>
      <c r="AT101" s="73"/>
      <c r="AU101" s="75"/>
      <c r="AV101" s="54"/>
      <c r="AW101" s="53" t="s">
        <v>561</v>
      </c>
      <c r="AX101" s="50"/>
      <c r="AY101" s="785"/>
      <c r="AZ101" s="184">
        <v>43207</v>
      </c>
      <c r="BA101" s="190"/>
      <c r="BB101" s="50"/>
      <c r="BC101" s="110"/>
      <c r="BD101" s="110"/>
      <c r="BE101" s="259"/>
      <c r="BF101" s="204"/>
      <c r="BG101" s="96"/>
      <c r="BH101" s="96"/>
      <c r="BI101" s="204"/>
      <c r="BJ101" s="96"/>
      <c r="BK101" s="160"/>
      <c r="BL101" s="203"/>
      <c r="BM101" s="160"/>
      <c r="BN101" s="160"/>
      <c r="BO101" s="298">
        <f t="shared" si="233"/>
        <v>0</v>
      </c>
      <c r="BP101" s="297">
        <f t="shared" si="234"/>
        <v>731</v>
      </c>
      <c r="BQ101" s="297">
        <f t="shared" si="235"/>
        <v>1096</v>
      </c>
      <c r="BR101" s="297"/>
      <c r="BS101" s="297" t="str">
        <f t="shared" si="236"/>
        <v>oui</v>
      </c>
      <c r="BT101" s="686" t="e">
        <f t="shared" si="237"/>
        <v>#NUM!</v>
      </c>
      <c r="BU101" s="686" t="e">
        <f t="shared" si="240"/>
        <v>#NUM!</v>
      </c>
      <c r="BV101" s="686" t="e">
        <f t="shared" si="241"/>
        <v>#NUM!</v>
      </c>
      <c r="BW101" s="160"/>
      <c r="BX101" s="111"/>
      <c r="BY101" s="97"/>
      <c r="BZ101" s="98"/>
      <c r="CA101" s="98"/>
      <c r="CB101" s="98"/>
      <c r="CC101" s="158"/>
      <c r="CD101" s="251"/>
      <c r="CE101" s="251"/>
      <c r="CF101" s="157"/>
      <c r="CG101" s="251"/>
      <c r="CH101" s="251"/>
      <c r="CI101" s="251"/>
      <c r="CJ101" s="251"/>
      <c r="CK101" s="604"/>
      <c r="CL101" s="549"/>
      <c r="CM101" s="547"/>
      <c r="CN101" s="547"/>
      <c r="CO101" s="551"/>
      <c r="CP101" s="549"/>
      <c r="CQ101" s="549"/>
      <c r="CR101" s="551"/>
      <c r="CS101" s="552"/>
      <c r="CT101" s="546"/>
      <c r="CU101" s="551"/>
      <c r="CV101" s="552"/>
      <c r="CW101" s="546"/>
      <c r="CX101" s="551"/>
      <c r="CY101" s="552"/>
      <c r="CZ101" s="553"/>
      <c r="DA101" s="551"/>
      <c r="DB101" s="75"/>
      <c r="DC101" s="550"/>
      <c r="DD101" s="533"/>
      <c r="DE101" s="534"/>
      <c r="DF101" s="535"/>
      <c r="DG101" s="533"/>
      <c r="DH101" s="703">
        <v>44378</v>
      </c>
      <c r="DI101" s="350"/>
      <c r="DJ101" s="453"/>
      <c r="DK101" s="535" t="str">
        <f t="shared" si="242"/>
        <v>0</v>
      </c>
      <c r="DL101" s="704">
        <v>16</v>
      </c>
      <c r="DM101" s="243"/>
      <c r="DN101" s="533"/>
      <c r="DO101" s="534"/>
      <c r="DP101" s="535"/>
      <c r="DQ101" s="533"/>
      <c r="DR101" s="557"/>
      <c r="DS101" s="536"/>
      <c r="DT101" s="537"/>
      <c r="DU101" s="538"/>
      <c r="DV101" s="535"/>
      <c r="DW101" s="534"/>
      <c r="DX101" s="539"/>
      <c r="DY101" s="535"/>
      <c r="DZ101" s="541"/>
      <c r="EA101" s="541"/>
      <c r="EB101" s="535"/>
      <c r="EC101" s="541"/>
      <c r="ED101" s="541"/>
      <c r="EE101" s="535"/>
      <c r="EF101" s="541"/>
      <c r="EG101" s="539"/>
      <c r="EH101" s="535"/>
      <c r="EI101" s="541"/>
      <c r="EJ101" s="541"/>
      <c r="EK101" s="541"/>
      <c r="EL101" s="760">
        <f t="shared" si="243"/>
        <v>44866</v>
      </c>
      <c r="EM101" s="759">
        <f t="shared" si="244"/>
        <v>44958</v>
      </c>
      <c r="EN101" s="756">
        <f t="shared" si="245"/>
        <v>3.0666666666666669</v>
      </c>
      <c r="EO101" s="467"/>
      <c r="EP101" s="186"/>
      <c r="EQ101" s="125"/>
      <c r="ER101" s="186">
        <f>DATE(YEAR(EM101),MONTH(EM101),DAY(EM101)+15)</f>
        <v>44973</v>
      </c>
      <c r="ES101" s="467"/>
      <c r="ET101" s="578">
        <f t="shared" si="246"/>
        <v>44896</v>
      </c>
      <c r="EU101" s="759">
        <f t="shared" si="247"/>
        <v>45001</v>
      </c>
      <c r="EV101" s="414"/>
      <c r="EW101" s="753">
        <f t="shared" si="186"/>
        <v>3.5</v>
      </c>
      <c r="EX101" s="718"/>
      <c r="EY101" s="247">
        <f t="shared" si="248"/>
        <v>0</v>
      </c>
      <c r="EZ101" s="272"/>
      <c r="FA101" s="562"/>
      <c r="FB101" s="562">
        <v>0</v>
      </c>
      <c r="FC101" s="562"/>
      <c r="FD101" s="562"/>
      <c r="FE101" s="786"/>
      <c r="FF101" s="786"/>
      <c r="FG101" s="564"/>
      <c r="FH101" s="584"/>
      <c r="FI101" s="564"/>
      <c r="FJ101" s="564"/>
      <c r="FK101" s="122"/>
      <c r="FL101" s="122"/>
      <c r="FM101" s="122"/>
      <c r="FN101" s="122"/>
      <c r="FO101" s="122"/>
      <c r="FP101" s="50"/>
      <c r="FQ101" s="279">
        <f t="shared" si="239"/>
        <v>45323</v>
      </c>
      <c r="FR101" s="279"/>
      <c r="FS101" s="50"/>
      <c r="FT101" s="50"/>
      <c r="FU101" s="50"/>
      <c r="FV101" s="50"/>
      <c r="FW101" s="50"/>
      <c r="FX101" s="50"/>
      <c r="FY101" s="50"/>
      <c r="FZ101" s="50"/>
      <c r="GA101" s="50"/>
      <c r="GB101" s="50"/>
      <c r="GC101" s="50"/>
      <c r="GD101" s="50"/>
      <c r="GE101" s="50"/>
      <c r="GF101" s="113"/>
      <c r="GG101" s="113"/>
      <c r="GH101" s="90"/>
      <c r="GI101" s="64"/>
      <c r="GJ101" s="91"/>
      <c r="GK101" s="46"/>
      <c r="GL101" s="46"/>
      <c r="GM101" s="90"/>
      <c r="GN101" s="64"/>
      <c r="GO101" s="91"/>
      <c r="GP101" s="129"/>
      <c r="GQ101" s="129"/>
      <c r="GR101" s="90"/>
      <c r="GS101" s="64"/>
      <c r="GT101" s="64"/>
      <c r="GU101" s="46"/>
      <c r="GV101" s="92"/>
      <c r="GW101" s="90"/>
      <c r="GX101" s="64"/>
      <c r="GY101" s="84"/>
      <c r="GZ101" s="84"/>
      <c r="HA101" s="92"/>
      <c r="HB101" s="641"/>
      <c r="HC101" s="64"/>
      <c r="HD101" s="90"/>
      <c r="HE101" s="64"/>
      <c r="HF101" s="64"/>
      <c r="HG101" s="85"/>
      <c r="HH101" s="302"/>
      <c r="HI101" s="64"/>
      <c r="HJ101" s="86"/>
      <c r="HK101" s="78"/>
      <c r="HL101" s="78"/>
      <c r="HM101" s="86"/>
      <c r="HN101" s="260"/>
      <c r="HO101" s="260"/>
      <c r="HP101" s="88"/>
      <c r="HQ101" s="88"/>
      <c r="HR101" s="46"/>
      <c r="HS101" s="88"/>
      <c r="HT101" s="46"/>
      <c r="HU101" s="47"/>
      <c r="HV101" s="88"/>
      <c r="HW101" s="88"/>
      <c r="HX101" s="64">
        <f t="shared" si="161"/>
        <v>0</v>
      </c>
      <c r="HY101" s="93"/>
      <c r="HZ101" s="276"/>
      <c r="IA101" s="276"/>
      <c r="IB101" s="277"/>
      <c r="IC101" s="280"/>
      <c r="ID101" s="280"/>
      <c r="IE101" s="254"/>
      <c r="IF101" s="254"/>
      <c r="IG101" s="388"/>
      <c r="IH101" s="262"/>
      <c r="II101" s="273"/>
      <c r="IJ101" s="262"/>
      <c r="IK101" s="466"/>
      <c r="IL101" s="278"/>
      <c r="IM101" s="283"/>
      <c r="IN101" s="281"/>
      <c r="IO101" s="281"/>
      <c r="IP101" s="275"/>
      <c r="IQ101" s="276"/>
      <c r="IR101" s="275"/>
      <c r="IS101" s="276"/>
      <c r="IT101" s="299"/>
      <c r="IU101" s="299"/>
      <c r="IV101" s="299"/>
      <c r="IW101" s="299"/>
      <c r="IX101" s="268"/>
      <c r="IY101" s="268"/>
      <c r="IZ101" s="268"/>
      <c r="JA101" s="268"/>
      <c r="JB101" s="268"/>
      <c r="JC101" s="268"/>
      <c r="JD101" s="280"/>
      <c r="JE101" s="118"/>
      <c r="JF101" s="278"/>
      <c r="JG101" s="118"/>
      <c r="JH101" s="122"/>
      <c r="JI101" s="278"/>
    </row>
    <row r="102" spans="1:269" ht="15" customHeight="1">
      <c r="A102" s="95" t="s">
        <v>437</v>
      </c>
      <c r="B102" s="50" t="s">
        <v>35</v>
      </c>
      <c r="C102" s="50" t="s">
        <v>110</v>
      </c>
      <c r="D102" s="50">
        <v>2020</v>
      </c>
      <c r="E102" s="50"/>
      <c r="F102" s="50"/>
      <c r="G102" s="50"/>
      <c r="H102" s="50" t="s">
        <v>241</v>
      </c>
      <c r="I102" s="50"/>
      <c r="J102" s="50" t="s">
        <v>816</v>
      </c>
      <c r="K102" s="256" t="s">
        <v>817</v>
      </c>
      <c r="L102" s="166"/>
      <c r="M102" s="167"/>
      <c r="N102" s="168"/>
      <c r="O102" s="213"/>
      <c r="P102" s="213"/>
      <c r="Q102" s="213"/>
      <c r="R102" s="207">
        <f t="shared" si="249"/>
        <v>0</v>
      </c>
      <c r="S102" s="207" t="e">
        <f t="shared" si="250"/>
        <v>#DIV/0!</v>
      </c>
      <c r="T102" s="213" t="e">
        <f t="shared" si="251"/>
        <v>#DIV/0!</v>
      </c>
      <c r="U102" s="213" t="e">
        <f t="shared" si="252"/>
        <v>#DIV/0!</v>
      </c>
      <c r="V102" s="213">
        <f t="shared" si="253"/>
        <v>0</v>
      </c>
      <c r="W102" s="207">
        <f t="shared" si="254"/>
        <v>0</v>
      </c>
      <c r="X102" s="217"/>
      <c r="Y102" s="216" t="e">
        <f t="shared" si="255"/>
        <v>#DIV/0!</v>
      </c>
      <c r="Z102" s="217"/>
      <c r="AA102" s="208"/>
      <c r="AB102" s="209"/>
      <c r="AC102" s="50" t="s">
        <v>16</v>
      </c>
      <c r="AD102" s="318">
        <f t="shared" si="212"/>
        <v>37</v>
      </c>
      <c r="AE102" s="61"/>
      <c r="AF102" s="50">
        <v>37</v>
      </c>
      <c r="AG102" s="61"/>
      <c r="AH102" s="61"/>
      <c r="AI102" s="268"/>
      <c r="AJ102" s="54"/>
      <c r="AK102" s="54"/>
      <c r="AL102" s="403"/>
      <c r="AM102" s="54">
        <f>AL102/AD102</f>
        <v>0</v>
      </c>
      <c r="AN102" s="56"/>
      <c r="AO102" s="56"/>
      <c r="AP102" s="56"/>
      <c r="AQ102" s="56"/>
      <c r="AR102" s="56"/>
      <c r="AS102" s="54"/>
      <c r="AT102" s="73"/>
      <c r="AU102" s="75"/>
      <c r="AV102" s="54"/>
      <c r="AW102" s="53" t="s">
        <v>561</v>
      </c>
      <c r="AX102" s="50"/>
      <c r="AY102" s="785"/>
      <c r="AZ102" s="50"/>
      <c r="BA102" s="190"/>
      <c r="BB102" s="50"/>
      <c r="BC102" s="110"/>
      <c r="BD102" s="110"/>
      <c r="BE102" s="259"/>
      <c r="BF102" s="204"/>
      <c r="BG102" s="96"/>
      <c r="BH102" s="96"/>
      <c r="BI102" s="204"/>
      <c r="BJ102" s="96"/>
      <c r="BK102" s="160"/>
      <c r="BL102" s="203"/>
      <c r="BM102" s="160"/>
      <c r="BN102" s="160"/>
      <c r="BO102" s="298">
        <f t="shared" si="233"/>
        <v>0</v>
      </c>
      <c r="BP102" s="297">
        <f t="shared" si="234"/>
        <v>731</v>
      </c>
      <c r="BQ102" s="297">
        <f t="shared" si="235"/>
        <v>1096</v>
      </c>
      <c r="BR102" s="297"/>
      <c r="BS102" s="297" t="str">
        <f t="shared" si="236"/>
        <v>oui</v>
      </c>
      <c r="BT102" s="686" t="e">
        <f t="shared" si="237"/>
        <v>#NUM!</v>
      </c>
      <c r="BU102" s="686" t="e">
        <f t="shared" si="240"/>
        <v>#NUM!</v>
      </c>
      <c r="BV102" s="686" t="e">
        <f t="shared" si="241"/>
        <v>#NUM!</v>
      </c>
      <c r="BW102" s="160"/>
      <c r="BX102" s="111"/>
      <c r="BY102" s="97"/>
      <c r="BZ102" s="98"/>
      <c r="CA102" s="98"/>
      <c r="CB102" s="98"/>
      <c r="CC102" s="158"/>
      <c r="CD102" s="251"/>
      <c r="CE102" s="251"/>
      <c r="CF102" s="157"/>
      <c r="CG102" s="251"/>
      <c r="CH102" s="251"/>
      <c r="CI102" s="251"/>
      <c r="CJ102" s="251" t="s">
        <v>165</v>
      </c>
      <c r="CK102" s="604"/>
      <c r="CL102" s="549"/>
      <c r="CM102" s="547"/>
      <c r="CN102" s="547"/>
      <c r="CO102" s="551" t="str">
        <f>IF(AND(CM102&gt;0,CN102&gt;0),CN102-CM102,"0")</f>
        <v>0</v>
      </c>
      <c r="CP102" s="549"/>
      <c r="CQ102" s="549"/>
      <c r="CR102" s="551" t="str">
        <f>IF(AND(CP102&gt;0,CQ102&gt;0),CQ102-CP102,"0")</f>
        <v>0</v>
      </c>
      <c r="CS102" s="552"/>
      <c r="CT102" s="546"/>
      <c r="CU102" s="551" t="str">
        <f>IF(AND(CS102&gt;0,CT102&gt;0),CT102-CS102,"0")</f>
        <v>0</v>
      </c>
      <c r="CV102" s="552"/>
      <c r="CW102" s="546"/>
      <c r="CX102" s="551" t="str">
        <f>IF(AND(CV102&gt;0,CW102&gt;0),CW102-CV102,"0")</f>
        <v>0</v>
      </c>
      <c r="CY102" s="552"/>
      <c r="CZ102" s="553"/>
      <c r="DA102" s="551" t="str">
        <f>IF(AND(CY102&gt;0,CZ102&gt;0),CZ102-CY102,"0")</f>
        <v>0</v>
      </c>
      <c r="DB102" s="75"/>
      <c r="DC102" s="550"/>
      <c r="DD102" s="533"/>
      <c r="DE102" s="534"/>
      <c r="DF102" s="535" t="str">
        <f>IF(AND(DD102&gt;0,DE102&gt;0),DE102-DD102,"0")</f>
        <v>0</v>
      </c>
      <c r="DG102" s="533"/>
      <c r="DH102" s="703">
        <v>44378</v>
      </c>
      <c r="DI102" s="350"/>
      <c r="DJ102" s="453">
        <f>(DATEDIF(BF102,DH102,"d"))/30</f>
        <v>1479.2666666666667</v>
      </c>
      <c r="DK102" s="535" t="str">
        <f t="shared" si="242"/>
        <v>0</v>
      </c>
      <c r="DL102" s="704">
        <v>16</v>
      </c>
      <c r="DM102" s="243">
        <f>DATEDIF(DH102,EM102,"M")</f>
        <v>19</v>
      </c>
      <c r="DN102" s="533"/>
      <c r="DO102" s="534"/>
      <c r="DP102" s="535" t="str">
        <f>IF(AND(DN102&gt;0,DO102&gt;0),DO102-DN102,"0")</f>
        <v>0</v>
      </c>
      <c r="DQ102" s="533"/>
      <c r="DR102" s="557"/>
      <c r="DS102" s="536" t="str">
        <f>IF(AND(DQ102&gt;0,DR102&gt;0),DR102-DQ102,"0")</f>
        <v>0</v>
      </c>
      <c r="DT102" s="537"/>
      <c r="DU102" s="538"/>
      <c r="DV102" s="535" t="str">
        <f>IF(AND(DT102&gt;0,DU102&gt;0),DU102-DT102,"0")</f>
        <v>0</v>
      </c>
      <c r="DW102" s="534"/>
      <c r="DX102" s="539"/>
      <c r="DY102" s="535" t="str">
        <f>IF(AND(DW102&gt;0,DX102&gt;0),DX102-DW102,"0")</f>
        <v>0</v>
      </c>
      <c r="DZ102" s="541"/>
      <c r="EA102" s="541"/>
      <c r="EB102" s="535" t="str">
        <f>IF(AND(DZ102&gt;0,EA102&gt;0),EA102-DZ102,"0")</f>
        <v>0</v>
      </c>
      <c r="EC102" s="541"/>
      <c r="ED102" s="541"/>
      <c r="EE102" s="535" t="str">
        <f>IF(AND(EC102&gt;0,ED102&gt;0),ED102-EC102,"0")</f>
        <v>0</v>
      </c>
      <c r="EF102" s="541"/>
      <c r="EG102" s="539">
        <f ca="1">IF(EF102&lt;TODAY(),TODAY(),EF102)</f>
        <v>43332</v>
      </c>
      <c r="EH102" s="535" t="str">
        <f ca="1">IF(AND(EF102&gt;0,EG102&gt;0),EG102-EF102,"0")</f>
        <v>0</v>
      </c>
      <c r="EI102" s="541"/>
      <c r="EJ102" s="541"/>
      <c r="EK102" s="541"/>
      <c r="EL102" s="625">
        <f t="shared" si="243"/>
        <v>44866</v>
      </c>
      <c r="EM102" s="404">
        <f t="shared" si="244"/>
        <v>44958</v>
      </c>
      <c r="EN102" s="756">
        <f t="shared" si="245"/>
        <v>3.0666666666666669</v>
      </c>
      <c r="EO102" s="467"/>
      <c r="EP102" s="186"/>
      <c r="EQ102" s="125"/>
      <c r="ER102" s="186">
        <f>DATE(YEAR(EM102),MONTH(EM102)+1,DAY(EM102))</f>
        <v>44986</v>
      </c>
      <c r="ES102" s="467"/>
      <c r="ET102" s="578">
        <f t="shared" si="246"/>
        <v>44896</v>
      </c>
      <c r="EU102" s="455">
        <f t="shared" si="247"/>
        <v>45017</v>
      </c>
      <c r="EV102" s="414"/>
      <c r="EW102" s="753">
        <f t="shared" si="186"/>
        <v>4.0333333333333332</v>
      </c>
      <c r="EX102" s="718"/>
      <c r="EY102" s="247">
        <f t="shared" si="248"/>
        <v>0</v>
      </c>
      <c r="EZ102" s="272"/>
      <c r="FA102" s="562"/>
      <c r="FB102" s="562">
        <v>0</v>
      </c>
      <c r="FC102" s="562"/>
      <c r="FD102" s="562"/>
      <c r="FE102" s="786"/>
      <c r="FF102" s="786"/>
      <c r="FG102" s="564"/>
      <c r="FH102" s="584"/>
      <c r="FI102" s="564"/>
      <c r="FJ102" s="564"/>
      <c r="FK102" s="122"/>
      <c r="FL102" s="122"/>
      <c r="FM102" s="122"/>
      <c r="FN102" s="122"/>
      <c r="FO102" s="122"/>
      <c r="FP102" s="50"/>
      <c r="FQ102" s="279">
        <f t="shared" si="239"/>
        <v>45323</v>
      </c>
      <c r="FR102" s="279"/>
      <c r="FS102" s="50"/>
      <c r="FT102" s="50"/>
      <c r="FU102" s="50"/>
      <c r="FV102" s="50"/>
      <c r="FW102" s="50"/>
      <c r="FX102" s="50"/>
      <c r="FY102" s="50"/>
      <c r="FZ102" s="50"/>
      <c r="GA102" s="50"/>
      <c r="GB102" s="50"/>
      <c r="GC102" s="50"/>
      <c r="GD102" s="50"/>
      <c r="GE102" s="50"/>
      <c r="GF102" s="113"/>
      <c r="GG102" s="113"/>
      <c r="GH102" s="90">
        <f>+GR102+GW102+HD102+HX102+HI102</f>
        <v>0</v>
      </c>
      <c r="GI102" s="64">
        <f>GS102+GX102+HE102+HX102+HF102+HI102</f>
        <v>0</v>
      </c>
      <c r="GJ102" s="91">
        <f>GI102-GH102</f>
        <v>0</v>
      </c>
      <c r="GK102" s="46" t="e">
        <f>GH102/AJ102</f>
        <v>#DIV/0!</v>
      </c>
      <c r="GL102" s="46">
        <f>GH102/AD102</f>
        <v>0</v>
      </c>
      <c r="GM102" s="90"/>
      <c r="GN102" s="64"/>
      <c r="GO102" s="91">
        <f>GN102-GM102</f>
        <v>0</v>
      </c>
      <c r="GP102" s="129" t="e">
        <f>GN102*1.021/GI102</f>
        <v>#DIV/0!</v>
      </c>
      <c r="GQ102" s="129">
        <v>0.4</v>
      </c>
      <c r="GR102" s="90"/>
      <c r="GS102" s="64"/>
      <c r="GT102" s="64"/>
      <c r="GU102" s="46">
        <f>GS102/AD102</f>
        <v>0</v>
      </c>
      <c r="GV102" s="92"/>
      <c r="GW102" s="90"/>
      <c r="GX102" s="64">
        <f>GY102+GZ102</f>
        <v>0</v>
      </c>
      <c r="GY102" s="84"/>
      <c r="GZ102" s="84"/>
      <c r="HA102" s="92">
        <f>GX102-GW102</f>
        <v>0</v>
      </c>
      <c r="HB102" s="641">
        <f>GX102/AD102</f>
        <v>0</v>
      </c>
      <c r="HC102" s="64"/>
      <c r="HD102" s="90"/>
      <c r="HE102" s="64"/>
      <c r="HF102" s="64"/>
      <c r="HG102" s="85" t="e">
        <f>HE102/GI102</f>
        <v>#DIV/0!</v>
      </c>
      <c r="HH102" s="302"/>
      <c r="HI102" s="64"/>
      <c r="HJ102" s="86">
        <f>HE102-HD102</f>
        <v>0</v>
      </c>
      <c r="HK102" s="78">
        <f>HE102/AD102</f>
        <v>0</v>
      </c>
      <c r="HL102" s="78">
        <f>(GS102+HE102)/AD102</f>
        <v>0</v>
      </c>
      <c r="HM102" s="86">
        <f>HJ102/AD102</f>
        <v>0</v>
      </c>
      <c r="HN102" s="260">
        <v>6.31</v>
      </c>
      <c r="HO102" s="260"/>
      <c r="HP102" s="88"/>
      <c r="HQ102" s="88"/>
      <c r="HR102" s="46">
        <f>(GR102+HD102+HQ102)/AD102</f>
        <v>0</v>
      </c>
      <c r="HS102" s="88"/>
      <c r="HT102" s="46">
        <f>(GS102+HE102+HQ102+HS102)/AD102</f>
        <v>0</v>
      </c>
      <c r="HU102" s="47" t="e">
        <f>(GR102+HD102+HQ102+HS102)/(HP102+GH102-HV102)</f>
        <v>#DIV/0!</v>
      </c>
      <c r="HV102" s="88"/>
      <c r="HW102" s="88"/>
      <c r="HX102" s="64">
        <f t="shared" si="161"/>
        <v>0</v>
      </c>
      <c r="HY102" s="93">
        <f>GH102+HP102</f>
        <v>0</v>
      </c>
      <c r="HZ102" s="276"/>
      <c r="IA102" s="276">
        <f>IC102+IE102+IG102+II102+IK102+IM102+IO102+IQ102+IS102+IU102+IW102+IY102+JA102+JC102+JE102+JG102+JI102</f>
        <v>0</v>
      </c>
      <c r="IB102" s="277"/>
      <c r="IC102" s="280">
        <v>0</v>
      </c>
      <c r="ID102" s="280"/>
      <c r="IE102" s="254"/>
      <c r="IF102" s="254"/>
      <c r="IG102" s="388">
        <v>0</v>
      </c>
      <c r="IH102" s="262"/>
      <c r="II102" s="273">
        <v>0</v>
      </c>
      <c r="IJ102" s="262"/>
      <c r="IK102" s="466"/>
      <c r="IL102" s="278"/>
      <c r="IM102" s="283"/>
      <c r="IN102" s="281"/>
      <c r="IO102" s="281"/>
      <c r="IP102" s="275"/>
      <c r="IQ102" s="276"/>
      <c r="IR102" s="275"/>
      <c r="IS102" s="276"/>
      <c r="IT102" s="299"/>
      <c r="IU102" s="299"/>
      <c r="IV102" s="299"/>
      <c r="IW102" s="299"/>
      <c r="IX102" s="268"/>
      <c r="IY102" s="268"/>
      <c r="IZ102" s="268"/>
      <c r="JA102" s="268"/>
      <c r="JB102" s="268"/>
      <c r="JC102" s="268"/>
      <c r="JD102" s="280" t="e">
        <f>$JD$1*HZ102</f>
        <v>#VALUE!</v>
      </c>
      <c r="JE102" s="118"/>
      <c r="JF102" s="278"/>
      <c r="JG102" s="118"/>
      <c r="JH102" s="122"/>
      <c r="JI102" s="278"/>
    </row>
    <row r="103" spans="1:269" ht="15" customHeight="1">
      <c r="A103" s="83" t="s">
        <v>408</v>
      </c>
      <c r="B103" s="50" t="s">
        <v>35</v>
      </c>
      <c r="C103" s="50" t="s">
        <v>110</v>
      </c>
      <c r="D103" s="50">
        <v>2020</v>
      </c>
      <c r="E103" s="50"/>
      <c r="F103" s="50" t="s">
        <v>382</v>
      </c>
      <c r="G103" s="50"/>
      <c r="H103" s="50" t="s">
        <v>241</v>
      </c>
      <c r="I103" s="50"/>
      <c r="J103" s="50" t="s">
        <v>409</v>
      </c>
      <c r="K103" s="256" t="s">
        <v>815</v>
      </c>
      <c r="L103" s="166"/>
      <c r="M103" s="167"/>
      <c r="N103" s="168"/>
      <c r="O103" s="207">
        <v>12700</v>
      </c>
      <c r="P103" s="207">
        <v>787400</v>
      </c>
      <c r="Q103" s="207"/>
      <c r="R103" s="207">
        <f t="shared" si="249"/>
        <v>15748</v>
      </c>
      <c r="S103" s="207">
        <f t="shared" si="250"/>
        <v>62</v>
      </c>
      <c r="T103" s="213">
        <f t="shared" si="251"/>
        <v>0</v>
      </c>
      <c r="U103" s="213" t="e">
        <f t="shared" si="252"/>
        <v>#DIV/0!</v>
      </c>
      <c r="V103" s="213">
        <f t="shared" si="253"/>
        <v>0</v>
      </c>
      <c r="W103" s="207">
        <f t="shared" si="254"/>
        <v>254</v>
      </c>
      <c r="X103" s="208"/>
      <c r="Y103" s="209">
        <f t="shared" si="255"/>
        <v>0</v>
      </c>
      <c r="Z103" s="208"/>
      <c r="AA103" s="208"/>
      <c r="AB103" s="209"/>
      <c r="AC103" s="50" t="s">
        <v>16</v>
      </c>
      <c r="AD103" s="318">
        <v>50</v>
      </c>
      <c r="AE103" s="61"/>
      <c r="AF103" s="50">
        <v>29</v>
      </c>
      <c r="AG103" s="61"/>
      <c r="AH103" s="61"/>
      <c r="AI103" s="268"/>
      <c r="AJ103" s="54">
        <v>2492.9699999999998</v>
      </c>
      <c r="AK103" s="54"/>
      <c r="AL103" s="89"/>
      <c r="AM103" s="54">
        <f>AL103/AD103</f>
        <v>0</v>
      </c>
      <c r="AN103" s="75"/>
      <c r="AO103" s="75"/>
      <c r="AP103" s="75"/>
      <c r="AQ103" s="75"/>
      <c r="AR103" s="75"/>
      <c r="AS103" s="54"/>
      <c r="AT103" s="73"/>
      <c r="AU103" s="75"/>
      <c r="AV103" s="54"/>
      <c r="AW103" s="50"/>
      <c r="AX103" s="50"/>
      <c r="AY103" s="785"/>
      <c r="AZ103" s="184">
        <v>43229</v>
      </c>
      <c r="BA103" s="238"/>
      <c r="BB103" s="50"/>
      <c r="BC103" s="110"/>
      <c r="BD103" s="110"/>
      <c r="BE103" s="94"/>
      <c r="BF103" s="204"/>
      <c r="BG103" s="96"/>
      <c r="BH103" s="96"/>
      <c r="BI103" s="204"/>
      <c r="BJ103" s="96"/>
      <c r="BK103" s="160"/>
      <c r="BL103" s="203"/>
      <c r="BM103" s="160"/>
      <c r="BN103" s="160"/>
      <c r="BO103" s="298">
        <f t="shared" si="233"/>
        <v>0</v>
      </c>
      <c r="BP103" s="297">
        <f t="shared" si="234"/>
        <v>731</v>
      </c>
      <c r="BQ103" s="297">
        <f t="shared" si="235"/>
        <v>1096</v>
      </c>
      <c r="BR103" s="297"/>
      <c r="BS103" s="297" t="str">
        <f t="shared" si="236"/>
        <v>oui</v>
      </c>
      <c r="BT103" s="686" t="e">
        <f t="shared" si="237"/>
        <v>#NUM!</v>
      </c>
      <c r="BU103" s="686" t="e">
        <f t="shared" si="240"/>
        <v>#NUM!</v>
      </c>
      <c r="BV103" s="686" t="e">
        <f t="shared" si="241"/>
        <v>#NUM!</v>
      </c>
      <c r="BW103" s="160"/>
      <c r="BX103" s="165"/>
      <c r="BY103" s="97"/>
      <c r="BZ103" s="98"/>
      <c r="CA103" s="98"/>
      <c r="CB103" s="98"/>
      <c r="CC103" s="158"/>
      <c r="CD103" s="251"/>
      <c r="CE103" s="251"/>
      <c r="CF103" s="157"/>
      <c r="CG103" s="251"/>
      <c r="CH103" s="251"/>
      <c r="CI103" s="251"/>
      <c r="CJ103" s="251" t="s">
        <v>165</v>
      </c>
      <c r="CK103" s="604"/>
      <c r="CL103" s="546"/>
      <c r="CM103" s="547"/>
      <c r="CN103" s="547"/>
      <c r="CO103" s="548"/>
      <c r="CP103" s="549"/>
      <c r="CQ103" s="549"/>
      <c r="CR103" s="551" t="str">
        <f>IF(AND(CP103&gt;0,CQ103&gt;0),CQ103-CP103,"0")</f>
        <v>0</v>
      </c>
      <c r="CS103" s="552"/>
      <c r="CT103" s="546"/>
      <c r="CU103" s="551" t="str">
        <f>IF(AND(CS103&gt;0,CT103&gt;0),CT103-CS103,"0")</f>
        <v>0</v>
      </c>
      <c r="CV103" s="552"/>
      <c r="CW103" s="546"/>
      <c r="CX103" s="551" t="str">
        <f>IF(AND(CV103&gt;0,CW103&gt;0),CW103-CV103,"0")</f>
        <v>0</v>
      </c>
      <c r="CY103" s="552"/>
      <c r="CZ103" s="553"/>
      <c r="DA103" s="551" t="str">
        <f>IF(AND(CY103&gt;0,CZ103&gt;0),CZ103-CY103,"0")</f>
        <v>0</v>
      </c>
      <c r="DB103" s="457"/>
      <c r="DC103" s="554"/>
      <c r="DD103" s="533"/>
      <c r="DE103" s="534"/>
      <c r="DF103" s="535" t="str">
        <f>IF(AND(DD103&gt;0,DE103&gt;0),DE103-DD103,"0")</f>
        <v>0</v>
      </c>
      <c r="DG103" s="533"/>
      <c r="DH103" s="703">
        <v>44378</v>
      </c>
      <c r="DI103" s="348"/>
      <c r="DJ103" s="446">
        <f>(DATEDIF(BF103,DH103,"d"))/30</f>
        <v>1479.2666666666667</v>
      </c>
      <c r="DK103" s="535" t="str">
        <f t="shared" si="242"/>
        <v>0</v>
      </c>
      <c r="DL103" s="704">
        <v>18</v>
      </c>
      <c r="DM103" s="243">
        <f>DATEDIF(DH103,EM103,"M")</f>
        <v>21</v>
      </c>
      <c r="DN103" s="533"/>
      <c r="DO103" s="534"/>
      <c r="DP103" s="535" t="str">
        <f>IF(AND(DN103&gt;0,DO103&gt;0),DO103-DN103,"0")</f>
        <v>0</v>
      </c>
      <c r="DQ103" s="533"/>
      <c r="DR103" s="557"/>
      <c r="DS103" s="536" t="str">
        <f>IF(AND(DQ103&gt;0,DR103&gt;0),DR103-DQ103,"0")</f>
        <v>0</v>
      </c>
      <c r="DT103" s="537"/>
      <c r="DU103" s="538"/>
      <c r="DV103" s="535" t="str">
        <f>IF(AND(DT103&gt;0,DU103&gt;0),DU103-DT103,"0")</f>
        <v>0</v>
      </c>
      <c r="DW103" s="540"/>
      <c r="DX103" s="539"/>
      <c r="DY103" s="535" t="str">
        <f>IF(AND(DW103&gt;0,DX103&gt;0),DX103-DW103,"0")</f>
        <v>0</v>
      </c>
      <c r="DZ103" s="541"/>
      <c r="EA103" s="541"/>
      <c r="EB103" s="535" t="str">
        <f>IF(AND(DZ103&gt;0,EA103&gt;0),EA103-DZ103,"0")</f>
        <v>0</v>
      </c>
      <c r="EC103" s="541"/>
      <c r="ED103" s="541"/>
      <c r="EE103" s="535" t="str">
        <f>IF(AND(EC103&gt;0,ED103&gt;0),ED103-EC103,"0")</f>
        <v>0</v>
      </c>
      <c r="EF103" s="541"/>
      <c r="EG103" s="539">
        <f ca="1">IF(EF103&lt;TODAY(),TODAY(),EF103)</f>
        <v>43332</v>
      </c>
      <c r="EH103" s="535" t="str">
        <f ca="1">IF(AND(EF103&gt;0,EG103&gt;0),EG103-EF103,"0")</f>
        <v>0</v>
      </c>
      <c r="EI103" s="541"/>
      <c r="EJ103" s="541"/>
      <c r="EK103" s="541"/>
      <c r="EL103" s="625">
        <f t="shared" si="243"/>
        <v>44927</v>
      </c>
      <c r="EM103" s="404">
        <f t="shared" si="244"/>
        <v>45017</v>
      </c>
      <c r="EN103" s="756">
        <f t="shared" si="245"/>
        <v>3</v>
      </c>
      <c r="EO103" s="580">
        <f>DATE(YEAR(CI103)+2,MONTH(CI103),DAY(CI103))</f>
        <v>731</v>
      </c>
      <c r="EP103" s="244"/>
      <c r="EQ103" s="244"/>
      <c r="ER103" s="186">
        <f>DATE(YEAR(EM103),MONTH(EM103)+1,DAY(EM103))</f>
        <v>45047</v>
      </c>
      <c r="ES103" s="467"/>
      <c r="ET103" s="578">
        <f t="shared" si="246"/>
        <v>44958</v>
      </c>
      <c r="EU103" s="455">
        <f t="shared" si="247"/>
        <v>45078</v>
      </c>
      <c r="EV103" s="581"/>
      <c r="EW103" s="753">
        <f t="shared" si="186"/>
        <v>4</v>
      </c>
      <c r="EX103" s="722"/>
      <c r="EY103" s="247">
        <f t="shared" si="248"/>
        <v>0</v>
      </c>
      <c r="EZ103" s="118"/>
      <c r="FA103" s="562"/>
      <c r="FB103" s="562">
        <v>0</v>
      </c>
      <c r="FC103" s="562"/>
      <c r="FD103" s="562"/>
      <c r="FE103" s="786"/>
      <c r="FF103" s="786"/>
      <c r="FG103" s="564"/>
      <c r="FH103" s="584"/>
      <c r="FI103" s="564"/>
      <c r="FJ103" s="564"/>
      <c r="FK103" s="122"/>
      <c r="FL103" s="122"/>
      <c r="FM103" s="122"/>
      <c r="FN103" s="122"/>
      <c r="FO103" s="122"/>
      <c r="FP103" s="50"/>
      <c r="FQ103" s="279">
        <f t="shared" si="239"/>
        <v>45383</v>
      </c>
      <c r="FR103" s="279"/>
      <c r="FS103" s="50"/>
      <c r="FT103" s="50"/>
      <c r="FU103" s="50"/>
      <c r="FV103" s="50"/>
      <c r="FW103" s="50"/>
      <c r="FX103" s="50"/>
      <c r="FY103" s="50"/>
      <c r="FZ103" s="50"/>
      <c r="GA103" s="50"/>
      <c r="GB103" s="50"/>
      <c r="GC103" s="50"/>
      <c r="GD103" s="50"/>
      <c r="GE103" s="50"/>
      <c r="GF103" s="113"/>
      <c r="GG103" s="113"/>
      <c r="GH103" s="90">
        <f>+GR103+GW103+HD103+HX103+HI103</f>
        <v>0</v>
      </c>
      <c r="GI103" s="64">
        <f>GS103+GX103+HE103+HX103+HF103+HI103</f>
        <v>0</v>
      </c>
      <c r="GJ103" s="91">
        <f>GI103-GH103</f>
        <v>0</v>
      </c>
      <c r="GK103" s="46">
        <f>GH103/AJ103</f>
        <v>0</v>
      </c>
      <c r="GL103" s="46">
        <f>GH103/AD103</f>
        <v>0</v>
      </c>
      <c r="GM103" s="90"/>
      <c r="GN103" s="64"/>
      <c r="GO103" s="91">
        <f>GN103-GM103</f>
        <v>0</v>
      </c>
      <c r="GP103" s="129" t="e">
        <f>GN103*1.021/GI103</f>
        <v>#DIV/0!</v>
      </c>
      <c r="GQ103" s="129">
        <v>0.4</v>
      </c>
      <c r="GR103" s="90"/>
      <c r="GS103" s="64"/>
      <c r="GT103" s="64"/>
      <c r="GU103" s="46">
        <f>GS103/AD103</f>
        <v>0</v>
      </c>
      <c r="GV103" s="92"/>
      <c r="GW103" s="90"/>
      <c r="GX103" s="64">
        <f>GY103+GZ103</f>
        <v>0</v>
      </c>
      <c r="GY103" s="84"/>
      <c r="GZ103" s="84"/>
      <c r="HA103" s="92">
        <f>GX103-GW103</f>
        <v>0</v>
      </c>
      <c r="HB103" s="641">
        <f>GX103/AD103</f>
        <v>0</v>
      </c>
      <c r="HC103" s="64"/>
      <c r="HD103" s="90"/>
      <c r="HE103" s="64"/>
      <c r="HF103" s="64"/>
      <c r="HG103" s="85" t="e">
        <f>HE103/GI103</f>
        <v>#DIV/0!</v>
      </c>
      <c r="HH103" s="90"/>
      <c r="HI103" s="64"/>
      <c r="HJ103" s="86">
        <f>HE103-HD103</f>
        <v>0</v>
      </c>
      <c r="HK103" s="46">
        <f>HE103/AD103</f>
        <v>0</v>
      </c>
      <c r="HL103" s="78">
        <f>(GS103+HE103)/AD103</f>
        <v>0</v>
      </c>
      <c r="HM103" s="86">
        <f>HJ103/AD103</f>
        <v>0</v>
      </c>
      <c r="HN103" s="87">
        <v>6.31</v>
      </c>
      <c r="HO103" s="87"/>
      <c r="HP103" s="88"/>
      <c r="HQ103" s="88"/>
      <c r="HR103" s="46">
        <f>(GR103+HD103+HQ103)/AD103</f>
        <v>0</v>
      </c>
      <c r="HS103" s="88"/>
      <c r="HT103" s="46">
        <f>(GS103+HE103+HQ103+HS103)/AD103</f>
        <v>0</v>
      </c>
      <c r="HU103" s="47" t="e">
        <f>(GR103+HD103+HQ103+HS103)/(HP103+GH103-HV103)</f>
        <v>#DIV/0!</v>
      </c>
      <c r="HV103" s="88"/>
      <c r="HW103" s="88"/>
      <c r="HX103" s="64">
        <f t="shared" si="161"/>
        <v>0</v>
      </c>
      <c r="HY103" s="93">
        <f>GH103+HP103</f>
        <v>0</v>
      </c>
      <c r="HZ103" s="276">
        <v>192726</v>
      </c>
      <c r="IA103" s="276">
        <f>IC103+IE103+IG103+II103+IK103+IM103+IO103+IQ103+IS103+IU103+IW103+IY103+JA103+JC103+JE103+JG103+JI103</f>
        <v>67454.500000000015</v>
      </c>
      <c r="IB103" s="277">
        <v>42579</v>
      </c>
      <c r="IC103" s="284">
        <v>19273</v>
      </c>
      <c r="ID103" s="284"/>
      <c r="IE103" s="287"/>
      <c r="IF103" s="287"/>
      <c r="IG103" s="465">
        <v>9636.3000000000011</v>
      </c>
      <c r="IH103" s="241"/>
      <c r="II103" s="273">
        <v>19272.600000000002</v>
      </c>
      <c r="IJ103" s="254"/>
      <c r="IK103" s="466">
        <v>19272.600000000002</v>
      </c>
      <c r="IL103" s="278"/>
      <c r="IM103" s="283">
        <v>0</v>
      </c>
      <c r="IN103" s="281"/>
      <c r="IO103" s="281"/>
      <c r="IP103" s="275"/>
      <c r="IQ103" s="280"/>
      <c r="IR103" s="275"/>
      <c r="IS103" s="280"/>
      <c r="IT103" s="299"/>
      <c r="IU103" s="299"/>
      <c r="IV103" s="299"/>
      <c r="IW103" s="299"/>
      <c r="IX103" s="268"/>
      <c r="IY103" s="268"/>
      <c r="IZ103" s="268"/>
      <c r="JA103" s="268"/>
      <c r="JB103" s="268"/>
      <c r="JC103" s="268"/>
      <c r="JD103" s="280" t="e">
        <f>$JD$1*HZ103</f>
        <v>#VALUE!</v>
      </c>
      <c r="JE103" s="118"/>
      <c r="JF103" s="278"/>
      <c r="JG103" s="118"/>
      <c r="JH103" s="118"/>
      <c r="JI103" s="278"/>
    </row>
    <row r="104" spans="1:269" ht="15" customHeight="1">
      <c r="A104" s="667" t="s">
        <v>591</v>
      </c>
      <c r="B104" s="50" t="s">
        <v>41</v>
      </c>
      <c r="C104" s="50" t="s">
        <v>111</v>
      </c>
      <c r="D104" s="50">
        <v>2020</v>
      </c>
      <c r="E104" s="50" t="s">
        <v>598</v>
      </c>
      <c r="F104" s="50"/>
      <c r="G104" s="50"/>
      <c r="H104" s="52" t="s">
        <v>241</v>
      </c>
      <c r="I104" s="50"/>
      <c r="J104" s="50" t="s">
        <v>628</v>
      </c>
      <c r="K104" s="256" t="s">
        <v>629</v>
      </c>
      <c r="L104" s="166"/>
      <c r="M104" s="167"/>
      <c r="N104" s="168"/>
      <c r="O104" s="207"/>
      <c r="P104" s="207"/>
      <c r="Q104" s="207"/>
      <c r="R104" s="207">
        <f t="shared" si="249"/>
        <v>0</v>
      </c>
      <c r="S104" s="207" t="e">
        <f t="shared" si="250"/>
        <v>#DIV/0!</v>
      </c>
      <c r="T104" s="213" t="e">
        <f t="shared" si="251"/>
        <v>#DIV/0!</v>
      </c>
      <c r="U104" s="213" t="e">
        <f t="shared" si="252"/>
        <v>#DIV/0!</v>
      </c>
      <c r="V104" s="213">
        <f t="shared" si="253"/>
        <v>0</v>
      </c>
      <c r="W104" s="207">
        <f t="shared" si="254"/>
        <v>0</v>
      </c>
      <c r="X104" s="208"/>
      <c r="Y104" s="216" t="e">
        <f t="shared" si="255"/>
        <v>#DIV/0!</v>
      </c>
      <c r="Z104" s="208"/>
      <c r="AA104" s="208"/>
      <c r="AB104" s="209"/>
      <c r="AC104" s="50" t="s">
        <v>16</v>
      </c>
      <c r="AD104" s="318">
        <f>SUM(AE104:AH104)</f>
        <v>60</v>
      </c>
      <c r="AE104" s="61"/>
      <c r="AF104" s="50">
        <v>60</v>
      </c>
      <c r="AG104" s="61"/>
      <c r="AH104" s="50"/>
      <c r="AI104" s="268"/>
      <c r="AJ104" s="54"/>
      <c r="AK104" s="54"/>
      <c r="AL104" s="89"/>
      <c r="AM104" s="54"/>
      <c r="AN104" s="75"/>
      <c r="AO104" s="75"/>
      <c r="AP104" s="75"/>
      <c r="AQ104" s="75"/>
      <c r="AR104" s="75"/>
      <c r="AS104" s="54"/>
      <c r="AT104" s="73"/>
      <c r="AU104" s="75"/>
      <c r="AV104" s="54"/>
      <c r="AW104" s="53"/>
      <c r="AX104" s="50"/>
      <c r="AY104" s="785"/>
      <c r="AZ104" s="50"/>
      <c r="BA104" s="239"/>
      <c r="BB104" s="184"/>
      <c r="BC104" s="110"/>
      <c r="BD104" s="110"/>
      <c r="BE104" s="94"/>
      <c r="BF104" s="204"/>
      <c r="BG104" s="96"/>
      <c r="BH104" s="96"/>
      <c r="BI104" s="204"/>
      <c r="BJ104" s="96"/>
      <c r="BK104" s="160"/>
      <c r="BL104" s="203"/>
      <c r="BM104" s="160"/>
      <c r="BN104" s="160"/>
      <c r="BO104" s="298">
        <f t="shared" si="233"/>
        <v>0</v>
      </c>
      <c r="BP104" s="297">
        <f t="shared" si="234"/>
        <v>731</v>
      </c>
      <c r="BQ104" s="297">
        <f t="shared" si="235"/>
        <v>1096</v>
      </c>
      <c r="BR104" s="297"/>
      <c r="BS104" s="297" t="str">
        <f t="shared" si="236"/>
        <v>oui</v>
      </c>
      <c r="BT104" s="686" t="e">
        <f t="shared" si="237"/>
        <v>#NUM!</v>
      </c>
      <c r="BU104" s="686" t="e">
        <f t="shared" si="240"/>
        <v>#NUM!</v>
      </c>
      <c r="BV104" s="686" t="e">
        <f t="shared" si="241"/>
        <v>#NUM!</v>
      </c>
      <c r="BW104" s="160"/>
      <c r="BX104" s="165"/>
      <c r="BY104" s="97"/>
      <c r="BZ104" s="98"/>
      <c r="CA104" s="98"/>
      <c r="CB104" s="98"/>
      <c r="CC104" s="158"/>
      <c r="CD104" s="251"/>
      <c r="CE104" s="251"/>
      <c r="CF104" s="157"/>
      <c r="CG104" s="251"/>
      <c r="CH104" s="251"/>
      <c r="CI104" s="251"/>
      <c r="CJ104" s="251" t="s">
        <v>165</v>
      </c>
      <c r="CK104" s="604"/>
      <c r="CL104" s="546"/>
      <c r="CM104" s="549"/>
      <c r="CN104" s="549"/>
      <c r="CO104" s="551" t="str">
        <f>IF(AND(CM104&gt;0,CN104&gt;0),CN104-CM104,"0")</f>
        <v>0</v>
      </c>
      <c r="CP104" s="549"/>
      <c r="CQ104" s="549"/>
      <c r="CR104" s="551" t="str">
        <f>IF(AND(CP104&gt;0,CQ104&gt;0),CQ104-CP104,"0")</f>
        <v>0</v>
      </c>
      <c r="CS104" s="549"/>
      <c r="CT104" s="549"/>
      <c r="CU104" s="551" t="str">
        <f>IF(AND(CS104&gt;0,CT104&gt;0),CT104-CS104,"0")</f>
        <v>0</v>
      </c>
      <c r="CV104" s="549"/>
      <c r="CW104" s="549"/>
      <c r="CX104" s="551" t="str">
        <f>IF(AND(CV104&gt;0,CW104&gt;0),CW104-CV104,"0")</f>
        <v>0</v>
      </c>
      <c r="CY104" s="552"/>
      <c r="CZ104" s="553"/>
      <c r="DA104" s="551" t="str">
        <f>IF(AND(CY104&gt;0,CZ104&gt;0),CZ104-CY104,"0")</f>
        <v>0</v>
      </c>
      <c r="DB104" s="457"/>
      <c r="DC104" s="554"/>
      <c r="DD104" s="533"/>
      <c r="DE104" s="534"/>
      <c r="DF104" s="535" t="str">
        <f>IF(AND(DD104&gt;0,DE104&gt;0),DE104-DD104,"0")</f>
        <v>0</v>
      </c>
      <c r="DG104" s="533"/>
      <c r="DH104" s="703">
        <v>44378</v>
      </c>
      <c r="DI104" s="348"/>
      <c r="DJ104" s="446">
        <f>(DATEDIF(BF104,DH104,"d"))/30</f>
        <v>1479.2666666666667</v>
      </c>
      <c r="DK104" s="535" t="str">
        <f t="shared" si="242"/>
        <v>0</v>
      </c>
      <c r="DL104" s="704">
        <v>18</v>
      </c>
      <c r="DM104" s="243">
        <f>DATEDIF(DH104,EM104,"M")</f>
        <v>21</v>
      </c>
      <c r="DN104" s="533"/>
      <c r="DO104" s="534"/>
      <c r="DP104" s="535" t="str">
        <f>IF(AND(DN104&gt;0,DO104&gt;0),DO104-DN104,"0")</f>
        <v>0</v>
      </c>
      <c r="DQ104" s="533"/>
      <c r="DR104" s="557"/>
      <c r="DS104" s="536" t="str">
        <f>IF(AND(DQ104&gt;0,DR104&gt;0),DR104-DQ104,"0")</f>
        <v>0</v>
      </c>
      <c r="DT104" s="537"/>
      <c r="DU104" s="538"/>
      <c r="DV104" s="535" t="str">
        <f>IF(AND(DT104&gt;0,DU104&gt;0),DU104-DT104,"0")</f>
        <v>0</v>
      </c>
      <c r="DW104" s="539"/>
      <c r="DX104" s="539"/>
      <c r="DY104" s="535" t="str">
        <f>IF(AND(DW104&gt;0,DX104&gt;0),DX104-DW104,"0")</f>
        <v>0</v>
      </c>
      <c r="DZ104" s="539"/>
      <c r="EA104" s="539"/>
      <c r="EB104" s="535" t="str">
        <f>IF(AND(DZ104&gt;0,EA104&gt;0),EA104-DZ104,"0")</f>
        <v>0</v>
      </c>
      <c r="EC104" s="539"/>
      <c r="ED104" s="539"/>
      <c r="EE104" s="535" t="str">
        <f>IF(AND(EC104&gt;0,ED104&gt;0),ED104-EC104,"0")</f>
        <v>0</v>
      </c>
      <c r="EF104" s="539"/>
      <c r="EG104" s="539">
        <f ca="1">IF(EF104&lt;TODAY(),TODAY(),EF104)</f>
        <v>43332</v>
      </c>
      <c r="EH104" s="535" t="str">
        <f ca="1">IF(AND(EF104&gt;0,EG104&gt;0),EG104-EF104,"0")</f>
        <v>0</v>
      </c>
      <c r="EI104" s="539"/>
      <c r="EJ104" s="539"/>
      <c r="EK104" s="539"/>
      <c r="EL104" s="760">
        <f t="shared" si="243"/>
        <v>44927</v>
      </c>
      <c r="EM104" s="759">
        <f t="shared" si="244"/>
        <v>45017</v>
      </c>
      <c r="EN104" s="756">
        <f t="shared" si="245"/>
        <v>3</v>
      </c>
      <c r="EO104" s="580">
        <f>DATE(YEAR(CI104)+2,MONTH(CI104),DAY(CI104))</f>
        <v>731</v>
      </c>
      <c r="EP104" s="244"/>
      <c r="EQ104" s="244"/>
      <c r="ER104" s="186">
        <f>DATE(YEAR(EM104),MONTH(EM104)+1,DAY(EM104))</f>
        <v>45047</v>
      </c>
      <c r="ES104" s="467"/>
      <c r="ET104" s="578">
        <f t="shared" si="246"/>
        <v>44958</v>
      </c>
      <c r="EU104" s="759">
        <f t="shared" si="247"/>
        <v>45078</v>
      </c>
      <c r="EV104" s="581"/>
      <c r="EW104" s="753">
        <f t="shared" si="186"/>
        <v>4</v>
      </c>
      <c r="EX104" s="722"/>
      <c r="EY104" s="247">
        <f t="shared" si="248"/>
        <v>0</v>
      </c>
      <c r="EZ104" s="118"/>
      <c r="FA104" s="562"/>
      <c r="FB104" s="562">
        <v>0</v>
      </c>
      <c r="FC104" s="562"/>
      <c r="FD104" s="562"/>
      <c r="FE104" s="786"/>
      <c r="FF104" s="786"/>
      <c r="FG104" s="564"/>
      <c r="FH104" s="584"/>
      <c r="FI104" s="564"/>
      <c r="FJ104" s="564"/>
      <c r="FK104" s="122"/>
      <c r="FL104" s="122"/>
      <c r="FM104" s="122"/>
      <c r="FN104" s="122"/>
      <c r="FO104" s="122"/>
      <c r="FP104" s="50"/>
      <c r="FQ104" s="279">
        <f t="shared" si="239"/>
        <v>45383</v>
      </c>
      <c r="FR104" s="279"/>
      <c r="FS104" s="50"/>
      <c r="FT104" s="50"/>
      <c r="FU104" s="50"/>
      <c r="FV104" s="50"/>
      <c r="FW104" s="50"/>
      <c r="FX104" s="50"/>
      <c r="FY104" s="50"/>
      <c r="FZ104" s="50"/>
      <c r="GA104" s="50"/>
      <c r="GB104" s="50"/>
      <c r="GC104" s="50"/>
      <c r="GD104" s="50"/>
      <c r="GE104" s="50"/>
      <c r="GF104" s="113"/>
      <c r="GG104" s="113"/>
      <c r="GH104" s="90">
        <f>+GR104+GW104+HD104+HX104+HI104</f>
        <v>0</v>
      </c>
      <c r="GI104" s="64">
        <f>GS104+GX104+HE104+HX104+HF104+HI104</f>
        <v>0</v>
      </c>
      <c r="GJ104" s="91">
        <f>GI104-GH104</f>
        <v>0</v>
      </c>
      <c r="GK104" s="46" t="e">
        <f>GH104/AJ104</f>
        <v>#DIV/0!</v>
      </c>
      <c r="GL104" s="46">
        <f>GH104/AD104</f>
        <v>0</v>
      </c>
      <c r="GM104" s="90"/>
      <c r="GN104" s="64"/>
      <c r="GO104" s="91">
        <f>GN104-GM104</f>
        <v>0</v>
      </c>
      <c r="GP104" s="129" t="e">
        <f>GN104*1.021/GI104</f>
        <v>#DIV/0!</v>
      </c>
      <c r="GQ104" s="130">
        <v>0.4</v>
      </c>
      <c r="GR104" s="90"/>
      <c r="GS104" s="64"/>
      <c r="GT104" s="64"/>
      <c r="GU104" s="19">
        <f>GS104/AD104</f>
        <v>0</v>
      </c>
      <c r="GV104" s="92"/>
      <c r="GW104" s="90"/>
      <c r="GX104" s="64">
        <f>GY104+GZ104</f>
        <v>0</v>
      </c>
      <c r="GY104" s="84"/>
      <c r="GZ104" s="84"/>
      <c r="HA104" s="92">
        <f>GX104-GW104</f>
        <v>0</v>
      </c>
      <c r="HB104" s="641">
        <f>GX104/AD104</f>
        <v>0</v>
      </c>
      <c r="HC104" s="64"/>
      <c r="HD104" s="286"/>
      <c r="HE104" s="64"/>
      <c r="HF104" s="64"/>
      <c r="HG104" s="36" t="e">
        <f>HE104/GI104</f>
        <v>#DIV/0!</v>
      </c>
      <c r="HH104" s="90"/>
      <c r="HI104" s="64"/>
      <c r="HJ104" s="86">
        <f>HE104-HD104</f>
        <v>0</v>
      </c>
      <c r="HK104" s="19">
        <f>HE104/AD104</f>
        <v>0</v>
      </c>
      <c r="HL104" s="78">
        <f>(GS104+HE104)/AD104</f>
        <v>0</v>
      </c>
      <c r="HM104" s="86">
        <f>HJ104/AD104</f>
        <v>0</v>
      </c>
      <c r="HN104" s="87">
        <v>6.31</v>
      </c>
      <c r="HO104" s="87"/>
      <c r="HP104" s="88"/>
      <c r="HQ104" s="88"/>
      <c r="HR104" s="46">
        <f>(GR104+HD104+HQ104)/AD104</f>
        <v>0</v>
      </c>
      <c r="HS104" s="88"/>
      <c r="HT104" s="46">
        <f>(GS104+HE104+HQ104+HS104)/AD104</f>
        <v>0</v>
      </c>
      <c r="HU104" s="47" t="e">
        <f>(GR104+HD104+HQ104+HS104)/(HP104+GH104-HV104)</f>
        <v>#DIV/0!</v>
      </c>
      <c r="HV104" s="88"/>
      <c r="HW104" s="88"/>
      <c r="HX104" s="64">
        <f t="shared" si="161"/>
        <v>0</v>
      </c>
      <c r="HY104" s="37">
        <f>GH104+HP104</f>
        <v>0</v>
      </c>
      <c r="HZ104" s="233"/>
      <c r="IA104" s="233">
        <f>IC104+IE104+IG104+II104+IK104+IM104+IO104+IQ104+IS104+IU104+IW104+IY104+JA104+JC104+JE104+JG104+JI104</f>
        <v>0</v>
      </c>
      <c r="IB104" s="114"/>
      <c r="IC104" s="315"/>
      <c r="ID104" s="315"/>
      <c r="IE104" s="241"/>
      <c r="IF104" s="241"/>
      <c r="IG104" s="331"/>
      <c r="IH104" s="238"/>
      <c r="II104" s="332"/>
      <c r="IJ104" s="238"/>
      <c r="IK104" s="332"/>
      <c r="IL104" s="290"/>
      <c r="IM104" s="333"/>
      <c r="IN104" s="329"/>
      <c r="IO104" s="329"/>
      <c r="IP104" s="194"/>
      <c r="IQ104" s="331"/>
      <c r="IR104" s="194"/>
      <c r="IS104" s="331"/>
      <c r="IT104" s="290"/>
      <c r="IU104" s="290"/>
      <c r="IV104" s="290"/>
      <c r="IW104" s="290"/>
      <c r="IX104" s="268"/>
      <c r="IY104" s="268"/>
      <c r="IZ104" s="268"/>
      <c r="JA104" s="268"/>
      <c r="JB104" s="268"/>
      <c r="JC104" s="268"/>
      <c r="JD104" s="331"/>
      <c r="JE104" s="330"/>
      <c r="JF104" s="290"/>
      <c r="JG104" s="330"/>
      <c r="JH104" s="330"/>
      <c r="JI104" s="290"/>
    </row>
    <row r="105" spans="1:269" ht="15" customHeight="1">
      <c r="A105" s="83" t="s">
        <v>795</v>
      </c>
      <c r="B105" s="50" t="s">
        <v>35</v>
      </c>
      <c r="C105" s="50" t="s">
        <v>110</v>
      </c>
      <c r="D105" s="50">
        <v>2020</v>
      </c>
      <c r="E105" s="50"/>
      <c r="F105" s="50"/>
      <c r="G105" s="50"/>
      <c r="H105" s="52" t="s">
        <v>412</v>
      </c>
      <c r="I105" s="50"/>
      <c r="J105" s="50" t="s">
        <v>635</v>
      </c>
      <c r="K105" s="256"/>
      <c r="L105" s="166" t="s">
        <v>612</v>
      </c>
      <c r="M105" s="167"/>
      <c r="N105" s="168"/>
      <c r="O105" s="207"/>
      <c r="P105" s="207"/>
      <c r="Q105" s="207"/>
      <c r="R105" s="207">
        <f t="shared" si="249"/>
        <v>0</v>
      </c>
      <c r="S105" s="207" t="e">
        <f t="shared" si="250"/>
        <v>#DIV/0!</v>
      </c>
      <c r="T105" s="213" t="e">
        <f t="shared" si="251"/>
        <v>#DIV/0!</v>
      </c>
      <c r="U105" s="213" t="e">
        <f t="shared" si="252"/>
        <v>#DIV/0!</v>
      </c>
      <c r="V105" s="213">
        <f t="shared" si="253"/>
        <v>0</v>
      </c>
      <c r="W105" s="207">
        <f t="shared" si="254"/>
        <v>0</v>
      </c>
      <c r="X105" s="208"/>
      <c r="Y105" s="216" t="e">
        <f t="shared" si="255"/>
        <v>#DIV/0!</v>
      </c>
      <c r="Z105" s="208"/>
      <c r="AA105" s="208"/>
      <c r="AB105" s="209"/>
      <c r="AC105" s="50" t="s">
        <v>433</v>
      </c>
      <c r="AD105" s="318">
        <f>SUM(AE105:AH105)</f>
        <v>19</v>
      </c>
      <c r="AE105" s="61"/>
      <c r="AF105" s="61"/>
      <c r="AG105" s="50">
        <v>19</v>
      </c>
      <c r="AH105" s="126"/>
      <c r="AI105" s="268"/>
      <c r="AJ105" s="54"/>
      <c r="AK105" s="54"/>
      <c r="AL105" s="89"/>
      <c r="AM105" s="54"/>
      <c r="AN105" s="75"/>
      <c r="AO105" s="75"/>
      <c r="AP105" s="75"/>
      <c r="AQ105" s="75"/>
      <c r="AR105" s="75"/>
      <c r="AS105" s="54"/>
      <c r="AT105" s="73"/>
      <c r="AU105" s="75"/>
      <c r="AV105" s="54"/>
      <c r="AW105" s="53"/>
      <c r="AX105" s="50"/>
      <c r="AY105" s="785"/>
      <c r="AZ105" s="50"/>
      <c r="BA105" s="239"/>
      <c r="BB105" s="184"/>
      <c r="BC105" s="110"/>
      <c r="BD105" s="110"/>
      <c r="BE105" s="94"/>
      <c r="BF105" s="204"/>
      <c r="BG105" s="96"/>
      <c r="BH105" s="96"/>
      <c r="BI105" s="204"/>
      <c r="BJ105" s="96"/>
      <c r="BK105" s="160"/>
      <c r="BL105" s="203"/>
      <c r="BM105" s="160"/>
      <c r="BN105" s="160"/>
      <c r="BO105" s="298">
        <f t="shared" si="233"/>
        <v>0</v>
      </c>
      <c r="BP105" s="297">
        <f t="shared" si="234"/>
        <v>731</v>
      </c>
      <c r="BQ105" s="297">
        <f t="shared" si="235"/>
        <v>1096</v>
      </c>
      <c r="BR105" s="297"/>
      <c r="BS105" s="297" t="str">
        <f t="shared" si="236"/>
        <v>oui</v>
      </c>
      <c r="BT105" s="686" t="e">
        <f t="shared" si="237"/>
        <v>#NUM!</v>
      </c>
      <c r="BU105" s="686" t="e">
        <f t="shared" si="240"/>
        <v>#NUM!</v>
      </c>
      <c r="BV105" s="686" t="e">
        <f t="shared" si="241"/>
        <v>#NUM!</v>
      </c>
      <c r="BW105" s="160"/>
      <c r="BX105" s="165"/>
      <c r="BY105" s="97"/>
      <c r="BZ105" s="98"/>
      <c r="CA105" s="98"/>
      <c r="CB105" s="98"/>
      <c r="CC105" s="158"/>
      <c r="CD105" s="251"/>
      <c r="CE105" s="251"/>
      <c r="CF105" s="157"/>
      <c r="CG105" s="251"/>
      <c r="CH105" s="251"/>
      <c r="CI105" s="251"/>
      <c r="CJ105" s="251"/>
      <c r="CK105" s="604"/>
      <c r="CL105" s="316"/>
      <c r="CM105" s="123"/>
      <c r="CN105" s="123"/>
      <c r="CO105" s="529"/>
      <c r="CP105" s="123"/>
      <c r="CQ105" s="123"/>
      <c r="CR105" s="529"/>
      <c r="CS105" s="123"/>
      <c r="CT105" s="123"/>
      <c r="CU105" s="529"/>
      <c r="CV105" s="549"/>
      <c r="CW105" s="549"/>
      <c r="CX105" s="551"/>
      <c r="CY105" s="549"/>
      <c r="CZ105" s="549"/>
      <c r="DA105" s="551"/>
      <c r="DB105" s="457"/>
      <c r="DC105" s="554"/>
      <c r="DD105" s="533"/>
      <c r="DE105" s="539"/>
      <c r="DF105" s="535"/>
      <c r="DG105" s="533"/>
      <c r="DH105" s="703">
        <v>44378</v>
      </c>
      <c r="DI105" s="348"/>
      <c r="DJ105" s="446"/>
      <c r="DK105" s="535" t="str">
        <f t="shared" si="242"/>
        <v>0</v>
      </c>
      <c r="DL105" s="704">
        <v>16</v>
      </c>
      <c r="DM105" s="243"/>
      <c r="DN105" s="533"/>
      <c r="DO105" s="539"/>
      <c r="DP105" s="535"/>
      <c r="DQ105" s="533"/>
      <c r="DR105" s="557"/>
      <c r="DS105" s="536"/>
      <c r="DT105" s="537"/>
      <c r="DU105" s="539"/>
      <c r="DV105" s="535"/>
      <c r="DW105" s="539"/>
      <c r="DX105" s="539"/>
      <c r="DY105" s="535"/>
      <c r="DZ105" s="539"/>
      <c r="EA105" s="539"/>
      <c r="EB105" s="535"/>
      <c r="EC105" s="539"/>
      <c r="ED105" s="539"/>
      <c r="EE105" s="535"/>
      <c r="EF105" s="539"/>
      <c r="EG105" s="539">
        <f ca="1">IF(EF105&lt;TODAY(),TODAY(),EF105)</f>
        <v>43332</v>
      </c>
      <c r="EH105" s="535"/>
      <c r="EI105" s="539"/>
      <c r="EJ105" s="539"/>
      <c r="EK105" s="539"/>
      <c r="EL105" s="625">
        <f t="shared" si="243"/>
        <v>44866</v>
      </c>
      <c r="EM105" s="404">
        <f t="shared" si="244"/>
        <v>44958</v>
      </c>
      <c r="EN105" s="756">
        <f t="shared" si="245"/>
        <v>3.0666666666666669</v>
      </c>
      <c r="EO105" s="580">
        <f>DATE(YEAR(CI105)+2,MONTH(CI105),DAY(CI105))</f>
        <v>731</v>
      </c>
      <c r="EP105" s="244"/>
      <c r="EQ105" s="244"/>
      <c r="ER105" s="186">
        <f>DATE(YEAR(EM105),MONTH(EM105)+1,DAY(EM105))</f>
        <v>44986</v>
      </c>
      <c r="ES105" s="467"/>
      <c r="ET105" s="578">
        <f t="shared" si="246"/>
        <v>44896</v>
      </c>
      <c r="EU105" s="455">
        <f t="shared" si="247"/>
        <v>45017</v>
      </c>
      <c r="EV105" s="581"/>
      <c r="EW105" s="753">
        <f t="shared" si="186"/>
        <v>4.0333333333333332</v>
      </c>
      <c r="EX105" s="722"/>
      <c r="EY105" s="247">
        <f t="shared" si="248"/>
        <v>0</v>
      </c>
      <c r="EZ105" s="118"/>
      <c r="FA105" s="562"/>
      <c r="FB105" s="562">
        <v>0</v>
      </c>
      <c r="FC105" s="562"/>
      <c r="FD105" s="562"/>
      <c r="FE105" s="786"/>
      <c r="FF105" s="786"/>
      <c r="FG105" s="564"/>
      <c r="FH105" s="584"/>
      <c r="FI105" s="564"/>
      <c r="FJ105" s="564"/>
      <c r="FK105" s="122"/>
      <c r="FL105" s="122"/>
      <c r="FM105" s="122"/>
      <c r="FN105" s="122"/>
      <c r="FO105" s="122"/>
      <c r="FP105" s="50"/>
      <c r="FQ105" s="279">
        <f t="shared" si="239"/>
        <v>45323</v>
      </c>
      <c r="FR105" s="279"/>
      <c r="FS105" s="50"/>
      <c r="FT105" s="50"/>
      <c r="FU105" s="50"/>
      <c r="FV105" s="50"/>
      <c r="FW105" s="50"/>
      <c r="FX105" s="50"/>
      <c r="FY105" s="50"/>
      <c r="FZ105" s="50"/>
      <c r="GA105" s="50"/>
      <c r="GB105" s="50"/>
      <c r="GC105" s="50"/>
      <c r="GD105" s="50"/>
      <c r="GE105" s="50"/>
      <c r="GF105" s="113"/>
      <c r="GG105" s="113"/>
      <c r="GH105" s="90"/>
      <c r="GI105" s="64"/>
      <c r="GJ105" s="91"/>
      <c r="GK105" s="46"/>
      <c r="GL105" s="46"/>
      <c r="GM105" s="90"/>
      <c r="GN105" s="64"/>
      <c r="GO105" s="91"/>
      <c r="GP105" s="129"/>
      <c r="GQ105" s="130"/>
      <c r="GR105" s="90"/>
      <c r="GS105" s="64"/>
      <c r="GT105" s="64"/>
      <c r="GU105" s="46"/>
      <c r="GV105" s="92"/>
      <c r="GW105" s="90"/>
      <c r="GX105" s="64"/>
      <c r="GY105" s="84"/>
      <c r="GZ105" s="84"/>
      <c r="HA105" s="92"/>
      <c r="HB105" s="641"/>
      <c r="HC105" s="64"/>
      <c r="HD105" s="286"/>
      <c r="HE105" s="64"/>
      <c r="HF105" s="64"/>
      <c r="HG105" s="85"/>
      <c r="HH105" s="90"/>
      <c r="HI105" s="64"/>
      <c r="HJ105" s="86"/>
      <c r="HK105" s="46"/>
      <c r="HL105" s="78"/>
      <c r="HM105" s="86"/>
      <c r="HN105" s="87"/>
      <c r="HO105" s="87"/>
      <c r="HP105" s="88"/>
      <c r="HQ105" s="88"/>
      <c r="HR105" s="46"/>
      <c r="HS105" s="88"/>
      <c r="HT105" s="46"/>
      <c r="HU105" s="47"/>
      <c r="HV105" s="88"/>
      <c r="HW105" s="88"/>
      <c r="HX105" s="64">
        <f t="shared" si="161"/>
        <v>0</v>
      </c>
      <c r="HY105" s="93"/>
      <c r="HZ105" s="276"/>
      <c r="IA105" s="276"/>
      <c r="IB105" s="238"/>
      <c r="IC105" s="327"/>
      <c r="ID105" s="441"/>
      <c r="IE105" s="314"/>
      <c r="IF105" s="190"/>
      <c r="IG105" s="388"/>
      <c r="IH105" s="184"/>
      <c r="II105" s="56"/>
      <c r="IJ105" s="184"/>
      <c r="IK105" s="56"/>
      <c r="IL105" s="50"/>
      <c r="IM105" s="389"/>
      <c r="IN105" s="441"/>
      <c r="IO105" s="314"/>
      <c r="IP105" s="122"/>
      <c r="IQ105" s="388"/>
      <c r="IR105" s="122"/>
      <c r="IS105" s="388"/>
      <c r="IT105" s="50"/>
      <c r="IU105" s="50"/>
      <c r="IV105" s="50"/>
      <c r="IW105" s="50"/>
      <c r="IX105" s="50"/>
      <c r="IY105" s="50"/>
      <c r="IZ105" s="50"/>
      <c r="JA105" s="50"/>
      <c r="JB105" s="50"/>
      <c r="JC105" s="50"/>
      <c r="JD105" s="315"/>
      <c r="JE105" s="279"/>
      <c r="JF105" s="50"/>
      <c r="JG105" s="279"/>
      <c r="JH105" s="279"/>
      <c r="JI105" s="50"/>
    </row>
    <row r="106" spans="1:269" ht="15" customHeight="1">
      <c r="A106" s="83" t="s">
        <v>631</v>
      </c>
      <c r="B106" s="50" t="s">
        <v>35</v>
      </c>
      <c r="C106" s="50" t="s">
        <v>110</v>
      </c>
      <c r="D106" s="50">
        <v>2021</v>
      </c>
      <c r="E106" s="50"/>
      <c r="F106" s="50"/>
      <c r="G106" s="50"/>
      <c r="H106" s="52" t="s">
        <v>412</v>
      </c>
      <c r="I106" s="50"/>
      <c r="J106" s="50" t="s">
        <v>632</v>
      </c>
      <c r="K106" s="256" t="s">
        <v>813</v>
      </c>
      <c r="L106" s="166"/>
      <c r="M106" s="167"/>
      <c r="N106" s="168"/>
      <c r="O106" s="207"/>
      <c r="P106" s="207"/>
      <c r="Q106" s="207"/>
      <c r="R106" s="207">
        <f t="shared" si="249"/>
        <v>0</v>
      </c>
      <c r="S106" s="207" t="e">
        <f t="shared" si="250"/>
        <v>#DIV/0!</v>
      </c>
      <c r="T106" s="213" t="e">
        <f t="shared" si="251"/>
        <v>#DIV/0!</v>
      </c>
      <c r="U106" s="213" t="e">
        <f t="shared" si="252"/>
        <v>#DIV/0!</v>
      </c>
      <c r="V106" s="213">
        <f t="shared" si="253"/>
        <v>0</v>
      </c>
      <c r="W106" s="207">
        <f t="shared" si="254"/>
        <v>0</v>
      </c>
      <c r="X106" s="208"/>
      <c r="Y106" s="216" t="e">
        <f t="shared" si="255"/>
        <v>#DIV/0!</v>
      </c>
      <c r="Z106" s="208"/>
      <c r="AA106" s="208"/>
      <c r="AB106" s="209"/>
      <c r="AC106" s="50" t="s">
        <v>16</v>
      </c>
      <c r="AD106" s="318">
        <f>SUM(AE106:AH106)</f>
        <v>40</v>
      </c>
      <c r="AE106" s="61"/>
      <c r="AF106" s="50">
        <v>40</v>
      </c>
      <c r="AG106" s="61"/>
      <c r="AH106" s="50"/>
      <c r="AI106" s="268"/>
      <c r="AJ106" s="54"/>
      <c r="AK106" s="54"/>
      <c r="AL106" s="89"/>
      <c r="AM106" s="54"/>
      <c r="AN106" s="75"/>
      <c r="AO106" s="75"/>
      <c r="AP106" s="75"/>
      <c r="AQ106" s="75"/>
      <c r="AR106" s="75"/>
      <c r="AS106" s="54"/>
      <c r="AT106" s="73"/>
      <c r="AU106" s="75"/>
      <c r="AV106" s="54"/>
      <c r="AW106" s="53"/>
      <c r="AX106" s="50"/>
      <c r="AY106" s="785"/>
      <c r="AZ106" s="184">
        <v>43229</v>
      </c>
      <c r="BA106" s="239"/>
      <c r="BB106" s="184"/>
      <c r="BC106" s="110"/>
      <c r="BD106" s="110"/>
      <c r="BE106" s="94"/>
      <c r="BF106" s="204"/>
      <c r="BG106" s="96"/>
      <c r="BH106" s="96"/>
      <c r="BI106" s="204"/>
      <c r="BJ106" s="96"/>
      <c r="BK106" s="160"/>
      <c r="BL106" s="203"/>
      <c r="BM106" s="160"/>
      <c r="BN106" s="160"/>
      <c r="BO106" s="298">
        <f t="shared" si="233"/>
        <v>0</v>
      </c>
      <c r="BP106" s="297">
        <f t="shared" si="234"/>
        <v>731</v>
      </c>
      <c r="BQ106" s="297">
        <f t="shared" si="235"/>
        <v>1096</v>
      </c>
      <c r="BR106" s="297"/>
      <c r="BS106" s="297" t="str">
        <f t="shared" si="236"/>
        <v>oui</v>
      </c>
      <c r="BT106" s="686" t="e">
        <f t="shared" si="237"/>
        <v>#NUM!</v>
      </c>
      <c r="BU106" s="686" t="e">
        <f t="shared" si="240"/>
        <v>#NUM!</v>
      </c>
      <c r="BV106" s="686" t="e">
        <f t="shared" si="241"/>
        <v>#NUM!</v>
      </c>
      <c r="BW106" s="160"/>
      <c r="BX106" s="165"/>
      <c r="BY106" s="97"/>
      <c r="BZ106" s="98"/>
      <c r="CA106" s="98"/>
      <c r="CB106" s="98"/>
      <c r="CC106" s="158"/>
      <c r="CD106" s="251"/>
      <c r="CE106" s="251"/>
      <c r="CF106" s="157"/>
      <c r="CG106" s="251"/>
      <c r="CH106" s="251"/>
      <c r="CI106" s="251"/>
      <c r="CJ106" s="251"/>
      <c r="CK106" s="603"/>
      <c r="CL106" s="546"/>
      <c r="CM106" s="549"/>
      <c r="CN106" s="549"/>
      <c r="CO106" s="551"/>
      <c r="CP106" s="549"/>
      <c r="CQ106" s="549"/>
      <c r="CR106" s="551"/>
      <c r="CS106" s="549"/>
      <c r="CT106" s="549"/>
      <c r="CU106" s="551"/>
      <c r="CV106" s="549"/>
      <c r="CW106" s="549"/>
      <c r="CX106" s="551"/>
      <c r="CY106" s="552"/>
      <c r="CZ106" s="553"/>
      <c r="DA106" s="551"/>
      <c r="DB106" s="457"/>
      <c r="DC106" s="554"/>
      <c r="DD106" s="533"/>
      <c r="DE106" s="534"/>
      <c r="DF106" s="535"/>
      <c r="DG106" s="533"/>
      <c r="DH106" s="703">
        <v>44743</v>
      </c>
      <c r="DI106" s="348"/>
      <c r="DJ106" s="446"/>
      <c r="DK106" s="535" t="str">
        <f t="shared" si="242"/>
        <v>0</v>
      </c>
      <c r="DL106" s="704">
        <v>16</v>
      </c>
      <c r="DM106" s="243"/>
      <c r="DN106" s="533"/>
      <c r="DO106" s="534"/>
      <c r="DP106" s="535"/>
      <c r="DQ106" s="533"/>
      <c r="DR106" s="557"/>
      <c r="DS106" s="536"/>
      <c r="DT106" s="537"/>
      <c r="DU106" s="538"/>
      <c r="DV106" s="535"/>
      <c r="DW106" s="539"/>
      <c r="DX106" s="539"/>
      <c r="DY106" s="535"/>
      <c r="DZ106" s="539"/>
      <c r="EA106" s="539"/>
      <c r="EB106" s="535"/>
      <c r="EC106" s="539"/>
      <c r="ED106" s="539"/>
      <c r="EE106" s="535"/>
      <c r="EF106" s="539"/>
      <c r="EG106" s="539"/>
      <c r="EH106" s="535"/>
      <c r="EI106" s="539"/>
      <c r="EJ106" s="539"/>
      <c r="EK106" s="539"/>
      <c r="EL106" s="625">
        <f t="shared" si="243"/>
        <v>45231</v>
      </c>
      <c r="EM106" s="404">
        <f t="shared" si="244"/>
        <v>45323</v>
      </c>
      <c r="EN106" s="756">
        <f t="shared" si="245"/>
        <v>3.0666666666666669</v>
      </c>
      <c r="EO106" s="580"/>
      <c r="EP106" s="244"/>
      <c r="EQ106" s="244"/>
      <c r="ER106" s="186">
        <f>DATE(YEAR(EM106),MONTH(EM106),DAY(EM106)+15)</f>
        <v>45338</v>
      </c>
      <c r="ES106" s="467"/>
      <c r="ET106" s="578">
        <f t="shared" si="246"/>
        <v>45261</v>
      </c>
      <c r="EU106" s="455">
        <f t="shared" si="247"/>
        <v>45367</v>
      </c>
      <c r="EV106" s="581"/>
      <c r="EW106" s="753">
        <f t="shared" si="186"/>
        <v>3.5333333333333332</v>
      </c>
      <c r="EX106" s="722"/>
      <c r="EY106" s="247">
        <f t="shared" si="248"/>
        <v>0</v>
      </c>
      <c r="EZ106" s="118"/>
      <c r="FA106" s="562"/>
      <c r="FB106" s="562">
        <v>0</v>
      </c>
      <c r="FC106" s="562"/>
      <c r="FD106" s="562"/>
      <c r="FE106" s="562"/>
      <c r="FF106" s="562"/>
      <c r="FG106" s="559"/>
      <c r="FH106" s="571"/>
      <c r="FI106" s="559"/>
      <c r="FJ106" s="559"/>
      <c r="FK106" s="122"/>
      <c r="FL106" s="122"/>
      <c r="FM106" s="122"/>
      <c r="FN106" s="122"/>
      <c r="FO106" s="122"/>
      <c r="FP106" s="50"/>
      <c r="FQ106" s="279">
        <f t="shared" si="239"/>
        <v>45689</v>
      </c>
      <c r="FR106" s="279"/>
      <c r="FS106" s="50"/>
      <c r="FT106" s="50"/>
      <c r="FU106" s="50"/>
      <c r="FV106" s="50"/>
      <c r="FW106" s="50"/>
      <c r="FX106" s="50"/>
      <c r="FY106" s="50"/>
      <c r="FZ106" s="50"/>
      <c r="GA106" s="50"/>
      <c r="GB106" s="50"/>
      <c r="GC106" s="50"/>
      <c r="GD106" s="50"/>
      <c r="GE106" s="50"/>
      <c r="GF106" s="113"/>
      <c r="GG106" s="113"/>
      <c r="GH106" s="90"/>
      <c r="GI106" s="64"/>
      <c r="GJ106" s="91"/>
      <c r="GK106" s="46"/>
      <c r="GL106" s="46"/>
      <c r="GM106" s="90"/>
      <c r="GN106" s="64"/>
      <c r="GO106" s="91"/>
      <c r="GP106" s="129"/>
      <c r="GQ106" s="130"/>
      <c r="GR106" s="90"/>
      <c r="GS106" s="64"/>
      <c r="GT106" s="64"/>
      <c r="GU106" s="46"/>
      <c r="GV106" s="92"/>
      <c r="GW106" s="90"/>
      <c r="GX106" s="64"/>
      <c r="GY106" s="84"/>
      <c r="GZ106" s="84"/>
      <c r="HA106" s="92"/>
      <c r="HB106" s="641"/>
      <c r="HC106" s="64"/>
      <c r="HD106" s="286"/>
      <c r="HE106" s="64"/>
      <c r="HF106" s="64"/>
      <c r="HG106" s="85"/>
      <c r="HH106" s="90"/>
      <c r="HI106" s="64"/>
      <c r="HJ106" s="86"/>
      <c r="HK106" s="46"/>
      <c r="HL106" s="78"/>
      <c r="HM106" s="86"/>
      <c r="HN106" s="87"/>
      <c r="HO106" s="87"/>
      <c r="HP106" s="88"/>
      <c r="HQ106" s="88"/>
      <c r="HR106" s="46"/>
      <c r="HS106" s="88"/>
      <c r="HT106" s="46"/>
      <c r="HU106" s="47"/>
      <c r="HV106" s="88"/>
      <c r="HW106" s="88"/>
      <c r="HX106" s="64">
        <f t="shared" si="161"/>
        <v>0</v>
      </c>
      <c r="HY106" s="93"/>
      <c r="HZ106" s="233"/>
      <c r="IA106" s="233"/>
      <c r="IB106" s="114"/>
      <c r="IC106" s="315"/>
      <c r="ID106" s="315"/>
      <c r="IE106" s="241"/>
      <c r="IF106" s="241"/>
      <c r="IG106" s="331"/>
      <c r="IH106" s="238"/>
      <c r="II106" s="332"/>
      <c r="IJ106" s="238"/>
      <c r="IK106" s="332"/>
      <c r="IL106" s="290"/>
      <c r="IM106" s="333"/>
      <c r="IN106" s="329"/>
      <c r="IO106" s="329"/>
      <c r="IP106" s="194"/>
      <c r="IQ106" s="331"/>
      <c r="IR106" s="194"/>
      <c r="IS106" s="331"/>
      <c r="IT106" s="290"/>
      <c r="IU106" s="290"/>
      <c r="IV106" s="290"/>
      <c r="IW106" s="290"/>
      <c r="IX106" s="268"/>
      <c r="IY106" s="268"/>
      <c r="IZ106" s="268"/>
      <c r="JA106" s="268"/>
      <c r="JB106" s="268"/>
      <c r="JC106" s="268"/>
      <c r="JD106" s="331"/>
      <c r="JE106" s="330"/>
      <c r="JF106" s="290"/>
      <c r="JG106" s="330"/>
      <c r="JH106" s="330"/>
      <c r="JI106" s="290"/>
    </row>
    <row r="107" spans="1:269" ht="15" customHeight="1">
      <c r="A107" s="83" t="s">
        <v>633</v>
      </c>
      <c r="B107" s="50" t="s">
        <v>35</v>
      </c>
      <c r="C107" s="50" t="s">
        <v>110</v>
      </c>
      <c r="D107" s="50">
        <v>2021</v>
      </c>
      <c r="E107" s="50"/>
      <c r="F107" s="50"/>
      <c r="G107" s="50"/>
      <c r="H107" s="50" t="s">
        <v>412</v>
      </c>
      <c r="I107" s="50"/>
      <c r="J107" s="50" t="s">
        <v>634</v>
      </c>
      <c r="K107" s="256" t="s">
        <v>820</v>
      </c>
      <c r="L107" s="166"/>
      <c r="M107" s="167"/>
      <c r="N107" s="168"/>
      <c r="O107" s="207"/>
      <c r="P107" s="207"/>
      <c r="Q107" s="207"/>
      <c r="R107" s="207">
        <f t="shared" si="249"/>
        <v>0</v>
      </c>
      <c r="S107" s="207"/>
      <c r="T107" s="213"/>
      <c r="U107" s="213"/>
      <c r="V107" s="213">
        <f t="shared" si="253"/>
        <v>0</v>
      </c>
      <c r="W107" s="207">
        <f t="shared" si="254"/>
        <v>0</v>
      </c>
      <c r="X107" s="208"/>
      <c r="Y107" s="216"/>
      <c r="Z107" s="208"/>
      <c r="AA107" s="208"/>
      <c r="AB107" s="209"/>
      <c r="AC107" s="51" t="s">
        <v>16</v>
      </c>
      <c r="AD107" s="318">
        <f>SUM(AE107:AH107)</f>
        <v>60</v>
      </c>
      <c r="AE107" s="61"/>
      <c r="AF107" s="50">
        <v>60</v>
      </c>
      <c r="AG107" s="61"/>
      <c r="AH107" s="61"/>
      <c r="AI107" s="268"/>
      <c r="AJ107" s="54"/>
      <c r="AK107" s="54"/>
      <c r="AL107" s="89"/>
      <c r="AM107" s="7"/>
      <c r="AN107" s="75"/>
      <c r="AO107" s="75"/>
      <c r="AP107" s="75"/>
      <c r="AQ107" s="75"/>
      <c r="AR107" s="75"/>
      <c r="AS107" s="54"/>
      <c r="AT107" s="73"/>
      <c r="AU107" s="75"/>
      <c r="AV107" s="54"/>
      <c r="AW107" s="50"/>
      <c r="AX107" s="50"/>
      <c r="AY107" s="785"/>
      <c r="AZ107" s="184">
        <v>43229</v>
      </c>
      <c r="BA107" s="184"/>
      <c r="BB107" s="50"/>
      <c r="BC107" s="110"/>
      <c r="BD107" s="110"/>
      <c r="BE107" s="94"/>
      <c r="BF107" s="204"/>
      <c r="BG107" s="96"/>
      <c r="BH107" s="96"/>
      <c r="BI107" s="204"/>
      <c r="BJ107" s="96"/>
      <c r="BK107" s="160"/>
      <c r="BL107" s="203"/>
      <c r="BM107" s="160"/>
      <c r="BN107" s="160"/>
      <c r="BO107" s="298">
        <f t="shared" si="233"/>
        <v>0</v>
      </c>
      <c r="BP107" s="297">
        <f t="shared" si="234"/>
        <v>731</v>
      </c>
      <c r="BQ107" s="297">
        <f t="shared" si="235"/>
        <v>1096</v>
      </c>
      <c r="BR107" s="297"/>
      <c r="BS107" s="297" t="str">
        <f t="shared" si="236"/>
        <v>oui</v>
      </c>
      <c r="BT107" s="686" t="e">
        <f t="shared" si="237"/>
        <v>#NUM!</v>
      </c>
      <c r="BU107" s="686" t="e">
        <f t="shared" si="240"/>
        <v>#NUM!</v>
      </c>
      <c r="BV107" s="686" t="e">
        <f t="shared" si="241"/>
        <v>#NUM!</v>
      </c>
      <c r="BW107" s="160"/>
      <c r="BX107" s="165"/>
      <c r="BY107" s="97"/>
      <c r="BZ107" s="98"/>
      <c r="CA107" s="98"/>
      <c r="CB107" s="98"/>
      <c r="CC107" s="158"/>
      <c r="CD107" s="251"/>
      <c r="CE107" s="251"/>
      <c r="CF107" s="157"/>
      <c r="CG107" s="251"/>
      <c r="CH107" s="251"/>
      <c r="CI107" s="251"/>
      <c r="CJ107" s="251"/>
      <c r="CK107" s="603"/>
      <c r="CL107" s="549"/>
      <c r="CM107" s="549"/>
      <c r="CN107" s="549"/>
      <c r="CO107" s="551"/>
      <c r="CP107" s="549"/>
      <c r="CQ107" s="549"/>
      <c r="CR107" s="551"/>
      <c r="CS107" s="549"/>
      <c r="CT107" s="549"/>
      <c r="CU107" s="551"/>
      <c r="CV107" s="549"/>
      <c r="CW107" s="549"/>
      <c r="CX107" s="551"/>
      <c r="CY107" s="552"/>
      <c r="CZ107" s="553"/>
      <c r="DA107" s="551"/>
      <c r="DB107" s="457"/>
      <c r="DC107" s="550"/>
      <c r="DD107" s="533"/>
      <c r="DE107" s="534"/>
      <c r="DF107" s="535"/>
      <c r="DG107" s="533"/>
      <c r="DH107" s="703">
        <v>44743</v>
      </c>
      <c r="DI107" s="348"/>
      <c r="DJ107" s="446"/>
      <c r="DK107" s="535" t="str">
        <f t="shared" si="242"/>
        <v>0</v>
      </c>
      <c r="DL107" s="704">
        <v>16</v>
      </c>
      <c r="DM107" s="243"/>
      <c r="DN107" s="533"/>
      <c r="DO107" s="534"/>
      <c r="DP107" s="535"/>
      <c r="DQ107" s="533"/>
      <c r="DR107" s="557"/>
      <c r="DS107" s="536"/>
      <c r="DT107" s="537"/>
      <c r="DU107" s="538"/>
      <c r="DV107" s="535"/>
      <c r="DW107" s="539"/>
      <c r="DX107" s="539"/>
      <c r="DY107" s="535"/>
      <c r="DZ107" s="539"/>
      <c r="EA107" s="539"/>
      <c r="EB107" s="535"/>
      <c r="EC107" s="539"/>
      <c r="ED107" s="539"/>
      <c r="EE107" s="535"/>
      <c r="EF107" s="539"/>
      <c r="EG107" s="539"/>
      <c r="EH107" s="535"/>
      <c r="EI107" s="539"/>
      <c r="EJ107" s="539"/>
      <c r="EK107" s="539"/>
      <c r="EL107" s="625">
        <f t="shared" si="243"/>
        <v>45231</v>
      </c>
      <c r="EM107" s="404">
        <f t="shared" si="244"/>
        <v>45323</v>
      </c>
      <c r="EN107" s="756">
        <f t="shared" si="245"/>
        <v>3.0666666666666669</v>
      </c>
      <c r="EO107" s="580"/>
      <c r="EP107" s="244"/>
      <c r="EQ107" s="244"/>
      <c r="ER107" s="186">
        <f>DATE(YEAR(EM107),MONTH(EM107),DAY(EM107)+15)</f>
        <v>45338</v>
      </c>
      <c r="ES107" s="467"/>
      <c r="ET107" s="578">
        <f t="shared" si="246"/>
        <v>45261</v>
      </c>
      <c r="EU107" s="455">
        <f t="shared" si="247"/>
        <v>45367</v>
      </c>
      <c r="EV107" s="581"/>
      <c r="EW107" s="753">
        <f t="shared" si="186"/>
        <v>3.5333333333333332</v>
      </c>
      <c r="EX107" s="722"/>
      <c r="EY107" s="247">
        <f t="shared" si="248"/>
        <v>0</v>
      </c>
      <c r="EZ107" s="118"/>
      <c r="FA107" s="562"/>
      <c r="FB107" s="562">
        <v>0</v>
      </c>
      <c r="FC107" s="562"/>
      <c r="FD107" s="562"/>
      <c r="FE107" s="562"/>
      <c r="FF107" s="562"/>
      <c r="FG107" s="559"/>
      <c r="FH107" s="571"/>
      <c r="FI107" s="559"/>
      <c r="FJ107" s="559"/>
      <c r="FK107" s="122"/>
      <c r="FL107" s="122"/>
      <c r="FM107" s="122"/>
      <c r="FN107" s="122"/>
      <c r="FO107" s="122"/>
      <c r="FP107" s="50"/>
      <c r="FQ107" s="279">
        <f t="shared" si="239"/>
        <v>45689</v>
      </c>
      <c r="FR107" s="279"/>
      <c r="FS107" s="50"/>
      <c r="FT107" s="50"/>
      <c r="FU107" s="50"/>
      <c r="FV107" s="50"/>
      <c r="FW107" s="50"/>
      <c r="FX107" s="50"/>
      <c r="FY107" s="50"/>
      <c r="FZ107" s="50"/>
      <c r="GA107" s="50"/>
      <c r="GB107" s="50"/>
      <c r="GC107" s="50"/>
      <c r="GD107" s="50"/>
      <c r="GE107" s="50"/>
      <c r="GF107" s="113"/>
      <c r="GG107" s="113"/>
      <c r="GH107" s="90"/>
      <c r="GI107" s="64"/>
      <c r="GJ107" s="91"/>
      <c r="GK107" s="46"/>
      <c r="GL107" s="46"/>
      <c r="GM107" s="90"/>
      <c r="GN107" s="64"/>
      <c r="GO107" s="91"/>
      <c r="GP107" s="129"/>
      <c r="GQ107" s="130"/>
      <c r="GR107" s="90"/>
      <c r="GS107" s="64"/>
      <c r="GT107" s="64"/>
      <c r="GU107" s="19"/>
      <c r="GV107" s="92"/>
      <c r="GW107" s="90"/>
      <c r="GX107" s="64"/>
      <c r="GY107" s="84"/>
      <c r="GZ107" s="84"/>
      <c r="HA107" s="92"/>
      <c r="HB107" s="641"/>
      <c r="HC107" s="64"/>
      <c r="HD107" s="90"/>
      <c r="HE107" s="64"/>
      <c r="HF107" s="64"/>
      <c r="HG107" s="36"/>
      <c r="HH107" s="302"/>
      <c r="HI107" s="64"/>
      <c r="HJ107" s="86"/>
      <c r="HK107" s="19"/>
      <c r="HL107" s="78"/>
      <c r="HM107" s="86"/>
      <c r="HN107" s="87"/>
      <c r="HO107" s="87"/>
      <c r="HP107" s="88"/>
      <c r="HQ107" s="88"/>
      <c r="HR107" s="46"/>
      <c r="HS107" s="88"/>
      <c r="HT107" s="46"/>
      <c r="HU107" s="47"/>
      <c r="HV107" s="88"/>
      <c r="HW107" s="88"/>
      <c r="HX107" s="64">
        <f t="shared" si="161"/>
        <v>0</v>
      </c>
      <c r="HY107" s="37"/>
      <c r="HZ107" s="276"/>
      <c r="IA107" s="276"/>
      <c r="IB107" s="277"/>
      <c r="IC107" s="280"/>
      <c r="ID107" s="280"/>
      <c r="IE107" s="254"/>
      <c r="IF107" s="254"/>
      <c r="IG107" s="388"/>
      <c r="IH107" s="262"/>
      <c r="II107" s="273"/>
      <c r="IJ107" s="262"/>
      <c r="IK107" s="466"/>
      <c r="IL107" s="278"/>
      <c r="IM107" s="283"/>
      <c r="IN107" s="281"/>
      <c r="IO107" s="281"/>
      <c r="IP107" s="275"/>
      <c r="IQ107" s="276"/>
      <c r="IR107" s="275"/>
      <c r="IS107" s="276"/>
      <c r="IT107" s="299"/>
      <c r="IU107" s="299"/>
      <c r="IV107" s="299"/>
      <c r="IW107" s="299"/>
      <c r="IX107" s="268"/>
      <c r="IY107" s="268"/>
      <c r="IZ107" s="268"/>
      <c r="JA107" s="268"/>
      <c r="JB107" s="268"/>
      <c r="JC107" s="268"/>
      <c r="JD107" s="280"/>
      <c r="JE107" s="118"/>
      <c r="JF107" s="278"/>
      <c r="JG107" s="118"/>
      <c r="JH107" s="270"/>
      <c r="JI107" s="278"/>
    </row>
    <row r="108" spans="1:269" s="3" customFormat="1" ht="18" customHeight="1">
      <c r="A108" s="307"/>
      <c r="B108" s="132"/>
      <c r="C108" s="132"/>
      <c r="D108" s="132"/>
      <c r="E108" s="132"/>
      <c r="F108" s="132"/>
      <c r="G108" s="132"/>
      <c r="H108" s="132"/>
      <c r="I108" s="132"/>
      <c r="J108" s="132"/>
      <c r="K108" s="310"/>
      <c r="L108" s="195"/>
      <c r="M108" s="195"/>
      <c r="N108" s="195"/>
      <c r="O108" s="132"/>
      <c r="P108" s="132"/>
      <c r="Q108" s="132"/>
      <c r="R108" s="132"/>
      <c r="S108" s="132"/>
      <c r="T108" s="133"/>
      <c r="U108" s="132"/>
      <c r="V108" s="58"/>
      <c r="W108" s="132"/>
      <c r="X108" s="132"/>
      <c r="Y108" s="132"/>
      <c r="Z108" s="132"/>
      <c r="AA108" s="132"/>
      <c r="AB108" s="132"/>
      <c r="AC108" s="132"/>
      <c r="AE108" s="15">
        <f>SUM(AE2:AE107)</f>
        <v>716</v>
      </c>
      <c r="AF108" s="15">
        <f>SUM(AF2:AF107)</f>
        <v>2035</v>
      </c>
      <c r="AG108" s="15">
        <f>SUM(AG2:AG107)</f>
        <v>500</v>
      </c>
      <c r="AH108" s="15">
        <f>SUM(AH2:AH107)</f>
        <v>650</v>
      </c>
      <c r="AI108" s="150"/>
      <c r="AJ108" s="132"/>
      <c r="AK108" s="132"/>
      <c r="AL108" s="132"/>
      <c r="AM108" s="132"/>
      <c r="AN108" s="132"/>
      <c r="AO108" s="132"/>
      <c r="AP108" s="132"/>
      <c r="AQ108" s="132"/>
      <c r="AR108" s="132"/>
      <c r="AS108" s="132"/>
      <c r="AT108" s="134"/>
      <c r="AU108" s="77"/>
      <c r="AV108" s="132"/>
      <c r="AW108" s="132"/>
      <c r="AX108" s="132"/>
      <c r="AY108" s="132"/>
      <c r="AZ108" s="132"/>
      <c r="BA108" s="132"/>
      <c r="BB108" s="132"/>
      <c r="BC108" s="169"/>
      <c r="BD108" s="169"/>
      <c r="BE108" s="2"/>
      <c r="BF108" s="2"/>
      <c r="BG108" s="2"/>
      <c r="BH108" s="170"/>
      <c r="BI108" s="170"/>
      <c r="BJ108" s="170"/>
      <c r="BK108" s="171"/>
      <c r="BL108" s="171"/>
      <c r="BM108" s="171"/>
      <c r="BN108" s="171"/>
      <c r="BO108" s="171"/>
      <c r="BP108" s="171"/>
      <c r="BQ108" s="171"/>
      <c r="BR108" s="171"/>
      <c r="BS108" s="171"/>
      <c r="BT108" s="171"/>
      <c r="BU108" s="171"/>
      <c r="BV108" s="171"/>
      <c r="BW108" s="171"/>
      <c r="BX108" s="171"/>
      <c r="BY108" s="172"/>
      <c r="BZ108" s="173"/>
      <c r="CA108" s="173"/>
      <c r="CB108" s="173"/>
      <c r="CC108" s="174"/>
      <c r="CD108" s="221"/>
      <c r="CE108" s="221"/>
      <c r="CF108" s="175"/>
      <c r="CG108" s="175"/>
      <c r="CH108" s="175"/>
      <c r="CI108" s="175"/>
      <c r="CJ108" s="175"/>
      <c r="CK108" s="598"/>
      <c r="CQ108" s="565"/>
      <c r="DB108" s="132"/>
      <c r="DH108" s="132"/>
      <c r="DI108" s="132"/>
      <c r="DJ108" s="132"/>
      <c r="DL108" s="228"/>
      <c r="DM108" s="132"/>
      <c r="DQ108" s="12"/>
      <c r="DR108" s="12"/>
      <c r="DS108" s="12"/>
      <c r="DT108" s="12"/>
      <c r="DU108" s="12"/>
      <c r="ED108" s="12"/>
      <c r="EE108" s="12"/>
      <c r="EF108" s="12"/>
      <c r="EG108" s="12"/>
      <c r="EH108" s="12"/>
      <c r="EI108" s="12"/>
      <c r="EJ108" s="12"/>
      <c r="EK108" s="12"/>
      <c r="EL108" s="132"/>
      <c r="EM108" s="132"/>
      <c r="EN108" s="132"/>
      <c r="EO108" s="132"/>
      <c r="EP108" s="132"/>
      <c r="EQ108" s="132"/>
      <c r="ER108" s="132"/>
      <c r="ES108" s="132"/>
      <c r="ET108" s="132"/>
      <c r="EU108" s="132"/>
      <c r="EV108" s="334"/>
      <c r="EW108" s="132"/>
      <c r="EX108" s="132"/>
      <c r="EY108" s="132"/>
      <c r="EZ108" s="132"/>
      <c r="FA108" s="591"/>
      <c r="FB108" s="591"/>
      <c r="FC108" s="591"/>
      <c r="FD108" s="591"/>
      <c r="FE108" s="591"/>
      <c r="FF108" s="591"/>
      <c r="FH108" s="585"/>
      <c r="FK108" s="132"/>
      <c r="FL108" s="132"/>
      <c r="FM108" s="132"/>
      <c r="FN108" s="132"/>
      <c r="FO108" s="132"/>
      <c r="FP108" s="132"/>
      <c r="FQ108" s="132"/>
      <c r="FR108" s="132"/>
      <c r="FS108" s="132"/>
      <c r="FT108" s="132"/>
      <c r="FU108" s="132"/>
      <c r="FV108" s="132"/>
      <c r="FW108" s="132"/>
      <c r="FX108" s="132"/>
      <c r="FY108" s="132"/>
      <c r="FZ108" s="132"/>
      <c r="GA108" s="132"/>
      <c r="GB108" s="132"/>
      <c r="GC108" s="132"/>
      <c r="GD108" s="132"/>
      <c r="GE108" s="132"/>
      <c r="GF108" s="175"/>
      <c r="GG108" s="175"/>
      <c r="GH108" s="135">
        <f>SUM(Bdgt)</f>
        <v>374206267.3700006</v>
      </c>
      <c r="GI108" s="135">
        <f>SUM(GI2:GI107)</f>
        <v>359557522.67500001</v>
      </c>
      <c r="GJ108" s="136" t="e">
        <f>SUM(GJ12:GM107)</f>
        <v>#DIV/0!</v>
      </c>
      <c r="GK108" s="135"/>
      <c r="GL108" s="135"/>
      <c r="GM108" s="135">
        <f>SUM(GM2:GM107)</f>
        <v>215802778.61681253</v>
      </c>
      <c r="GN108" s="135">
        <f>SUM(GN2:GN107)</f>
        <v>174981805.04301569</v>
      </c>
      <c r="GO108" s="135"/>
      <c r="GP108" s="135"/>
      <c r="GQ108" s="135"/>
      <c r="GR108" s="135">
        <f>SUM(GR2:GR107)</f>
        <v>106630880.35260479</v>
      </c>
      <c r="GS108" s="135">
        <f>SUM(GS2:GS107)</f>
        <v>104351520.31999999</v>
      </c>
      <c r="GT108" s="135"/>
      <c r="GU108" s="135"/>
      <c r="GV108" s="135">
        <f t="shared" ref="GV108:HA108" si="256">SUM(GV12:GV107)</f>
        <v>6023114.8772378135</v>
      </c>
      <c r="GW108" s="135">
        <f t="shared" si="256"/>
        <v>206632869.53865239</v>
      </c>
      <c r="GX108" s="135">
        <f t="shared" si="256"/>
        <v>185533037.20499998</v>
      </c>
      <c r="GY108" s="135">
        <f t="shared" si="256"/>
        <v>34433819.800000004</v>
      </c>
      <c r="GZ108" s="135">
        <f t="shared" si="256"/>
        <v>138559883.02500001</v>
      </c>
      <c r="HA108" s="135">
        <f t="shared" si="256"/>
        <v>-20945537.333652351</v>
      </c>
      <c r="HB108" s="643"/>
      <c r="HC108" s="135"/>
      <c r="HD108" s="135">
        <f>SUM(HD2:HD107)</f>
        <v>38677573</v>
      </c>
      <c r="HE108" s="135">
        <f>SUM(HE2:HE107)</f>
        <v>35044234</v>
      </c>
      <c r="HF108" s="135"/>
      <c r="HG108" s="135" t="e">
        <f>SUM(HG12:HM107)</f>
        <v>#REF!</v>
      </c>
      <c r="HH108" s="135"/>
      <c r="HI108" s="135">
        <f t="shared" ref="HI108:HY108" si="257">SUM(HI2:HI107)</f>
        <v>5323141.7299999995</v>
      </c>
      <c r="HJ108" s="135">
        <f t="shared" si="257"/>
        <v>-3272299</v>
      </c>
      <c r="HK108" s="135">
        <f t="shared" si="257"/>
        <v>1260305.9483599048</v>
      </c>
      <c r="HL108" s="135">
        <f t="shared" si="257"/>
        <v>4546651.0069449041</v>
      </c>
      <c r="HM108" s="135" t="e">
        <f t="shared" si="257"/>
        <v>#REF!</v>
      </c>
      <c r="HN108" s="135">
        <f t="shared" si="257"/>
        <v>308.35000000000002</v>
      </c>
      <c r="HO108" s="135">
        <f t="shared" si="257"/>
        <v>163.75000000000006</v>
      </c>
      <c r="HP108" s="135">
        <f t="shared" si="257"/>
        <v>25175794.004462007</v>
      </c>
      <c r="HQ108" s="135">
        <f t="shared" si="257"/>
        <v>12416145.386517435</v>
      </c>
      <c r="HR108" s="135" t="e">
        <f t="shared" si="257"/>
        <v>#REF!</v>
      </c>
      <c r="HS108" s="135">
        <f t="shared" si="257"/>
        <v>3709285.9517225008</v>
      </c>
      <c r="HT108" s="135" t="e">
        <f t="shared" si="257"/>
        <v>#REF!</v>
      </c>
      <c r="HU108" s="135" t="e">
        <f t="shared" si="257"/>
        <v>#DIV/0!</v>
      </c>
      <c r="HV108" s="135">
        <f t="shared" si="257"/>
        <v>5728763.6877000006</v>
      </c>
      <c r="HW108" s="135">
        <f t="shared" si="257"/>
        <v>0</v>
      </c>
      <c r="HX108" s="135">
        <f t="shared" si="257"/>
        <v>2759828.42</v>
      </c>
      <c r="HY108" s="135">
        <f t="shared" si="257"/>
        <v>414154244.60813099</v>
      </c>
    </row>
    <row r="109" spans="1:269" s="3" customFormat="1" ht="14.25" customHeight="1">
      <c r="A109" s="307"/>
      <c r="B109" s="138"/>
      <c r="C109" s="138"/>
      <c r="D109" s="138"/>
      <c r="E109" s="138"/>
      <c r="F109" s="138"/>
      <c r="G109" s="138"/>
      <c r="H109" s="138"/>
      <c r="I109" s="138"/>
      <c r="J109" s="138"/>
      <c r="K109" s="311"/>
      <c r="L109" s="196"/>
      <c r="M109" s="196"/>
      <c r="N109" s="196"/>
      <c r="O109" s="138"/>
      <c r="P109" s="138"/>
      <c r="Q109" s="138"/>
      <c r="R109" s="138"/>
      <c r="S109" s="138"/>
      <c r="T109" s="137"/>
      <c r="U109" s="138"/>
      <c r="V109" s="138"/>
      <c r="W109" s="138"/>
      <c r="X109" s="138"/>
      <c r="Y109" s="138"/>
      <c r="Z109" s="138"/>
      <c r="AA109" s="138"/>
      <c r="AB109" s="138"/>
      <c r="AE109" s="138"/>
      <c r="AF109" s="150"/>
      <c r="AG109" s="150"/>
      <c r="AH109" s="150"/>
      <c r="AI109" s="150"/>
      <c r="AJ109" s="138"/>
      <c r="AK109" s="138"/>
      <c r="AL109" s="138"/>
      <c r="AM109" s="138"/>
      <c r="AN109" s="138"/>
      <c r="AO109" s="138"/>
      <c r="AP109" s="138"/>
      <c r="AQ109" s="138"/>
      <c r="AR109" s="138"/>
      <c r="AS109" s="138"/>
      <c r="AT109" s="139"/>
      <c r="AU109" s="102"/>
      <c r="AV109" s="138"/>
      <c r="AW109" s="138"/>
      <c r="AX109" s="138"/>
      <c r="AY109" s="824"/>
      <c r="AZ109" s="138"/>
      <c r="BA109" s="138"/>
      <c r="BB109" s="138"/>
      <c r="BC109" s="176"/>
      <c r="BD109" s="176"/>
      <c r="BE109" s="176"/>
      <c r="BF109" s="176"/>
      <c r="BG109" s="176"/>
      <c r="BH109" s="176"/>
      <c r="BI109" s="176"/>
      <c r="BJ109" s="176"/>
      <c r="BK109" s="176"/>
      <c r="BL109" s="176"/>
      <c r="BM109" s="176"/>
      <c r="BN109" s="176"/>
      <c r="BO109" s="176"/>
      <c r="BP109" s="176"/>
      <c r="BQ109" s="176"/>
      <c r="BR109" s="176"/>
      <c r="BS109" s="176"/>
      <c r="BT109" s="176"/>
      <c r="BU109" s="176"/>
      <c r="BV109" s="176"/>
      <c r="BW109" s="176"/>
      <c r="BX109" s="176"/>
      <c r="BY109" s="176"/>
      <c r="BZ109" s="176"/>
      <c r="CA109" s="176"/>
      <c r="CB109" s="176"/>
      <c r="CC109" s="176"/>
      <c r="CD109" s="222"/>
      <c r="CE109" s="222"/>
      <c r="CF109" s="176"/>
      <c r="CG109" s="176"/>
      <c r="CH109" s="176"/>
      <c r="CI109" s="176"/>
      <c r="CJ109" s="176"/>
      <c r="CK109" s="599"/>
      <c r="CM109" s="565"/>
      <c r="CN109" s="565"/>
      <c r="CQ109" s="565"/>
      <c r="CS109" s="565"/>
      <c r="CY109" s="565"/>
      <c r="CZ109" s="565"/>
      <c r="DB109" s="138"/>
      <c r="DC109" s="565"/>
      <c r="DD109" s="565"/>
      <c r="DE109" s="565"/>
      <c r="DG109" s="565"/>
      <c r="DH109" s="138"/>
      <c r="DI109" s="138"/>
      <c r="DJ109" s="138"/>
      <c r="DL109" s="229"/>
      <c r="DM109" s="138"/>
      <c r="DN109" s="565"/>
      <c r="DO109" s="565"/>
      <c r="DQ109" s="566"/>
      <c r="DR109" s="566"/>
      <c r="DS109" s="12"/>
      <c r="DT109" s="566"/>
      <c r="DU109" s="566"/>
      <c r="DW109" s="565"/>
      <c r="DX109" s="565"/>
      <c r="DZ109" s="565"/>
      <c r="EA109" s="565"/>
      <c r="EC109" s="565"/>
      <c r="ED109" s="566"/>
      <c r="EE109" s="12"/>
      <c r="EF109" s="566"/>
      <c r="EG109" s="566"/>
      <c r="EH109" s="12"/>
      <c r="EI109" s="566"/>
      <c r="EJ109" s="566"/>
      <c r="EK109" s="566"/>
      <c r="EL109" s="138"/>
      <c r="EM109" s="138"/>
      <c r="EN109" s="138"/>
      <c r="EO109" s="138"/>
      <c r="EP109" s="138"/>
      <c r="EQ109" s="138"/>
      <c r="ER109" s="138"/>
      <c r="ES109" s="138"/>
      <c r="ET109" s="138"/>
      <c r="EU109" s="138"/>
      <c r="EV109" s="335"/>
      <c r="EW109" s="138"/>
      <c r="EX109" s="138"/>
      <c r="EY109" s="138"/>
      <c r="EZ109" s="138"/>
      <c r="FA109" s="591"/>
      <c r="FB109" s="591"/>
      <c r="FC109" s="591"/>
      <c r="FD109" s="591"/>
      <c r="FE109" s="591" t="s">
        <v>876</v>
      </c>
      <c r="FF109" s="591"/>
      <c r="FH109" s="585"/>
      <c r="FI109" s="585"/>
      <c r="FK109" s="138"/>
      <c r="FL109" s="138"/>
      <c r="FM109" s="138"/>
      <c r="FN109" s="138"/>
      <c r="FO109" s="138"/>
      <c r="FP109" s="138"/>
      <c r="FQ109" s="138"/>
      <c r="FR109" s="138"/>
      <c r="FS109" s="138"/>
      <c r="FT109" s="138"/>
      <c r="FU109" s="138"/>
      <c r="FV109" s="138"/>
      <c r="FW109" s="138"/>
      <c r="FX109" s="138"/>
      <c r="FY109" s="138"/>
      <c r="FZ109" s="138"/>
      <c r="GA109" s="138"/>
      <c r="GB109" s="138"/>
      <c r="GC109" s="138"/>
      <c r="GD109" s="138"/>
      <c r="GE109" s="138"/>
      <c r="GF109" s="176"/>
      <c r="GG109" s="616"/>
      <c r="GH109" s="135"/>
      <c r="GI109" s="138"/>
      <c r="GJ109" s="137"/>
      <c r="GK109" s="138"/>
      <c r="GL109" s="138"/>
      <c r="GM109" s="138"/>
      <c r="GN109" s="138"/>
      <c r="GO109" s="138"/>
      <c r="GP109" s="138"/>
      <c r="GQ109" s="138"/>
      <c r="GR109" s="138"/>
      <c r="GS109" s="138"/>
      <c r="GT109" s="138"/>
      <c r="GU109" s="138"/>
      <c r="GV109" s="138"/>
      <c r="GW109" s="138"/>
      <c r="GX109" s="138"/>
      <c r="GY109" s="138"/>
      <c r="GZ109" s="138"/>
      <c r="HA109" s="138"/>
      <c r="HB109" s="643"/>
      <c r="HC109" s="138"/>
      <c r="HD109" s="138"/>
      <c r="HE109" s="138"/>
      <c r="HF109" s="138"/>
      <c r="HG109" s="138"/>
      <c r="HH109" s="138"/>
      <c r="HI109" s="138"/>
      <c r="HJ109" s="138"/>
      <c r="HK109" s="138"/>
      <c r="HL109" s="138"/>
      <c r="HM109" s="138"/>
      <c r="HN109" s="138"/>
      <c r="HO109" s="138"/>
      <c r="HP109" s="140"/>
      <c r="HQ109" s="140"/>
      <c r="HR109" s="140"/>
      <c r="HS109" s="140"/>
      <c r="HT109" s="140"/>
      <c r="HU109" s="140"/>
      <c r="HV109" s="137"/>
      <c r="HW109" s="140"/>
      <c r="HX109" s="140"/>
      <c r="HY109" s="140"/>
    </row>
    <row r="110" spans="1:269" s="3" customFormat="1" ht="19.5" customHeight="1" thickBot="1">
      <c r="A110" s="308"/>
      <c r="B110" s="138"/>
      <c r="C110" s="138"/>
      <c r="D110" s="138"/>
      <c r="E110" s="137"/>
      <c r="F110" s="137"/>
      <c r="G110" s="137"/>
      <c r="H110" s="137"/>
      <c r="I110" s="137"/>
      <c r="J110" s="137"/>
      <c r="K110" s="312"/>
      <c r="L110" s="197"/>
      <c r="M110" s="197"/>
      <c r="N110" s="197"/>
      <c r="T110" s="12"/>
      <c r="AF110" s="150"/>
      <c r="AG110" s="150"/>
      <c r="AH110" s="150"/>
      <c r="AI110" s="150"/>
      <c r="AL110" s="252"/>
      <c r="AN110" s="141"/>
      <c r="AO110" s="141"/>
      <c r="AP110" s="141"/>
      <c r="AQ110" s="141"/>
      <c r="AR110" s="141"/>
      <c r="AT110" s="142"/>
      <c r="AU110" s="41"/>
      <c r="BC110" s="177"/>
      <c r="BD110" s="178"/>
      <c r="BE110" s="177"/>
      <c r="BF110" s="178"/>
      <c r="BG110" s="178"/>
      <c r="BH110" s="177"/>
      <c r="BI110" s="177"/>
      <c r="BJ110" s="177"/>
      <c r="BK110" s="177"/>
      <c r="BL110" s="177"/>
      <c r="BM110" s="177"/>
      <c r="BN110" s="177"/>
      <c r="BO110" s="177"/>
      <c r="BP110" s="177"/>
      <c r="BQ110" s="177"/>
      <c r="BR110" s="177"/>
      <c r="BS110" s="177"/>
      <c r="BT110" s="177"/>
      <c r="BU110" s="177"/>
      <c r="BV110" s="177"/>
      <c r="BW110" s="177"/>
      <c r="BX110" s="177"/>
      <c r="BY110" s="177"/>
      <c r="BZ110" s="177"/>
      <c r="CA110" s="177"/>
      <c r="CB110" s="177"/>
      <c r="CC110" s="177"/>
      <c r="CD110" s="223"/>
      <c r="CE110" s="223"/>
      <c r="CF110" s="177"/>
      <c r="CG110" s="177"/>
      <c r="CH110" s="177"/>
      <c r="CI110" s="177"/>
      <c r="CJ110" s="177"/>
      <c r="CK110" s="600"/>
      <c r="CM110" s="565"/>
      <c r="CN110" s="565"/>
      <c r="CO110" s="282"/>
      <c r="CQ110" s="565"/>
      <c r="CS110" s="565"/>
      <c r="CY110" s="565"/>
      <c r="CZ110" s="565"/>
      <c r="DC110" s="565"/>
      <c r="DD110" s="565"/>
      <c r="DE110" s="565"/>
      <c r="DG110" s="565"/>
      <c r="DL110" s="230"/>
      <c r="DN110" s="565"/>
      <c r="DO110" s="565"/>
      <c r="DP110" s="282"/>
      <c r="DQ110" s="566"/>
      <c r="DR110" s="566"/>
      <c r="DS110" s="12"/>
      <c r="DT110" s="566"/>
      <c r="DU110" s="566"/>
      <c r="DW110" s="565"/>
      <c r="DX110" s="565"/>
      <c r="DZ110" s="565"/>
      <c r="EA110" s="565"/>
      <c r="EC110" s="565"/>
      <c r="ED110" s="566"/>
      <c r="EE110" s="12"/>
      <c r="EF110" s="566"/>
      <c r="EG110" s="566"/>
      <c r="EH110" s="12"/>
      <c r="EI110" s="566"/>
      <c r="EJ110" s="566"/>
      <c r="EK110" s="566"/>
      <c r="EV110" s="336"/>
      <c r="FA110" s="591"/>
      <c r="FB110" s="591"/>
      <c r="FC110" s="591"/>
      <c r="FD110" s="591"/>
      <c r="FE110" s="591"/>
      <c r="FF110" s="591"/>
      <c r="FH110" s="585"/>
      <c r="FI110" s="585"/>
      <c r="GF110" s="177"/>
      <c r="GG110" s="617"/>
      <c r="GJ110" s="12"/>
      <c r="GX110" s="3" t="s">
        <v>376</v>
      </c>
      <c r="GZ110" s="3" t="s">
        <v>168</v>
      </c>
      <c r="HB110" s="644"/>
      <c r="HV110" s="12"/>
      <c r="HY110" s="253"/>
    </row>
    <row r="111" spans="1:269" ht="15.75" thickBot="1">
      <c r="B111" s="137"/>
      <c r="C111" s="836"/>
      <c r="D111" s="137"/>
      <c r="E111" s="137"/>
      <c r="F111" s="137"/>
      <c r="G111" s="137"/>
      <c r="H111" s="137"/>
      <c r="I111" s="137"/>
      <c r="J111" s="837"/>
      <c r="O111" s="143"/>
      <c r="P111" s="143"/>
      <c r="Q111" s="143"/>
      <c r="R111" s="143"/>
      <c r="S111" s="143"/>
      <c r="T111" s="143"/>
      <c r="U111" s="143"/>
      <c r="V111" s="143"/>
      <c r="W111" s="143"/>
      <c r="X111" s="143"/>
      <c r="Y111" s="143"/>
      <c r="Z111" s="143"/>
      <c r="AA111" s="143"/>
      <c r="AB111" s="143"/>
      <c r="AC111" s="23">
        <f>SUBTOTAL(3,Type)</f>
        <v>106</v>
      </c>
      <c r="AD111" s="23">
        <f t="shared" ref="AD111:BJ111" si="258">SUBTOTAL(9,AD2:AD107)</f>
        <v>3922</v>
      </c>
      <c r="AE111" s="23">
        <f t="shared" si="258"/>
        <v>716</v>
      </c>
      <c r="AF111" s="23">
        <f t="shared" si="258"/>
        <v>2035</v>
      </c>
      <c r="AG111" s="23">
        <f t="shared" si="258"/>
        <v>500</v>
      </c>
      <c r="AH111" s="23">
        <f t="shared" si="258"/>
        <v>650</v>
      </c>
      <c r="AI111" s="23">
        <f t="shared" si="258"/>
        <v>43773.48</v>
      </c>
      <c r="AJ111" s="23">
        <f t="shared" si="258"/>
        <v>183885.14799999996</v>
      </c>
      <c r="AK111" s="23">
        <f t="shared" si="258"/>
        <v>48695.590000000004</v>
      </c>
      <c r="AL111" s="23">
        <f t="shared" si="258"/>
        <v>184464.57000000004</v>
      </c>
      <c r="AM111" s="23">
        <f t="shared" si="258"/>
        <v>6846.3374557710267</v>
      </c>
      <c r="AN111" s="23">
        <f t="shared" si="258"/>
        <v>2.2319683868277216</v>
      </c>
      <c r="AO111" s="23">
        <f t="shared" si="258"/>
        <v>18.843626508037406</v>
      </c>
      <c r="AP111" s="23">
        <f t="shared" si="258"/>
        <v>20.846552875424212</v>
      </c>
      <c r="AQ111" s="23">
        <f t="shared" si="258"/>
        <v>17.075531017860083</v>
      </c>
      <c r="AR111" s="23">
        <f t="shared" si="258"/>
        <v>4.0649527907979373</v>
      </c>
      <c r="AS111" s="23">
        <f t="shared" si="258"/>
        <v>36475.32</v>
      </c>
      <c r="AT111" s="23">
        <f t="shared" si="258"/>
        <v>5880.16</v>
      </c>
      <c r="AU111" s="23" t="e">
        <f t="shared" si="258"/>
        <v>#DIV/0!</v>
      </c>
      <c r="AV111" s="23">
        <f t="shared" si="258"/>
        <v>150</v>
      </c>
      <c r="AW111" s="23">
        <f t="shared" si="258"/>
        <v>0</v>
      </c>
      <c r="AX111" s="23">
        <f t="shared" si="258"/>
        <v>0</v>
      </c>
      <c r="AY111" s="691">
        <f t="shared" si="258"/>
        <v>102090326.45199999</v>
      </c>
      <c r="AZ111" s="23">
        <f t="shared" si="258"/>
        <v>389066</v>
      </c>
      <c r="BA111" s="23">
        <f t="shared" si="258"/>
        <v>1425817</v>
      </c>
      <c r="BB111" s="23">
        <f t="shared" si="258"/>
        <v>1899651</v>
      </c>
      <c r="BC111" s="23">
        <f t="shared" si="258"/>
        <v>0</v>
      </c>
      <c r="BD111" s="23">
        <f t="shared" si="258"/>
        <v>0</v>
      </c>
      <c r="BE111" s="23">
        <f t="shared" si="258"/>
        <v>755000</v>
      </c>
      <c r="BF111" s="23">
        <f t="shared" si="258"/>
        <v>2975856</v>
      </c>
      <c r="BG111" s="23">
        <f t="shared" si="258"/>
        <v>810424</v>
      </c>
      <c r="BH111" s="23">
        <f t="shared" si="258"/>
        <v>964733</v>
      </c>
      <c r="BI111" s="23">
        <f t="shared" si="258"/>
        <v>1502896</v>
      </c>
      <c r="BJ111" s="23">
        <f t="shared" si="258"/>
        <v>383108</v>
      </c>
      <c r="BK111" s="177"/>
      <c r="BL111" s="177"/>
      <c r="BM111" s="23">
        <f>SUBTOTAL(9,BM2:BM107)</f>
        <v>2397145</v>
      </c>
      <c r="BN111" s="23">
        <f>SUBTOTAL(9,BN2:BN107)</f>
        <v>937145</v>
      </c>
      <c r="BO111" s="177"/>
      <c r="BP111" s="177"/>
      <c r="BQ111" s="691">
        <f t="shared" ref="BQ111:DG111" si="259">SUBTOTAL(9,BQ2:BQ107)</f>
        <v>2964393</v>
      </c>
      <c r="BR111" s="691">
        <f t="shared" si="259"/>
        <v>1485558.35</v>
      </c>
      <c r="BS111" s="23">
        <f t="shared" si="259"/>
        <v>0</v>
      </c>
      <c r="BT111" s="23" t="e">
        <f t="shared" si="259"/>
        <v>#NUM!</v>
      </c>
      <c r="BU111" s="691" t="e">
        <f t="shared" si="259"/>
        <v>#NUM!</v>
      </c>
      <c r="BV111" s="691" t="e">
        <f t="shared" si="259"/>
        <v>#NUM!</v>
      </c>
      <c r="BW111" s="23">
        <f t="shared" si="259"/>
        <v>427645</v>
      </c>
      <c r="BX111" s="23">
        <f t="shared" si="259"/>
        <v>210858</v>
      </c>
      <c r="BY111" s="23">
        <f t="shared" si="259"/>
        <v>342887</v>
      </c>
      <c r="BZ111" s="23">
        <f t="shared" si="259"/>
        <v>256660</v>
      </c>
      <c r="CA111" s="23">
        <f t="shared" si="259"/>
        <v>469385</v>
      </c>
      <c r="CB111" s="23">
        <f t="shared" si="259"/>
        <v>342398</v>
      </c>
      <c r="CC111" s="23">
        <f t="shared" si="259"/>
        <v>0</v>
      </c>
      <c r="CD111" s="23">
        <f t="shared" si="259"/>
        <v>1841017</v>
      </c>
      <c r="CE111" s="23">
        <f t="shared" si="259"/>
        <v>42548</v>
      </c>
      <c r="CF111" s="23">
        <f t="shared" si="259"/>
        <v>248382840.64444664</v>
      </c>
      <c r="CG111" s="23">
        <f t="shared" si="259"/>
        <v>1569484</v>
      </c>
      <c r="CH111" s="23">
        <f t="shared" si="259"/>
        <v>1493110</v>
      </c>
      <c r="CI111" s="23">
        <f t="shared" si="259"/>
        <v>1852805</v>
      </c>
      <c r="CJ111" s="23">
        <f t="shared" si="259"/>
        <v>1704153</v>
      </c>
      <c r="CK111" s="23" t="e">
        <f t="shared" si="259"/>
        <v>#NUM!</v>
      </c>
      <c r="CL111" s="23">
        <f t="shared" si="259"/>
        <v>1479350</v>
      </c>
      <c r="CM111" s="23">
        <f t="shared" si="259"/>
        <v>1137733</v>
      </c>
      <c r="CN111" s="23">
        <f t="shared" si="259"/>
        <v>1095227</v>
      </c>
      <c r="CO111" s="23">
        <f t="shared" si="259"/>
        <v>645</v>
      </c>
      <c r="CP111" s="23">
        <f t="shared" si="259"/>
        <v>1826386</v>
      </c>
      <c r="CQ111" s="23">
        <f t="shared" ca="1" si="259"/>
        <v>1828733</v>
      </c>
      <c r="CR111" s="23">
        <f t="shared" ca="1" si="259"/>
        <v>2347</v>
      </c>
      <c r="CS111" s="23">
        <f t="shared" si="259"/>
        <v>1571089</v>
      </c>
      <c r="CT111" s="23">
        <f t="shared" ca="1" si="259"/>
        <v>1574304</v>
      </c>
      <c r="CU111" s="23">
        <f t="shared" ca="1" si="259"/>
        <v>3215</v>
      </c>
      <c r="CV111" s="23">
        <f t="shared" si="259"/>
        <v>1574499</v>
      </c>
      <c r="CW111" s="23">
        <f t="shared" ca="1" si="259"/>
        <v>1581679</v>
      </c>
      <c r="CX111" s="23">
        <f t="shared" ca="1" si="259"/>
        <v>7180</v>
      </c>
      <c r="CY111" s="23">
        <f t="shared" si="259"/>
        <v>1538639</v>
      </c>
      <c r="CZ111" s="23">
        <f t="shared" ca="1" si="259"/>
        <v>1586273</v>
      </c>
      <c r="DA111" s="23">
        <f t="shared" ca="1" si="259"/>
        <v>4302</v>
      </c>
      <c r="DB111" s="23">
        <f t="shared" si="259"/>
        <v>0</v>
      </c>
      <c r="DC111" s="23">
        <f t="shared" si="259"/>
        <v>1158013</v>
      </c>
      <c r="DD111" s="23">
        <f t="shared" si="259"/>
        <v>1679215</v>
      </c>
      <c r="DE111" s="23">
        <f t="shared" ca="1" si="259"/>
        <v>1728452</v>
      </c>
      <c r="DF111" s="23">
        <f t="shared" ca="1" si="259"/>
        <v>5905</v>
      </c>
      <c r="DG111" s="23">
        <f t="shared" si="259"/>
        <v>1853695</v>
      </c>
      <c r="DH111" s="3"/>
      <c r="DI111" s="3"/>
      <c r="DJ111" s="3"/>
      <c r="DK111" s="3"/>
      <c r="DL111" s="230"/>
      <c r="DM111" s="3"/>
      <c r="DN111" s="565"/>
      <c r="DO111" s="565"/>
      <c r="DP111" s="282"/>
      <c r="DV111" s="3"/>
      <c r="DW111" s="565"/>
      <c r="DX111" s="565"/>
      <c r="DY111" s="3"/>
      <c r="DZ111" s="565"/>
      <c r="EA111" s="565"/>
      <c r="EB111" s="3"/>
      <c r="EC111" s="565"/>
      <c r="EF111" s="566"/>
      <c r="EG111" s="566"/>
      <c r="EH111" s="12"/>
      <c r="EI111" s="566"/>
      <c r="EJ111" s="566"/>
      <c r="EK111" s="566"/>
      <c r="EL111" s="3"/>
      <c r="EM111" s="3"/>
      <c r="EN111" s="731">
        <f>SUBTOTAL(101,EN4:EN105)</f>
        <v>4.5836601307189575</v>
      </c>
      <c r="EO111" s="3"/>
      <c r="EP111" s="3"/>
      <c r="EQ111" s="3"/>
      <c r="ER111" s="3"/>
      <c r="ES111" s="3"/>
      <c r="ET111" s="137"/>
      <c r="EU111" s="3"/>
      <c r="EV111" s="336"/>
      <c r="EW111" s="731">
        <f>SUBTOTAL(101,EW4:EW105)</f>
        <v>5.1084967320261434</v>
      </c>
      <c r="EX111" s="3"/>
      <c r="EY111" s="691">
        <f>SUBTOTAL(9,EY2:EY107)</f>
        <v>6133504.752621308</v>
      </c>
      <c r="EZ111" s="3"/>
      <c r="FA111" s="810">
        <f>SUBTOTAL(9,FA2:FA107)</f>
        <v>1219021</v>
      </c>
      <c r="FB111" s="810">
        <f>SUBTOTAL(9,FB2:FB107)</f>
        <v>2759828.67</v>
      </c>
      <c r="FK111" s="3"/>
      <c r="FL111" s="3"/>
      <c r="FM111" s="3"/>
      <c r="FN111" s="3"/>
      <c r="FO111" s="3"/>
      <c r="FP111" s="3"/>
      <c r="FQ111" s="3"/>
      <c r="FR111" s="23">
        <f t="shared" ref="FR111:GE111" si="260">SUBTOTAL(9,FR2:FR107)</f>
        <v>1936734.28</v>
      </c>
      <c r="FS111" s="23">
        <f t="shared" si="260"/>
        <v>809797</v>
      </c>
      <c r="FT111" s="23">
        <f t="shared" si="260"/>
        <v>853457</v>
      </c>
      <c r="FU111" s="23">
        <f t="shared" si="260"/>
        <v>294579</v>
      </c>
      <c r="FV111" s="23">
        <f t="shared" si="260"/>
        <v>465393</v>
      </c>
      <c r="FW111" s="23">
        <f t="shared" si="260"/>
        <v>472584</v>
      </c>
      <c r="FX111" s="23">
        <f t="shared" si="260"/>
        <v>0</v>
      </c>
      <c r="FY111" s="23">
        <f t="shared" si="260"/>
        <v>299184</v>
      </c>
      <c r="FZ111" s="23">
        <f t="shared" si="260"/>
        <v>510990</v>
      </c>
      <c r="GA111" s="23">
        <f t="shared" si="260"/>
        <v>42851</v>
      </c>
      <c r="GB111" s="23">
        <f t="shared" si="260"/>
        <v>731438</v>
      </c>
      <c r="GC111" s="23">
        <f t="shared" si="260"/>
        <v>43139</v>
      </c>
      <c r="GD111" s="23">
        <f t="shared" si="260"/>
        <v>299112</v>
      </c>
      <c r="GE111" s="23">
        <f t="shared" si="260"/>
        <v>42424</v>
      </c>
      <c r="GH111" s="145"/>
      <c r="GK111" s="145"/>
      <c r="GL111" s="145"/>
      <c r="GR111" s="145"/>
      <c r="HD111" s="146"/>
      <c r="HE111" s="146"/>
      <c r="HF111" s="12"/>
      <c r="HG111" s="12"/>
      <c r="HH111" s="12"/>
      <c r="HI111" s="12"/>
      <c r="HJ111" s="12"/>
      <c r="HK111" s="12"/>
      <c r="HL111" s="12"/>
    </row>
    <row r="112" spans="1:269" ht="15.75" thickBot="1">
      <c r="B112" s="137"/>
      <c r="C112" s="137"/>
      <c r="D112" s="137"/>
      <c r="E112" s="137"/>
      <c r="F112" s="137"/>
      <c r="G112" s="137"/>
      <c r="H112" s="137"/>
      <c r="I112" s="137"/>
      <c r="J112" s="137"/>
      <c r="AE112" s="23">
        <f t="shared" ref="AE112:AK112" si="261">SUBTOTAL(9,AE2:AE107)</f>
        <v>716</v>
      </c>
      <c r="AF112" s="23">
        <f t="shared" si="261"/>
        <v>2035</v>
      </c>
      <c r="AG112" s="23">
        <f t="shared" si="261"/>
        <v>500</v>
      </c>
      <c r="AH112" s="23">
        <f t="shared" si="261"/>
        <v>650</v>
      </c>
      <c r="AI112" s="691">
        <f t="shared" si="261"/>
        <v>43773.48</v>
      </c>
      <c r="AJ112" s="691">
        <f t="shared" si="261"/>
        <v>183885.14799999996</v>
      </c>
      <c r="AK112" s="691">
        <f t="shared" si="261"/>
        <v>48695.590000000004</v>
      </c>
      <c r="AL112" s="691">
        <f>SUBTOTAL(9,AL23:AL107)</f>
        <v>138392.81999999998</v>
      </c>
      <c r="AM112" s="81">
        <f>AL112/AD111</f>
        <v>35.286287608363075</v>
      </c>
      <c r="BK112" s="177"/>
      <c r="BL112" s="177"/>
      <c r="BO112" s="177"/>
      <c r="BP112" s="177"/>
      <c r="CF112" s="226"/>
      <c r="CG112" s="180">
        <f>SUBTOTAL(9,CG24:CG36)</f>
        <v>551167</v>
      </c>
      <c r="CH112" s="180"/>
      <c r="CI112" s="180"/>
      <c r="CJ112" s="180"/>
      <c r="CK112" s="602"/>
      <c r="DH112" s="3"/>
      <c r="DI112" s="3"/>
      <c r="DJ112" s="3"/>
      <c r="DK112" s="3"/>
      <c r="DL112" s="230"/>
      <c r="DM112" s="3"/>
      <c r="DN112" s="565"/>
      <c r="DO112" s="565"/>
      <c r="DP112" s="282"/>
      <c r="DV112" s="3"/>
      <c r="DW112" s="565"/>
      <c r="DX112" s="565"/>
      <c r="DY112" s="3"/>
      <c r="DZ112" s="565"/>
      <c r="EA112" s="565"/>
      <c r="EB112" s="3"/>
      <c r="EC112" s="565"/>
      <c r="EF112" s="566"/>
      <c r="EG112" s="566"/>
      <c r="EH112" s="12"/>
      <c r="EI112" s="566"/>
      <c r="EJ112" s="566"/>
      <c r="EK112" s="566"/>
      <c r="EL112" s="3"/>
      <c r="EM112" s="3"/>
      <c r="EO112" s="3"/>
      <c r="EP112" s="3"/>
      <c r="EQ112" s="3"/>
      <c r="ER112" s="3"/>
      <c r="ES112" s="3"/>
      <c r="EU112" s="3"/>
      <c r="EV112" s="336"/>
      <c r="EW112" s="3"/>
      <c r="EX112" s="3"/>
      <c r="EZ112" s="3"/>
      <c r="FK112" s="3"/>
      <c r="FL112" s="3"/>
      <c r="FM112" s="3"/>
      <c r="FN112" s="3"/>
      <c r="FO112" s="3"/>
      <c r="FP112" s="3"/>
      <c r="FQ112" s="3"/>
      <c r="GH112" s="24">
        <f>SUBTOTAL(9,GH2:GH107)</f>
        <v>381692593.3700006</v>
      </c>
      <c r="GI112" s="24">
        <f>SUBTOTAL(9,GI2:GI107)</f>
        <v>359557522.67500001</v>
      </c>
      <c r="GJ112" s="146">
        <f>SUBTOTAL(9,GJ23:GJ107)</f>
        <v>-22483467.110889103</v>
      </c>
      <c r="GK112" s="24">
        <f>GI112/AL112</f>
        <v>2598.0937643658108</v>
      </c>
      <c r="GL112" s="24">
        <f>GI112/AD111</f>
        <v>91677.08380290668</v>
      </c>
      <c r="GM112" s="24">
        <f>SUBTOTAL(9,GM2:GM107)</f>
        <v>215802778.61681253</v>
      </c>
      <c r="GN112" s="24">
        <f>SUBTOTAL(9,GN2:GN107)</f>
        <v>174981805.04301569</v>
      </c>
      <c r="GO112" s="146">
        <f>GM112-GN112</f>
        <v>40820973.573796839</v>
      </c>
      <c r="GP112" s="146"/>
      <c r="GQ112" s="146"/>
      <c r="GR112" s="24">
        <f>SUBTOTAL(9,GR2:GR107)</f>
        <v>106630880.35260479</v>
      </c>
      <c r="GS112" s="24">
        <f>SUBTOTAL(9,GS2:GS107)</f>
        <v>104351520.31999999</v>
      </c>
      <c r="GT112" s="24"/>
      <c r="GU112" s="24">
        <f>+GS112/AD111</f>
        <v>26606.710943396225</v>
      </c>
      <c r="GV112" s="146">
        <f>GS112-GR112</f>
        <v>-2279360.0326047987</v>
      </c>
      <c r="GW112" s="24">
        <f>SUBTOTAL(9,GW2:GW107)</f>
        <v>226833284.53865236</v>
      </c>
      <c r="GX112" s="24">
        <f>SUBTOTAL(9,GX2:GX107)</f>
        <v>202349389.20499998</v>
      </c>
      <c r="GY112" s="48">
        <f>SUBTOTAL(9,GY2:GY107)</f>
        <v>39482527.799999997</v>
      </c>
      <c r="GZ112" s="48">
        <f>SUBTOTAL(9,GZ2:GZ107)</f>
        <v>153711590.02500004</v>
      </c>
      <c r="HA112" s="146">
        <f>SUBTOTAL(9,HA23:HA107)</f>
        <v>-20945537.333652351</v>
      </c>
      <c r="HB112" s="646">
        <f>GX112/AD111</f>
        <v>51593.418971188163</v>
      </c>
      <c r="HC112" s="146"/>
      <c r="HD112" s="24">
        <f>SUBTOTAL(9,HD2:HD107)</f>
        <v>38677573</v>
      </c>
      <c r="HE112" s="24">
        <f>SUBTOTAL(9,HE2:HE107)</f>
        <v>35044234</v>
      </c>
      <c r="HF112" s="24">
        <f>SUBTOTAL(9,HF2:HF107)</f>
        <v>964500</v>
      </c>
      <c r="HG112" s="12"/>
      <c r="HH112" s="24">
        <f>SUBTOTAL(9,HH2:HH107)</f>
        <v>5590346</v>
      </c>
      <c r="HI112" s="24">
        <f>SUBTOTAL(9,HI2:HI107)</f>
        <v>5323141.7299999995</v>
      </c>
      <c r="HJ112" s="24">
        <f>SUBTOTAL(9,HJ2:HJ107)</f>
        <v>-3272299</v>
      </c>
      <c r="HK112" s="24">
        <f>+HD112/AD111</f>
        <v>9861.6963284038757</v>
      </c>
      <c r="HL112" s="24">
        <f>(GS112+HE112)/AD111</f>
        <v>35542.007730749618</v>
      </c>
      <c r="HM112" s="25">
        <f>+HE112/AE112</f>
        <v>48944.460893854746</v>
      </c>
      <c r="HN112" s="25"/>
      <c r="HO112" s="25"/>
      <c r="HP112" s="24">
        <f>SUBTOTAL(9,HP2:HP107)</f>
        <v>25175794.004462007</v>
      </c>
      <c r="HQ112" s="24">
        <f>SUBTOTAL(9,HQ2:HQ107)</f>
        <v>12416145.386517435</v>
      </c>
      <c r="HR112" s="26">
        <f>(GS112+HE112+HQ112)/AD111</f>
        <v>38707.776569739275</v>
      </c>
      <c r="HS112" s="24">
        <f>SUBTOTAL(9,HS2:HS107)</f>
        <v>3709285.9517225008</v>
      </c>
      <c r="HT112" s="24">
        <f>(GS112+HE112+HQ112+HS112)/AD111</f>
        <v>39653.540453401307</v>
      </c>
      <c r="HU112" s="27"/>
      <c r="HV112" s="27">
        <f>SUBTOTAL(9,HV2:HV107)</f>
        <v>5728763.6877000006</v>
      </c>
      <c r="HW112" s="24">
        <f>SUBTOTAL(9,HW2:HW107)</f>
        <v>0</v>
      </c>
      <c r="HX112" s="24">
        <f>SUBTOTAL(9,HX2:HX107)</f>
        <v>2759828.42</v>
      </c>
      <c r="HY112" s="12">
        <f>SUBTOTAL(9,HY24:HY36)</f>
        <v>89018846.265458733</v>
      </c>
    </row>
    <row r="113" spans="1:235" ht="15.75" thickBot="1">
      <c r="B113" s="137"/>
      <c r="C113" s="137"/>
      <c r="D113" s="137"/>
      <c r="E113" s="137"/>
      <c r="F113" s="137"/>
      <c r="G113" s="137"/>
      <c r="H113" s="137"/>
      <c r="I113" s="137">
        <f>175*6500</f>
        <v>1137500</v>
      </c>
      <c r="J113" s="137"/>
      <c r="O113" s="137"/>
      <c r="T113" s="12">
        <f>4599916/AD111</f>
        <v>1172.8495665476798</v>
      </c>
      <c r="AE113" s="28">
        <f>AE112/$AD$111</f>
        <v>0.18255991840897501</v>
      </c>
      <c r="AF113" s="28">
        <f>AF112/$AD$111</f>
        <v>0.51886792452830188</v>
      </c>
      <c r="AG113" s="28"/>
      <c r="AH113" s="28"/>
      <c r="AI113" s="28"/>
      <c r="BK113" s="177"/>
      <c r="BL113" s="177"/>
      <c r="BO113" s="177"/>
      <c r="BP113" s="177"/>
      <c r="DL113" s="230"/>
      <c r="DM113" s="3"/>
      <c r="EF113" s="566"/>
      <c r="EG113" s="566"/>
      <c r="EH113" s="12"/>
      <c r="EI113" s="566"/>
      <c r="EJ113" s="566"/>
      <c r="EK113" s="566"/>
      <c r="EO113" s="3"/>
      <c r="EP113" s="3"/>
      <c r="ER113" s="3"/>
      <c r="ES113" s="3"/>
      <c r="GR113" s="28">
        <f>GR112/GH112</f>
        <v>0.27936324205599722</v>
      </c>
      <c r="HD113" s="28">
        <f>HD112/GH112</f>
        <v>0.10133173572615593</v>
      </c>
      <c r="HE113" s="146"/>
      <c r="HF113" s="146"/>
      <c r="HG113" s="12"/>
      <c r="HH113" s="12"/>
      <c r="HI113" s="12"/>
      <c r="HJ113" s="12"/>
      <c r="HK113" s="12"/>
      <c r="HL113" s="12"/>
      <c r="HW113" s="38"/>
    </row>
    <row r="114" spans="1:235" ht="15.75" thickBot="1">
      <c r="C114" s="137"/>
      <c r="D114" s="137"/>
      <c r="E114" s="137"/>
      <c r="F114" s="137"/>
      <c r="G114" s="137"/>
      <c r="H114" s="137">
        <f>COUNTA(Avancement)</f>
        <v>106</v>
      </c>
      <c r="I114" s="137"/>
      <c r="J114" s="137"/>
      <c r="O114" s="137"/>
      <c r="Y114" s="12" t="s">
        <v>566</v>
      </c>
      <c r="AD114" s="319">
        <f>SUM(Nlgts)</f>
        <v>3922</v>
      </c>
      <c r="AT114" s="12"/>
      <c r="AU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231"/>
      <c r="DL114" s="230"/>
      <c r="DM114" s="3"/>
      <c r="EF114" s="566"/>
      <c r="EG114" s="566"/>
      <c r="EH114" s="12"/>
      <c r="EI114" s="566"/>
      <c r="EJ114" s="566"/>
      <c r="EK114" s="566"/>
      <c r="GF114" s="12"/>
      <c r="GG114" s="620"/>
      <c r="GW114" s="145"/>
      <c r="HE114" s="294"/>
      <c r="HF114" s="65"/>
      <c r="HG114" s="67"/>
      <c r="HH114" s="67"/>
      <c r="HI114" s="12"/>
      <c r="HJ114" s="12"/>
      <c r="HK114" s="66"/>
      <c r="HL114" s="66"/>
      <c r="HW114" s="38"/>
      <c r="HZ114" s="197"/>
      <c r="IA114" s="197"/>
    </row>
    <row r="115" spans="1:235" ht="34.15" customHeight="1">
      <c r="A115" s="340"/>
      <c r="B115" s="147"/>
      <c r="G115" s="12">
        <f>AD111+55</f>
        <v>3977</v>
      </c>
      <c r="O115" s="137"/>
      <c r="W115" s="12">
        <f>O43/AF115</f>
        <v>227.01323307673994</v>
      </c>
      <c r="X115" s="12">
        <f>Y115/W43</f>
        <v>12.48757360250822</v>
      </c>
      <c r="Y115" s="12">
        <v>3550</v>
      </c>
      <c r="AE115" s="28"/>
      <c r="AF115" s="5">
        <f>AL115/AM115</f>
        <v>57.604571428571433</v>
      </c>
      <c r="AG115" s="133"/>
      <c r="AH115" s="133"/>
      <c r="AI115" s="133"/>
      <c r="AL115" s="357">
        <f>AL43</f>
        <v>4032.32</v>
      </c>
      <c r="AM115" s="12">
        <v>70</v>
      </c>
      <c r="EF115" s="566"/>
      <c r="EG115" s="566"/>
      <c r="EH115" s="12"/>
      <c r="EI115" s="566"/>
      <c r="EJ115" s="566"/>
      <c r="EK115" s="566"/>
      <c r="EM115" s="231"/>
      <c r="EO115" s="231"/>
      <c r="GH115" s="146"/>
      <c r="GI115" s="145">
        <f>GI112*1.2944%</f>
        <v>4654112.5735052004</v>
      </c>
      <c r="HD115" s="70" t="s">
        <v>351</v>
      </c>
      <c r="HH115" s="71">
        <f>SUBTOTAL(9,HH116:HH117)</f>
        <v>5521553</v>
      </c>
      <c r="HI115" s="71">
        <f>SUBTOTAL(9,HI116:HI117)</f>
        <v>358</v>
      </c>
      <c r="HK115" s="249">
        <f t="shared" ref="HK115:HK122" si="262">HH115/HI115</f>
        <v>15423.332402234637</v>
      </c>
      <c r="HL115" s="66"/>
      <c r="HW115" s="38"/>
      <c r="HX115" s="146"/>
    </row>
    <row r="116" spans="1:235" ht="15.75" thickBot="1">
      <c r="O116" s="137"/>
      <c r="X116" s="12">
        <f>Y115/W115</f>
        <v>15.637854903374519</v>
      </c>
      <c r="AD116" s="12">
        <f>196+69</f>
        <v>265</v>
      </c>
      <c r="AE116" s="28"/>
      <c r="AF116" s="28"/>
      <c r="AG116" s="28"/>
      <c r="AH116" s="28"/>
      <c r="AI116" s="28"/>
      <c r="EF116" s="566"/>
      <c r="EG116" s="566"/>
      <c r="EH116" s="12"/>
      <c r="EI116" s="566"/>
      <c r="EJ116" s="566"/>
      <c r="EK116" s="566"/>
      <c r="EM116" s="231"/>
      <c r="EO116" s="231"/>
      <c r="GH116" s="146"/>
      <c r="GI116" s="12">
        <f>GI112*1.204232%</f>
        <v>4329906.7464596061</v>
      </c>
      <c r="HD116" s="12" t="s">
        <v>349</v>
      </c>
      <c r="HH116" s="146">
        <v>4441553</v>
      </c>
      <c r="HI116" s="146">
        <v>304</v>
      </c>
      <c r="HK116" s="250">
        <f t="shared" si="262"/>
        <v>14610.371710526315</v>
      </c>
      <c r="HL116" s="12"/>
      <c r="HW116" s="38"/>
    </row>
    <row r="117" spans="1:235" ht="15.75" thickBot="1">
      <c r="A117" s="341"/>
      <c r="D117" s="148"/>
      <c r="O117" s="137"/>
      <c r="AD117" s="231"/>
      <c r="AE117" s="231"/>
      <c r="AF117" s="231"/>
      <c r="AG117" s="231"/>
      <c r="EF117" s="566"/>
      <c r="EG117" s="566"/>
      <c r="EH117" s="12"/>
      <c r="EI117" s="566"/>
      <c r="EJ117" s="566"/>
      <c r="EK117" s="566"/>
      <c r="GD117" s="178"/>
      <c r="GE117" s="178"/>
      <c r="GF117" s="12"/>
      <c r="GG117" s="620"/>
      <c r="GI117" s="145">
        <f>GI115-GI116</f>
        <v>324205.82704559434</v>
      </c>
      <c r="HD117" s="12" t="s">
        <v>350</v>
      </c>
      <c r="HH117" s="12">
        <v>1080000</v>
      </c>
      <c r="HI117" s="248">
        <v>54</v>
      </c>
      <c r="HK117" s="250">
        <f t="shared" si="262"/>
        <v>20000</v>
      </c>
      <c r="HL117" s="12"/>
    </row>
    <row r="118" spans="1:235" ht="26.45" customHeight="1">
      <c r="O118" s="843"/>
      <c r="P118" s="149" t="s">
        <v>58</v>
      </c>
      <c r="R118" s="148"/>
      <c r="AC118" s="144"/>
      <c r="AD118" s="28"/>
      <c r="AT118" s="12"/>
      <c r="AU118" s="12"/>
      <c r="BK118" s="179"/>
      <c r="BL118" s="179"/>
      <c r="BM118" s="179"/>
      <c r="BN118" s="179"/>
      <c r="BO118" s="179"/>
      <c r="BP118" s="179"/>
      <c r="BQ118" s="179"/>
      <c r="BR118" s="179"/>
      <c r="BS118" s="179"/>
      <c r="BT118" s="179"/>
      <c r="BU118" s="179"/>
      <c r="BV118" s="179"/>
      <c r="BW118" s="179"/>
      <c r="CB118" s="178"/>
      <c r="EF118" s="566"/>
      <c r="EG118" s="566"/>
      <c r="EH118" s="12"/>
      <c r="EI118" s="566"/>
      <c r="EJ118" s="566"/>
      <c r="EK118" s="566"/>
      <c r="GD118" s="178"/>
      <c r="GE118" s="178"/>
      <c r="GF118" s="12"/>
      <c r="GG118" s="620"/>
      <c r="GO118" s="72"/>
      <c r="GP118" s="72"/>
      <c r="GQ118" s="65"/>
      <c r="GR118" s="67"/>
      <c r="GV118" s="66"/>
      <c r="GW118" s="66"/>
      <c r="HD118" s="70" t="s">
        <v>348</v>
      </c>
      <c r="HH118" s="71">
        <f>SUBTOTAL(9,HH119:HH120)</f>
        <v>6045000</v>
      </c>
      <c r="HI118" s="71">
        <f>SUBTOTAL(9,HI119:HI120)</f>
        <v>366</v>
      </c>
      <c r="HK118" s="249">
        <f t="shared" si="262"/>
        <v>16516.39344262295</v>
      </c>
      <c r="HL118" s="249">
        <f>376*HK119</f>
        <v>5925458.1939799329</v>
      </c>
    </row>
    <row r="119" spans="1:235" ht="15.75" thickBot="1">
      <c r="C119" s="137"/>
      <c r="D119" s="137"/>
      <c r="E119" s="137"/>
      <c r="H119" s="137"/>
      <c r="I119" s="137"/>
      <c r="O119" s="145"/>
      <c r="P119" s="145" t="e">
        <f>SUMPRODUCT((Ville=A201)*($HD$4:$HD$107))</f>
        <v>#N/A</v>
      </c>
      <c r="R119" s="148"/>
      <c r="AC119" s="144"/>
      <c r="AD119" s="28"/>
      <c r="AT119" s="12"/>
      <c r="AU119" s="12"/>
      <c r="BK119" s="179"/>
      <c r="BL119" s="179"/>
      <c r="BM119" s="179"/>
      <c r="BN119" s="179"/>
      <c r="BO119" s="179"/>
      <c r="BP119" s="179"/>
      <c r="BQ119" s="179"/>
      <c r="BR119" s="179"/>
      <c r="BS119" s="179"/>
      <c r="BT119" s="179"/>
      <c r="BU119" s="179"/>
      <c r="BV119" s="179"/>
      <c r="BW119" s="179"/>
      <c r="CB119" s="178"/>
      <c r="CP119" s="772">
        <v>43251</v>
      </c>
      <c r="CQ119" s="769">
        <v>15</v>
      </c>
      <c r="CR119" s="772">
        <f>DATE(YEAR(CP119),MONTH(CP119),DAY(CP119)+15)</f>
        <v>43266</v>
      </c>
      <c r="EF119" s="566"/>
      <c r="EG119" s="566"/>
      <c r="EH119" s="12"/>
      <c r="EI119" s="566"/>
      <c r="EJ119" s="566"/>
      <c r="EK119" s="566"/>
      <c r="GD119" s="178"/>
      <c r="GE119" s="178"/>
      <c r="GF119" s="12"/>
      <c r="GG119" s="620"/>
      <c r="GM119" s="145"/>
      <c r="GN119" s="145"/>
      <c r="GO119" s="29"/>
      <c r="GP119" s="29"/>
      <c r="GQ119" s="29"/>
      <c r="HD119" s="12" t="s">
        <v>349</v>
      </c>
      <c r="HH119" s="146">
        <v>4712000</v>
      </c>
      <c r="HI119" s="12">
        <v>299</v>
      </c>
      <c r="HK119" s="250">
        <f t="shared" si="262"/>
        <v>15759.197324414716</v>
      </c>
      <c r="HL119" s="12"/>
    </row>
    <row r="120" spans="1:235" ht="15.75" thickBot="1">
      <c r="B120" s="137"/>
      <c r="C120" s="137"/>
      <c r="D120" s="137"/>
      <c r="E120" s="137" t="s">
        <v>168</v>
      </c>
      <c r="H120" s="137"/>
      <c r="I120" s="137"/>
      <c r="O120" s="145"/>
      <c r="P120" s="145" t="e">
        <f>SUMPRODUCT((Ville=A202)*($HD$4:$HD$107))</f>
        <v>#N/A</v>
      </c>
      <c r="AC120" s="144"/>
      <c r="AD120" s="28"/>
      <c r="AT120" s="12"/>
      <c r="AU120" s="12"/>
      <c r="BK120" s="179"/>
      <c r="BL120" s="179"/>
      <c r="BM120" s="179"/>
      <c r="BN120" s="179"/>
      <c r="BO120" s="179"/>
      <c r="BP120" s="179"/>
      <c r="BQ120" s="179"/>
      <c r="BR120" s="179"/>
      <c r="BS120" s="179"/>
      <c r="BT120" s="179"/>
      <c r="BU120" s="179"/>
      <c r="BV120" s="179"/>
      <c r="BW120" s="179"/>
      <c r="CB120" s="178"/>
      <c r="EF120" s="566"/>
      <c r="EG120" s="566"/>
      <c r="EH120" s="12"/>
      <c r="EI120" s="566"/>
      <c r="EJ120" s="566"/>
      <c r="EK120" s="566"/>
      <c r="GD120" s="178"/>
      <c r="GE120" s="178"/>
      <c r="GF120" s="12"/>
      <c r="GG120" s="620"/>
      <c r="GO120" s="29"/>
      <c r="GP120" s="29"/>
      <c r="GQ120" s="29"/>
      <c r="HD120" s="12" t="s">
        <v>350</v>
      </c>
      <c r="HH120" s="146">
        <v>1333000</v>
      </c>
      <c r="HI120" s="12">
        <v>67</v>
      </c>
      <c r="HK120" s="250">
        <f t="shared" si="262"/>
        <v>19895.5223880597</v>
      </c>
      <c r="HL120" s="12"/>
    </row>
    <row r="121" spans="1:235" ht="28.5" customHeight="1">
      <c r="B121" s="137"/>
      <c r="C121" s="137"/>
      <c r="D121" s="137"/>
      <c r="E121" s="137"/>
      <c r="H121" s="137"/>
      <c r="I121" s="137"/>
      <c r="O121" s="145"/>
      <c r="P121" s="145" t="e">
        <f>SUMPRODUCT((Ville=A203)*($HD$4:$HD$107))</f>
        <v>#N/A</v>
      </c>
      <c r="AC121" s="144"/>
      <c r="AD121" s="28"/>
      <c r="AT121" s="12"/>
      <c r="AU121" s="12"/>
      <c r="BK121" s="179"/>
      <c r="BL121" s="179"/>
      <c r="BM121" s="179"/>
      <c r="BN121" s="179"/>
      <c r="BO121" s="179"/>
      <c r="BP121" s="179"/>
      <c r="BQ121" s="179"/>
      <c r="BR121" s="179"/>
      <c r="BS121" s="179"/>
      <c r="BT121" s="179"/>
      <c r="BU121" s="179"/>
      <c r="BV121" s="179"/>
      <c r="BW121" s="179"/>
      <c r="CB121" s="178"/>
      <c r="EF121" s="566"/>
      <c r="EG121" s="566"/>
      <c r="EH121" s="12"/>
      <c r="EI121" s="566"/>
      <c r="EJ121" s="566"/>
      <c r="EK121" s="566"/>
      <c r="GD121" s="178"/>
      <c r="GE121" s="178"/>
      <c r="GF121" s="12"/>
      <c r="GG121" s="620"/>
      <c r="GO121" s="145"/>
      <c r="GP121" s="145"/>
      <c r="GQ121" s="145"/>
      <c r="HD121" s="70" t="s">
        <v>473</v>
      </c>
      <c r="HH121" s="71">
        <f>SUBTOTAL(9,HH122:HH123)</f>
        <v>5000000</v>
      </c>
      <c r="HI121" s="29">
        <f>SUBTOTAL(9,HI122:HI123)</f>
        <v>298</v>
      </c>
      <c r="HK121" s="249">
        <f t="shared" si="262"/>
        <v>16778.523489932886</v>
      </c>
      <c r="HL121" s="12"/>
    </row>
    <row r="122" spans="1:235" ht="15.75" thickBot="1">
      <c r="B122" s="137"/>
      <c r="C122" s="137"/>
      <c r="D122" s="137"/>
      <c r="E122" s="137"/>
      <c r="H122" s="137"/>
      <c r="I122" s="137"/>
      <c r="O122" s="145"/>
      <c r="P122" s="145" t="e">
        <f>SUMPRODUCT((Ville=A204)*($HD$4:$HD$107))</f>
        <v>#N/A</v>
      </c>
      <c r="Q122" s="145"/>
      <c r="AC122" s="144"/>
      <c r="AD122" s="28"/>
      <c r="AT122" s="12"/>
      <c r="AU122" s="12"/>
      <c r="BK122" s="179"/>
      <c r="BL122" s="179"/>
      <c r="BM122" s="179"/>
      <c r="BN122" s="179"/>
      <c r="BO122" s="179"/>
      <c r="BP122" s="179"/>
      <c r="BQ122" s="179"/>
      <c r="BR122" s="179"/>
      <c r="BS122" s="179"/>
      <c r="BT122" s="179"/>
      <c r="BU122" s="179"/>
      <c r="BV122" s="179"/>
      <c r="BW122" s="179"/>
      <c r="CB122" s="178"/>
      <c r="EF122" s="566"/>
      <c r="EG122" s="566"/>
      <c r="EH122" s="12"/>
      <c r="EI122" s="566"/>
      <c r="EJ122" s="566"/>
      <c r="EK122" s="566"/>
      <c r="EM122" s="231"/>
      <c r="EO122" s="231"/>
      <c r="GP122" s="146"/>
      <c r="GQ122" s="146"/>
      <c r="GR122" s="146"/>
      <c r="HD122" s="12" t="s">
        <v>349</v>
      </c>
      <c r="HH122" s="146">
        <v>5000000</v>
      </c>
      <c r="HI122" s="12">
        <v>298</v>
      </c>
      <c r="HK122" s="250">
        <f t="shared" si="262"/>
        <v>16778.523489932886</v>
      </c>
      <c r="HL122" s="12">
        <v>298</v>
      </c>
    </row>
    <row r="123" spans="1:235" ht="15" customHeight="1">
      <c r="B123" s="137"/>
      <c r="C123" s="137"/>
      <c r="D123" s="137"/>
      <c r="E123" s="137"/>
      <c r="H123" s="137"/>
      <c r="I123" s="137"/>
      <c r="O123" s="145"/>
      <c r="P123" s="145"/>
      <c r="Q123" s="145"/>
      <c r="AC123" s="144"/>
      <c r="AD123" s="28"/>
      <c r="AT123" s="12"/>
      <c r="AU123" s="12"/>
      <c r="BK123" s="179"/>
      <c r="BL123" s="179"/>
      <c r="BM123" s="179"/>
      <c r="BN123" s="179"/>
      <c r="BO123" s="179"/>
      <c r="BP123" s="179"/>
      <c r="BQ123" s="179"/>
      <c r="BR123" s="179"/>
      <c r="BS123" s="179"/>
      <c r="BT123" s="179"/>
      <c r="BU123" s="179"/>
      <c r="BV123" s="179"/>
      <c r="BW123" s="179"/>
      <c r="CB123" s="178"/>
      <c r="EF123" s="566"/>
      <c r="EG123" s="566"/>
      <c r="EH123" s="12"/>
      <c r="EI123" s="566"/>
      <c r="EJ123" s="566"/>
      <c r="EK123" s="566"/>
      <c r="HD123" s="12" t="s">
        <v>350</v>
      </c>
      <c r="HH123" s="12"/>
      <c r="HI123" s="12"/>
      <c r="HK123" s="12"/>
      <c r="HL123" s="12"/>
    </row>
    <row r="124" spans="1:235" ht="15" customHeight="1">
      <c r="B124" s="137"/>
      <c r="C124" s="137"/>
      <c r="D124" s="137"/>
      <c r="E124" s="137"/>
      <c r="H124" s="137"/>
      <c r="I124" s="137"/>
      <c r="O124" s="145"/>
      <c r="P124" s="145"/>
      <c r="Q124" s="145"/>
      <c r="AC124" s="144"/>
      <c r="AD124" s="28"/>
      <c r="AT124" s="12"/>
      <c r="AU124" s="12"/>
      <c r="BK124" s="179"/>
      <c r="BL124" s="179"/>
      <c r="BM124" s="179"/>
      <c r="BN124" s="179"/>
      <c r="BO124" s="179"/>
      <c r="BP124" s="179"/>
      <c r="BQ124" s="179"/>
      <c r="BR124" s="179"/>
      <c r="BS124" s="179"/>
      <c r="BT124" s="179"/>
      <c r="BU124" s="179"/>
      <c r="BV124" s="179"/>
      <c r="BW124" s="179"/>
      <c r="CB124" s="178"/>
      <c r="EF124" s="566"/>
      <c r="EG124" s="566"/>
      <c r="EH124" s="12"/>
      <c r="EI124" s="566"/>
      <c r="EJ124" s="566"/>
      <c r="EK124" s="566"/>
      <c r="HD124" s="301" t="s">
        <v>521</v>
      </c>
      <c r="HE124" s="12"/>
      <c r="HF124" s="12"/>
      <c r="HG124" s="12"/>
      <c r="HH124" s="301"/>
      <c r="HI124" s="12"/>
      <c r="HK124" s="12"/>
      <c r="HL124" s="12"/>
    </row>
    <row r="125" spans="1:235" ht="15.75" customHeight="1" thickBot="1">
      <c r="B125" s="137"/>
      <c r="C125" s="137"/>
      <c r="D125" s="137"/>
      <c r="E125" s="137"/>
      <c r="H125" s="137"/>
      <c r="I125" s="137"/>
      <c r="O125" s="145"/>
      <c r="P125" s="145" t="e">
        <f>SUMPRODUCT((Ville=A205)*($HD$4:$HD$107))</f>
        <v>#N/A</v>
      </c>
      <c r="Q125" s="145"/>
      <c r="AC125" s="144"/>
      <c r="AD125" s="28"/>
      <c r="AE125" s="769"/>
      <c r="AT125" s="12"/>
      <c r="AU125" s="12"/>
      <c r="BK125" s="179"/>
      <c r="BL125" s="179"/>
      <c r="BM125" s="179"/>
      <c r="BN125" s="179"/>
      <c r="BO125" s="179"/>
      <c r="BP125" s="179"/>
      <c r="BQ125" s="179"/>
      <c r="BR125" s="179"/>
      <c r="BS125" s="179"/>
      <c r="BT125" s="179"/>
      <c r="BU125" s="179"/>
      <c r="BV125" s="179"/>
      <c r="BW125" s="179"/>
      <c r="CB125" s="178"/>
      <c r="CD125" s="225"/>
      <c r="CE125" s="225"/>
      <c r="EF125" s="566"/>
      <c r="EG125" s="566"/>
      <c r="EH125" s="12"/>
      <c r="EI125" s="566"/>
      <c r="EJ125" s="566"/>
      <c r="EK125" s="566"/>
      <c r="HD125" s="12" t="s">
        <v>349</v>
      </c>
      <c r="HE125" s="12"/>
      <c r="HF125" s="12"/>
      <c r="HG125" s="12"/>
      <c r="HH125" s="295"/>
      <c r="HI125" s="12"/>
      <c r="HK125" s="12"/>
      <c r="HL125" s="12" t="s">
        <v>538</v>
      </c>
      <c r="HQ125" s="12" t="s">
        <v>539</v>
      </c>
    </row>
    <row r="126" spans="1:235" ht="15.75" customHeight="1" thickBot="1">
      <c r="B126" s="828"/>
      <c r="C126" s="361" t="s">
        <v>178</v>
      </c>
      <c r="D126" s="361" t="s">
        <v>279</v>
      </c>
      <c r="E126" s="361" t="s">
        <v>663</v>
      </c>
      <c r="F126" s="362" t="s">
        <v>418</v>
      </c>
      <c r="G126" s="362" t="s">
        <v>177</v>
      </c>
      <c r="H126" s="362" t="s">
        <v>624</v>
      </c>
      <c r="I126" s="362" t="s">
        <v>176</v>
      </c>
      <c r="J126" s="362" t="s">
        <v>471</v>
      </c>
      <c r="O126" s="145"/>
      <c r="P126" s="145" t="e">
        <f>SUMPRODUCT((Ville=A206)*($HD$4:$HD$107))</f>
        <v>#N/A</v>
      </c>
      <c r="Q126" s="145"/>
      <c r="AC126" s="144"/>
      <c r="AD126" s="28"/>
      <c r="AT126" s="12"/>
      <c r="AU126" s="12"/>
      <c r="BK126" s="179"/>
      <c r="BL126" s="179"/>
      <c r="BM126" s="179"/>
      <c r="BN126" s="179"/>
      <c r="BO126" s="179"/>
      <c r="BP126" s="179"/>
      <c r="BQ126" s="179"/>
      <c r="BR126" s="179"/>
      <c r="BS126" s="179"/>
      <c r="BT126" s="179"/>
      <c r="BU126" s="179"/>
      <c r="BV126" s="179"/>
      <c r="BW126" s="179"/>
      <c r="CB126" s="178"/>
      <c r="EF126" s="566"/>
      <c r="EG126" s="566"/>
      <c r="EH126" s="12"/>
      <c r="EI126" s="566"/>
      <c r="EJ126" s="566"/>
      <c r="EK126" s="566"/>
      <c r="GU126" s="131"/>
      <c r="GV126" s="131"/>
      <c r="GW126" s="131"/>
      <c r="GX126" s="131"/>
      <c r="GY126" s="40"/>
      <c r="GZ126" s="40"/>
      <c r="HA126" s="40"/>
      <c r="HB126" s="645" t="s">
        <v>522</v>
      </c>
      <c r="HC126" s="131"/>
      <c r="HD126" s="12">
        <f>SUMPRODUCT((Prog=2017)*(Type&lt;&gt;"Rehab")*(Type&lt;&gt;"PLS")*(Nlgts))</f>
        <v>222</v>
      </c>
      <c r="HE126" s="131"/>
      <c r="HF126" s="131"/>
      <c r="HG126" s="131"/>
      <c r="HH126" s="146">
        <f>SUMPRODUCT((Prog=2017)*(Type&lt;&gt;"Rehab")*(Type&lt;&gt;"PLS")*(LBU))</f>
        <v>4376000</v>
      </c>
      <c r="HI126" s="131"/>
      <c r="HK126" s="250">
        <f>HH126/HD126</f>
        <v>19711.711711711712</v>
      </c>
      <c r="HL126" s="146">
        <f>HH126-HD57-HD58-HD65-HD60</f>
        <v>2750000</v>
      </c>
      <c r="HM126" s="131"/>
      <c r="HN126" s="131"/>
      <c r="HO126" s="131"/>
      <c r="HQ126" s="12" t="s">
        <v>537</v>
      </c>
    </row>
    <row r="127" spans="1:235" ht="15" customHeight="1">
      <c r="A127" s="827"/>
      <c r="B127" s="360" t="s">
        <v>383</v>
      </c>
      <c r="C127" s="366">
        <f>SUMPRODUCT((RO="ADE")*(Ass=$C$126)*(Avancement&lt;&gt;"Patrimoine"))-1</f>
        <v>0</v>
      </c>
      <c r="D127" s="366">
        <f t="shared" ref="D127:D138" si="263">SUMPRODUCT((RO=B127)*(Ass=$D$126)*(Avancement&lt;&gt;"patrimoine"))</f>
        <v>1</v>
      </c>
      <c r="E127" s="366">
        <f t="shared" ref="E127:E138" si="264">SUMPRODUCT((RO=B127)*(Ass=$E$126)*(Avancement&lt;&gt;"patrimoine"))</f>
        <v>1</v>
      </c>
      <c r="F127" s="366">
        <f t="shared" ref="F127:F138" si="265">SUMPRODUCT((RO=B127)*(Ass=$F$126)*(Avancement&lt;&gt;"patrimoine"))</f>
        <v>0</v>
      </c>
      <c r="G127" s="367">
        <f t="shared" ref="G127:G138" si="266">SUMPRODUCT((RO=B127)*(Ass=$G$126)*(Avancement&lt;&gt;"patrimoine"))</f>
        <v>0</v>
      </c>
      <c r="H127" s="366">
        <f t="shared" ref="H127:H138" si="267">SUMPRODUCT((RO=B127)*(Ass=$H$126)*(Avancement&lt;&gt;"patrimoine"))</f>
        <v>1</v>
      </c>
      <c r="I127" s="366">
        <f t="shared" ref="I127:I138" si="268">SUMPRODUCT((RO=B127)*(Ass=$I$126)*(Avancement&lt;&gt;"patrimoine"))</f>
        <v>0</v>
      </c>
      <c r="J127" s="366">
        <f t="shared" ref="J127:J138" si="269">SUMPRODUCT((RO=B127)*(Ass=$J$126)*(Avancement&lt;&gt;"patrimoine"))</f>
        <v>1</v>
      </c>
      <c r="K127" s="838"/>
      <c r="L127" s="840"/>
      <c r="M127" s="840"/>
      <c r="N127" s="840"/>
      <c r="O127" s="136"/>
      <c r="P127" s="136" t="e">
        <f>SUMPRODUCT((Ville=A207)*($HD$4:$HD$107))</f>
        <v>#N/A</v>
      </c>
      <c r="Q127" s="136"/>
      <c r="R127" s="137"/>
      <c r="S127" s="137"/>
      <c r="T127" s="137"/>
      <c r="U127" s="137"/>
      <c r="V127" s="137"/>
      <c r="W127" s="137"/>
      <c r="X127" s="137"/>
      <c r="Y127" s="137"/>
      <c r="Z127" s="137"/>
      <c r="AA127" s="137"/>
      <c r="AB127" s="137"/>
      <c r="AC127" s="844"/>
      <c r="AD127" s="103"/>
      <c r="AE127" s="137"/>
      <c r="AF127" s="137"/>
      <c r="AG127" s="137"/>
      <c r="AH127" s="137"/>
      <c r="AI127" s="137"/>
      <c r="AJ127" s="137"/>
      <c r="AK127" s="137"/>
      <c r="AL127" s="137"/>
      <c r="AM127" s="137"/>
      <c r="AN127" s="137"/>
      <c r="AO127" s="137"/>
      <c r="AP127" s="137"/>
      <c r="AQ127" s="137"/>
      <c r="AR127" s="137"/>
      <c r="AS127" s="137"/>
      <c r="AT127" s="137"/>
      <c r="AU127" s="137"/>
      <c r="AV127" s="137"/>
      <c r="AW127" s="137"/>
      <c r="AX127" s="137"/>
      <c r="AY127" s="137"/>
      <c r="AZ127" s="137"/>
      <c r="BA127" s="137"/>
      <c r="BB127" s="137"/>
      <c r="BC127" s="829"/>
      <c r="BD127" s="829"/>
      <c r="BE127" s="829"/>
      <c r="BF127" s="829"/>
      <c r="BG127" s="829"/>
      <c r="BH127" s="829"/>
      <c r="BI127" s="829"/>
      <c r="BJ127" s="829"/>
      <c r="BK127" s="845"/>
      <c r="BL127" s="845"/>
      <c r="BM127" s="845"/>
      <c r="BN127" s="845"/>
      <c r="BO127" s="845"/>
      <c r="BP127" s="845"/>
      <c r="BQ127" s="845"/>
      <c r="BR127" s="845"/>
      <c r="BS127" s="845"/>
      <c r="BT127" s="845"/>
      <c r="BU127" s="845"/>
      <c r="BV127" s="845"/>
      <c r="BW127" s="845"/>
      <c r="BX127" s="829"/>
      <c r="BY127" s="829"/>
      <c r="BZ127" s="829"/>
      <c r="CA127" s="829"/>
      <c r="CB127" s="829"/>
      <c r="CC127" s="829"/>
      <c r="CD127" s="846"/>
      <c r="CE127" s="846"/>
      <c r="CF127" s="829"/>
      <c r="CG127" s="829"/>
      <c r="CH127" s="829"/>
      <c r="CI127" s="829"/>
      <c r="CJ127" s="829"/>
      <c r="CK127" s="847"/>
      <c r="CL127" s="137"/>
      <c r="CM127" s="833"/>
      <c r="CN127" s="833"/>
      <c r="CO127" s="320"/>
      <c r="CP127" s="137"/>
      <c r="CQ127" s="833"/>
      <c r="CR127" s="137"/>
      <c r="CS127" s="833"/>
      <c r="CT127" s="137"/>
      <c r="CU127" s="137"/>
      <c r="CV127" s="137"/>
      <c r="CW127" s="137"/>
      <c r="CX127" s="137"/>
      <c r="CY127" s="833"/>
      <c r="CZ127" s="833"/>
      <c r="DA127" s="137"/>
      <c r="DB127" s="137"/>
      <c r="DC127" s="833"/>
      <c r="DD127" s="833"/>
      <c r="DE127" s="833"/>
      <c r="DF127" s="137"/>
      <c r="DG127" s="833"/>
      <c r="DH127" s="137"/>
      <c r="DI127" s="137"/>
      <c r="DJ127" s="137"/>
      <c r="DK127" s="137"/>
      <c r="DL127" s="837"/>
      <c r="DM127" s="137"/>
      <c r="DN127" s="833"/>
      <c r="DO127" s="833"/>
      <c r="DP127" s="320"/>
      <c r="DQ127" s="833"/>
      <c r="DR127" s="833"/>
      <c r="DS127" s="137"/>
      <c r="DT127" s="833"/>
      <c r="DU127" s="833"/>
      <c r="DV127" s="137"/>
      <c r="DW127" s="833"/>
      <c r="DX127" s="833"/>
      <c r="DY127" s="137"/>
      <c r="DZ127" s="833"/>
      <c r="EA127" s="833"/>
      <c r="EB127" s="137"/>
      <c r="EC127" s="833"/>
      <c r="ED127" s="833"/>
      <c r="EE127" s="137"/>
      <c r="EF127" s="833"/>
      <c r="EG127" s="833"/>
      <c r="EH127" s="137"/>
      <c r="EI127" s="833"/>
      <c r="EJ127" s="833"/>
      <c r="EK127" s="833"/>
      <c r="EL127" s="137"/>
      <c r="EM127" s="137"/>
      <c r="EN127" s="137"/>
      <c r="EO127" s="137"/>
      <c r="EP127" s="137"/>
      <c r="EQ127" s="137"/>
      <c r="ER127" s="137"/>
      <c r="ES127" s="137"/>
      <c r="ET127" s="137"/>
      <c r="EU127" s="137"/>
      <c r="EV127" s="848"/>
      <c r="EW127" s="137"/>
      <c r="EX127" s="137"/>
      <c r="EY127" s="137"/>
      <c r="EZ127" s="137"/>
      <c r="FA127" s="849"/>
      <c r="FB127" s="849"/>
      <c r="FC127" s="849"/>
      <c r="FD127" s="849"/>
      <c r="FE127" s="849"/>
      <c r="FF127" s="849"/>
      <c r="FG127" s="826"/>
      <c r="FH127" s="826"/>
      <c r="FI127" s="826"/>
      <c r="FJ127" s="826"/>
      <c r="FK127" s="137"/>
      <c r="FL127" s="137"/>
      <c r="FM127" s="137"/>
      <c r="FN127" s="137"/>
      <c r="FO127" s="137"/>
      <c r="FP127" s="137"/>
      <c r="FQ127" s="137"/>
      <c r="FR127" s="137"/>
      <c r="FS127" s="137"/>
      <c r="FT127" s="137"/>
      <c r="FU127" s="137"/>
      <c r="FV127" s="137"/>
      <c r="FW127" s="137"/>
      <c r="FX127" s="137"/>
      <c r="FY127" s="137"/>
      <c r="FZ127" s="137"/>
      <c r="GA127" s="137"/>
      <c r="GB127" s="137"/>
      <c r="GC127" s="137"/>
      <c r="GD127" s="137"/>
      <c r="GE127" s="137"/>
      <c r="GF127" s="829"/>
      <c r="GG127" s="850"/>
      <c r="GH127" s="137"/>
      <c r="GI127" s="137"/>
      <c r="GJ127" s="137"/>
      <c r="GK127" s="137"/>
      <c r="GL127" s="137"/>
      <c r="GM127" s="137"/>
      <c r="GN127" s="137"/>
      <c r="GO127" s="137"/>
      <c r="GP127" s="137"/>
      <c r="GQ127" s="137"/>
      <c r="GR127" s="137"/>
      <c r="GS127" s="137"/>
      <c r="GT127" s="137"/>
      <c r="GU127" s="852"/>
      <c r="GV127" s="854"/>
      <c r="GW127" s="854"/>
      <c r="GX127" s="854"/>
      <c r="GY127" s="137"/>
      <c r="GZ127" s="137"/>
      <c r="HA127" s="137"/>
      <c r="HB127" s="612" t="s">
        <v>440</v>
      </c>
      <c r="HC127" s="851"/>
      <c r="HD127" s="137">
        <f>SUMPRODUCT((Prog=2017)*(Type="Rehab")*(Nlgts))</f>
        <v>192</v>
      </c>
      <c r="HE127" s="851"/>
      <c r="HF127" s="851"/>
      <c r="HG127" s="851"/>
      <c r="HH127" s="831">
        <f>SUMPRODUCT((Prog=2017)*(Type="Rehab")*(LBU))</f>
        <v>0</v>
      </c>
      <c r="HI127" s="851"/>
      <c r="HJ127" s="133"/>
      <c r="HK127" s="856">
        <f>HH127/HD127</f>
        <v>0</v>
      </c>
      <c r="HL127" s="137"/>
      <c r="HM127" s="851"/>
      <c r="HN127" s="851"/>
      <c r="HO127" s="851"/>
      <c r="HP127" s="137"/>
      <c r="HQ127" s="137"/>
      <c r="HR127" s="137"/>
      <c r="HS127" s="137"/>
      <c r="HT127" s="137"/>
      <c r="HU127" s="137"/>
      <c r="HV127" s="137"/>
      <c r="HW127" s="137"/>
      <c r="HX127" s="137"/>
      <c r="HY127" s="137"/>
      <c r="HZ127" s="137"/>
      <c r="IA127" s="137"/>
    </row>
    <row r="128" spans="1:235" ht="15" customHeight="1">
      <c r="A128" s="827"/>
      <c r="B128" s="365" t="s">
        <v>144</v>
      </c>
      <c r="C128" s="367">
        <f t="shared" ref="C128:C138" si="270">SUMPRODUCT((RO=B128)*(Ass=$C$126)*(Avancement&lt;&gt;"patrimoine"))</f>
        <v>0</v>
      </c>
      <c r="D128" s="367">
        <f t="shared" si="263"/>
        <v>0</v>
      </c>
      <c r="E128" s="367">
        <f t="shared" si="264"/>
        <v>0</v>
      </c>
      <c r="F128" s="367">
        <f t="shared" si="265"/>
        <v>0</v>
      </c>
      <c r="G128" s="367">
        <f t="shared" si="266"/>
        <v>0</v>
      </c>
      <c r="H128" s="367">
        <f t="shared" si="267"/>
        <v>1</v>
      </c>
      <c r="I128" s="367">
        <f t="shared" si="268"/>
        <v>0</v>
      </c>
      <c r="J128" s="367">
        <f t="shared" si="269"/>
        <v>0</v>
      </c>
      <c r="K128" s="838"/>
      <c r="L128" s="840"/>
      <c r="M128" s="840"/>
      <c r="N128" s="840"/>
      <c r="O128" s="136"/>
      <c r="P128" s="136" t="e">
        <f>SUMPRODUCT((Ville=A208)*($HD$4:$HD$107))</f>
        <v>#N/A</v>
      </c>
      <c r="Q128" s="136"/>
      <c r="R128" s="137"/>
      <c r="S128" s="137"/>
      <c r="T128" s="137"/>
      <c r="U128" s="137"/>
      <c r="V128" s="137"/>
      <c r="W128" s="137"/>
      <c r="X128" s="137"/>
      <c r="Y128" s="137"/>
      <c r="Z128" s="137"/>
      <c r="AA128" s="137"/>
      <c r="AB128" s="137"/>
      <c r="AC128" s="844"/>
      <c r="AD128" s="103"/>
      <c r="AE128" s="137"/>
      <c r="AF128" s="137"/>
      <c r="AG128" s="137"/>
      <c r="AH128" s="137"/>
      <c r="AI128" s="137"/>
      <c r="AJ128" s="137"/>
      <c r="AK128" s="137"/>
      <c r="AL128" s="137"/>
      <c r="AM128" s="137"/>
      <c r="AN128" s="137"/>
      <c r="AO128" s="137"/>
      <c r="AP128" s="137"/>
      <c r="AQ128" s="137"/>
      <c r="AR128" s="137"/>
      <c r="AS128" s="137"/>
      <c r="AT128" s="137"/>
      <c r="AU128" s="137"/>
      <c r="AV128" s="137"/>
      <c r="AW128" s="137"/>
      <c r="AX128" s="137"/>
      <c r="AY128" s="137"/>
      <c r="AZ128" s="137"/>
      <c r="BA128" s="137"/>
      <c r="BB128" s="137"/>
      <c r="BC128" s="829"/>
      <c r="BD128" s="829"/>
      <c r="BE128" s="829"/>
      <c r="BF128" s="829"/>
      <c r="BG128" s="829"/>
      <c r="BH128" s="829"/>
      <c r="BI128" s="829"/>
      <c r="BJ128" s="829"/>
      <c r="BK128" s="845"/>
      <c r="BL128" s="845"/>
      <c r="BM128" s="845"/>
      <c r="BN128" s="845"/>
      <c r="BO128" s="845"/>
      <c r="BP128" s="845"/>
      <c r="BQ128" s="845"/>
      <c r="BR128" s="845"/>
      <c r="BS128" s="845"/>
      <c r="BT128" s="845"/>
      <c r="BU128" s="845"/>
      <c r="BV128" s="845"/>
      <c r="BW128" s="845"/>
      <c r="BX128" s="829"/>
      <c r="BY128" s="829"/>
      <c r="BZ128" s="829"/>
      <c r="CA128" s="829"/>
      <c r="CB128" s="829"/>
      <c r="CC128" s="829"/>
      <c r="CD128" s="846"/>
      <c r="CE128" s="846"/>
      <c r="CF128" s="829"/>
      <c r="CG128" s="829"/>
      <c r="CH128" s="829"/>
      <c r="CI128" s="829"/>
      <c r="CJ128" s="829"/>
      <c r="CK128" s="847"/>
      <c r="CL128" s="137"/>
      <c r="CM128" s="833"/>
      <c r="CN128" s="833"/>
      <c r="CO128" s="320"/>
      <c r="CP128" s="137"/>
      <c r="CQ128" s="833"/>
      <c r="CR128" s="137"/>
      <c r="CS128" s="833"/>
      <c r="CT128" s="137"/>
      <c r="CU128" s="137"/>
      <c r="CV128" s="137"/>
      <c r="CW128" s="137"/>
      <c r="CX128" s="137"/>
      <c r="CY128" s="833"/>
      <c r="CZ128" s="833"/>
      <c r="DA128" s="137"/>
      <c r="DB128" s="137"/>
      <c r="DC128" s="833"/>
      <c r="DD128" s="833"/>
      <c r="DE128" s="833"/>
      <c r="DF128" s="137"/>
      <c r="DG128" s="833"/>
      <c r="DH128" s="137"/>
      <c r="DI128" s="137"/>
      <c r="DJ128" s="137"/>
      <c r="DK128" s="137"/>
      <c r="DL128" s="837"/>
      <c r="DM128" s="137"/>
      <c r="DN128" s="833"/>
      <c r="DO128" s="833"/>
      <c r="DP128" s="320"/>
      <c r="DQ128" s="833"/>
      <c r="DR128" s="833"/>
      <c r="DS128" s="137"/>
      <c r="DT128" s="833"/>
      <c r="DU128" s="833"/>
      <c r="DV128" s="137"/>
      <c r="DW128" s="833"/>
      <c r="DX128" s="833"/>
      <c r="DY128" s="137"/>
      <c r="DZ128" s="833"/>
      <c r="EA128" s="833"/>
      <c r="EB128" s="137"/>
      <c r="EC128" s="833"/>
      <c r="ED128" s="833"/>
      <c r="EE128" s="137"/>
      <c r="EF128" s="833"/>
      <c r="EG128" s="833"/>
      <c r="EH128" s="137"/>
      <c r="EI128" s="833"/>
      <c r="EJ128" s="833"/>
      <c r="EK128" s="833"/>
      <c r="EL128" s="137"/>
      <c r="EM128" s="137"/>
      <c r="EN128" s="137"/>
      <c r="EO128" s="137"/>
      <c r="EP128" s="137"/>
      <c r="EQ128" s="137"/>
      <c r="ER128" s="137"/>
      <c r="ES128" s="137"/>
      <c r="ET128" s="137"/>
      <c r="EU128" s="137"/>
      <c r="EV128" s="848"/>
      <c r="EW128" s="137"/>
      <c r="EX128" s="137"/>
      <c r="EY128" s="137"/>
      <c r="EZ128" s="137"/>
      <c r="FA128" s="849"/>
      <c r="FB128" s="849"/>
      <c r="FC128" s="849"/>
      <c r="FD128" s="849"/>
      <c r="FE128" s="849"/>
      <c r="FF128" s="849"/>
      <c r="FG128" s="826"/>
      <c r="FH128" s="826"/>
      <c r="FI128" s="826"/>
      <c r="FJ128" s="826"/>
      <c r="FK128" s="137"/>
      <c r="FL128" s="137"/>
      <c r="FM128" s="137"/>
      <c r="FN128" s="137"/>
      <c r="FO128" s="137"/>
      <c r="FP128" s="137"/>
      <c r="FQ128" s="137"/>
      <c r="FR128" s="137"/>
      <c r="FS128" s="137"/>
      <c r="FT128" s="137"/>
      <c r="FU128" s="137"/>
      <c r="FV128" s="137"/>
      <c r="FW128" s="137"/>
      <c r="FX128" s="137"/>
      <c r="FY128" s="137"/>
      <c r="FZ128" s="137"/>
      <c r="GA128" s="137"/>
      <c r="GB128" s="137"/>
      <c r="GC128" s="137"/>
      <c r="GD128" s="137"/>
      <c r="GE128" s="137"/>
      <c r="GF128" s="829"/>
      <c r="GG128" s="850"/>
      <c r="GH128" s="137"/>
      <c r="GI128" s="137"/>
      <c r="GJ128" s="137"/>
      <c r="GK128" s="137"/>
      <c r="GL128" s="137"/>
      <c r="GM128" s="137"/>
      <c r="GN128" s="137"/>
      <c r="GO128" s="137"/>
      <c r="GP128" s="137"/>
      <c r="GQ128" s="137"/>
      <c r="GR128" s="137"/>
      <c r="GS128" s="137"/>
      <c r="GT128" s="137"/>
      <c r="GU128" s="852"/>
      <c r="GV128" s="854"/>
      <c r="GW128" s="854"/>
      <c r="GX128" s="854"/>
      <c r="GY128" s="137"/>
      <c r="GZ128" s="137"/>
      <c r="HA128" s="137"/>
      <c r="HB128" s="612"/>
      <c r="HC128" s="851"/>
      <c r="HD128" s="137"/>
      <c r="HE128" s="851"/>
      <c r="HF128" s="851"/>
      <c r="HG128" s="851"/>
      <c r="HH128" s="831"/>
      <c r="HI128" s="851"/>
      <c r="HJ128" s="133"/>
      <c r="HK128" s="856"/>
      <c r="HL128" s="137"/>
      <c r="HM128" s="851"/>
      <c r="HN128" s="851"/>
      <c r="HO128" s="851"/>
      <c r="HP128" s="137"/>
      <c r="HQ128" s="137"/>
      <c r="HR128" s="137"/>
      <c r="HS128" s="137"/>
      <c r="HT128" s="137"/>
      <c r="HU128" s="137"/>
      <c r="HV128" s="137"/>
      <c r="HW128" s="137"/>
      <c r="HX128" s="137"/>
      <c r="HY128" s="137"/>
      <c r="HZ128" s="137"/>
      <c r="IA128" s="137"/>
    </row>
    <row r="129" spans="2:232">
      <c r="B129" s="365" t="s">
        <v>318</v>
      </c>
      <c r="C129" s="367">
        <f t="shared" si="270"/>
        <v>2</v>
      </c>
      <c r="D129" s="367">
        <f t="shared" si="263"/>
        <v>0</v>
      </c>
      <c r="E129" s="367">
        <f t="shared" si="264"/>
        <v>0</v>
      </c>
      <c r="F129" s="367">
        <f t="shared" si="265"/>
        <v>0</v>
      </c>
      <c r="G129" s="367">
        <f t="shared" si="266"/>
        <v>0</v>
      </c>
      <c r="H129" s="367">
        <f t="shared" si="267"/>
        <v>0</v>
      </c>
      <c r="I129" s="367">
        <f t="shared" si="268"/>
        <v>2</v>
      </c>
      <c r="J129" s="367">
        <f t="shared" si="269"/>
        <v>2</v>
      </c>
      <c r="K129" s="838"/>
      <c r="L129" s="840"/>
      <c r="M129" s="840"/>
      <c r="N129" s="840"/>
      <c r="O129" s="136"/>
      <c r="P129" s="136" t="e">
        <f>SUMPRODUCT((Ville=A209)*($HD$4:$HD$107))</f>
        <v>#N/A</v>
      </c>
      <c r="Q129" s="136"/>
      <c r="R129" s="137"/>
      <c r="S129" s="137"/>
      <c r="T129" s="137"/>
      <c r="U129" s="137"/>
      <c r="V129" s="137"/>
      <c r="W129" s="137"/>
      <c r="X129" s="137"/>
      <c r="Y129" s="137"/>
      <c r="Z129" s="137"/>
      <c r="AA129" s="137"/>
      <c r="AB129" s="137"/>
      <c r="AC129" s="844"/>
      <c r="AD129" s="103"/>
      <c r="AE129" s="137"/>
      <c r="AF129" s="137"/>
      <c r="AG129" s="137"/>
      <c r="AH129" s="137"/>
      <c r="AI129" s="137"/>
      <c r="AJ129" s="137"/>
      <c r="AK129" s="137"/>
      <c r="AL129" s="137"/>
      <c r="AM129" s="137"/>
      <c r="AN129" s="137"/>
      <c r="AO129" s="137"/>
      <c r="AP129" s="137"/>
      <c r="AQ129" s="137"/>
      <c r="AR129" s="137"/>
      <c r="AS129" s="137"/>
      <c r="AT129" s="137"/>
      <c r="AU129" s="137"/>
      <c r="AV129" s="137"/>
      <c r="AW129" s="137"/>
      <c r="AX129" s="137"/>
      <c r="AY129" s="137"/>
      <c r="AZ129" s="137"/>
      <c r="BA129" s="137"/>
      <c r="BB129" s="137"/>
      <c r="BC129" s="829"/>
      <c r="BD129" s="829"/>
      <c r="BE129" s="829"/>
      <c r="BF129" s="829"/>
      <c r="BG129" s="829"/>
      <c r="BH129" s="829"/>
      <c r="BI129" s="829"/>
      <c r="BJ129" s="829"/>
      <c r="BK129" s="845"/>
      <c r="BL129" s="845"/>
      <c r="BM129" s="845"/>
      <c r="BN129" s="845"/>
      <c r="BO129" s="845"/>
      <c r="BP129" s="845"/>
      <c r="BQ129" s="845"/>
      <c r="BR129" s="845"/>
      <c r="BS129" s="845"/>
      <c r="BT129" s="845"/>
      <c r="BU129" s="845"/>
      <c r="BV129" s="845"/>
      <c r="BW129" s="845"/>
      <c r="BX129" s="829"/>
      <c r="BY129" s="829"/>
      <c r="BZ129" s="829"/>
      <c r="CA129" s="829"/>
      <c r="CB129" s="829"/>
      <c r="CC129" s="829"/>
      <c r="CD129" s="846"/>
      <c r="CE129" s="846"/>
      <c r="CF129" s="829"/>
      <c r="CG129" s="829"/>
      <c r="CH129" s="829"/>
      <c r="CI129" s="829"/>
      <c r="CJ129" s="829"/>
      <c r="CK129" s="847"/>
      <c r="CL129" s="137"/>
      <c r="CM129" s="833"/>
      <c r="CN129" s="833"/>
      <c r="CO129" s="320"/>
      <c r="CP129" s="137"/>
      <c r="CQ129" s="833"/>
      <c r="CR129" s="137"/>
      <c r="CS129" s="833"/>
      <c r="CT129" s="137"/>
      <c r="CU129" s="137"/>
      <c r="CV129" s="137"/>
      <c r="CW129" s="137"/>
      <c r="CX129" s="137"/>
      <c r="CY129" s="833"/>
      <c r="CZ129" s="833"/>
      <c r="DA129" s="137"/>
      <c r="DB129" s="137"/>
      <c r="DC129" s="833"/>
      <c r="DD129" s="833"/>
      <c r="DE129" s="833"/>
      <c r="DF129" s="137"/>
      <c r="DG129" s="833"/>
      <c r="DH129" s="137"/>
      <c r="DI129" s="137"/>
      <c r="DJ129" s="137"/>
      <c r="DK129" s="137"/>
      <c r="DL129" s="837"/>
      <c r="DM129" s="137"/>
      <c r="DN129" s="833"/>
      <c r="DO129" s="833"/>
      <c r="DP129" s="320"/>
      <c r="DQ129" s="833"/>
      <c r="DR129" s="833"/>
      <c r="DS129" s="137"/>
      <c r="DT129" s="833"/>
      <c r="DU129" s="833"/>
      <c r="DV129" s="137"/>
      <c r="DW129" s="833"/>
      <c r="DX129" s="833"/>
      <c r="DY129" s="137"/>
      <c r="DZ129" s="833"/>
      <c r="EA129" s="833"/>
      <c r="EB129" s="137"/>
      <c r="EC129" s="833"/>
      <c r="ED129" s="833"/>
      <c r="EE129" s="137"/>
      <c r="EF129" s="833"/>
      <c r="EG129" s="833"/>
      <c r="EH129" s="137"/>
      <c r="EI129" s="833"/>
      <c r="EJ129" s="833"/>
      <c r="EK129" s="833"/>
      <c r="EL129" s="137"/>
      <c r="EM129" s="137"/>
      <c r="EN129" s="137"/>
      <c r="EO129" s="137"/>
      <c r="EP129" s="137"/>
      <c r="EQ129" s="137"/>
      <c r="ER129" s="137"/>
      <c r="ES129" s="137"/>
      <c r="ET129" s="137"/>
      <c r="EU129" s="137"/>
      <c r="EV129" s="848"/>
      <c r="EW129" s="137"/>
      <c r="EX129" s="137"/>
      <c r="EY129" s="137"/>
      <c r="EZ129" s="137"/>
      <c r="FA129" s="849"/>
      <c r="FB129" s="849"/>
      <c r="FC129" s="849"/>
      <c r="FD129" s="849"/>
      <c r="FE129" s="849"/>
      <c r="FF129" s="849"/>
      <c r="FG129" s="826"/>
      <c r="FH129" s="826"/>
      <c r="FI129" s="826"/>
      <c r="FJ129" s="826"/>
      <c r="FK129" s="137"/>
      <c r="FL129" s="137"/>
      <c r="FM129" s="137"/>
      <c r="FN129" s="137"/>
      <c r="FO129" s="137"/>
      <c r="FP129" s="137"/>
      <c r="FQ129" s="137"/>
      <c r="FR129" s="137"/>
      <c r="FS129" s="137"/>
      <c r="FT129" s="137"/>
      <c r="FU129" s="137"/>
      <c r="FV129" s="137"/>
      <c r="FW129" s="137"/>
      <c r="FX129" s="137"/>
      <c r="FY129" s="137"/>
      <c r="FZ129" s="137"/>
      <c r="GA129" s="137"/>
      <c r="GB129" s="137"/>
      <c r="GC129" s="137"/>
      <c r="GD129" s="137"/>
      <c r="GE129" s="137"/>
      <c r="GF129" s="829"/>
      <c r="GG129" s="850"/>
      <c r="GH129" s="137"/>
      <c r="GI129" s="137"/>
      <c r="GJ129" s="137"/>
      <c r="GK129" s="137"/>
      <c r="GL129" s="137"/>
      <c r="GM129" s="137"/>
      <c r="GN129" s="137"/>
      <c r="GO129" s="137"/>
      <c r="GP129" s="137"/>
      <c r="GQ129" s="137"/>
      <c r="GR129" s="137"/>
      <c r="GS129" s="137"/>
      <c r="GT129" s="137"/>
      <c r="GU129" s="853"/>
      <c r="GV129" s="854"/>
      <c r="GW129" s="854"/>
      <c r="GX129" s="854"/>
      <c r="GY129" s="851"/>
      <c r="GZ129" s="851"/>
      <c r="HA129" s="851"/>
      <c r="HB129" s="612" t="s">
        <v>433</v>
      </c>
      <c r="HC129" s="851"/>
      <c r="HD129" s="137">
        <f>SUMPRODUCT((Prog=2017)*(Type="PLS")*(Nlgts))</f>
        <v>200</v>
      </c>
      <c r="HE129" s="851"/>
      <c r="HF129" s="851"/>
      <c r="HG129" s="851"/>
      <c r="HH129" s="831"/>
      <c r="HI129" s="851"/>
      <c r="HJ129" s="133"/>
      <c r="HK129" s="856">
        <f>HH129/HD129</f>
        <v>0</v>
      </c>
      <c r="HL129" s="137"/>
      <c r="HM129" s="851"/>
      <c r="HN129" s="851"/>
      <c r="HO129" s="851"/>
      <c r="HP129" s="137"/>
      <c r="HQ129" s="137"/>
      <c r="HR129" s="137"/>
      <c r="HS129" s="137"/>
      <c r="HT129" s="137"/>
      <c r="HU129" s="137"/>
      <c r="HV129" s="137"/>
      <c r="HW129" s="137"/>
      <c r="HX129" s="137"/>
    </row>
    <row r="130" spans="2:232" ht="15" customHeight="1">
      <c r="B130" s="365" t="s">
        <v>37</v>
      </c>
      <c r="C130" s="367">
        <f t="shared" si="270"/>
        <v>0</v>
      </c>
      <c r="D130" s="367">
        <f t="shared" si="263"/>
        <v>0</v>
      </c>
      <c r="E130" s="367">
        <f t="shared" si="264"/>
        <v>0</v>
      </c>
      <c r="F130" s="367">
        <f t="shared" si="265"/>
        <v>0</v>
      </c>
      <c r="G130" s="367">
        <f t="shared" si="266"/>
        <v>0</v>
      </c>
      <c r="H130" s="367">
        <f t="shared" si="267"/>
        <v>0</v>
      </c>
      <c r="I130" s="367">
        <f t="shared" si="268"/>
        <v>0</v>
      </c>
      <c r="J130" s="367">
        <f t="shared" si="269"/>
        <v>0</v>
      </c>
      <c r="K130" s="838"/>
      <c r="L130" s="840"/>
      <c r="M130" s="840"/>
      <c r="N130" s="840"/>
      <c r="O130" s="136"/>
      <c r="P130" s="136"/>
      <c r="Q130" s="136"/>
      <c r="R130" s="137"/>
      <c r="S130" s="137"/>
      <c r="T130" s="137"/>
      <c r="U130" s="137"/>
      <c r="V130" s="137"/>
      <c r="W130" s="137"/>
      <c r="X130" s="137"/>
      <c r="Y130" s="137"/>
      <c r="Z130" s="137"/>
      <c r="AA130" s="137"/>
      <c r="AB130" s="137"/>
      <c r="AC130" s="844"/>
      <c r="AD130" s="103"/>
      <c r="AE130" s="137"/>
      <c r="AF130" s="137"/>
      <c r="AG130" s="137"/>
      <c r="AH130" s="137"/>
      <c r="AI130" s="137"/>
      <c r="AJ130" s="137"/>
      <c r="AK130" s="137"/>
      <c r="AL130" s="137"/>
      <c r="AM130" s="137"/>
      <c r="AN130" s="137"/>
      <c r="AO130" s="137"/>
      <c r="AP130" s="137"/>
      <c r="AQ130" s="137"/>
      <c r="AR130" s="137"/>
      <c r="AS130" s="137"/>
      <c r="AT130" s="137"/>
      <c r="AU130" s="137"/>
      <c r="AV130" s="137"/>
      <c r="AW130" s="137"/>
      <c r="AX130" s="137"/>
      <c r="AY130" s="137"/>
      <c r="AZ130" s="137"/>
      <c r="BA130" s="137"/>
      <c r="BB130" s="137"/>
      <c r="BC130" s="829"/>
      <c r="BD130" s="829"/>
      <c r="BE130" s="829"/>
      <c r="BF130" s="829"/>
      <c r="BG130" s="829"/>
      <c r="BH130" s="829"/>
      <c r="BI130" s="829"/>
      <c r="BJ130" s="829"/>
      <c r="BK130" s="845"/>
      <c r="BL130" s="845"/>
      <c r="BM130" s="845"/>
      <c r="BN130" s="845"/>
      <c r="BO130" s="845"/>
      <c r="BP130" s="845"/>
      <c r="BQ130" s="845"/>
      <c r="BR130" s="845"/>
      <c r="BS130" s="845"/>
      <c r="BT130" s="845"/>
      <c r="BU130" s="845"/>
      <c r="BV130" s="845"/>
      <c r="BW130" s="845"/>
      <c r="BX130" s="829"/>
      <c r="BY130" s="829"/>
      <c r="BZ130" s="829"/>
      <c r="CA130" s="829"/>
      <c r="CB130" s="829"/>
      <c r="CC130" s="829"/>
      <c r="CD130" s="846"/>
      <c r="CE130" s="846"/>
      <c r="CF130" s="829"/>
      <c r="CG130" s="829"/>
      <c r="CH130" s="829"/>
      <c r="CI130" s="829"/>
      <c r="CJ130" s="829"/>
      <c r="CK130" s="847"/>
      <c r="CL130" s="137"/>
      <c r="CM130" s="833"/>
      <c r="CN130" s="833"/>
      <c r="CO130" s="320"/>
      <c r="CP130" s="137"/>
      <c r="CQ130" s="833"/>
      <c r="CR130" s="137"/>
      <c r="CS130" s="833"/>
      <c r="CT130" s="137"/>
      <c r="CU130" s="137"/>
      <c r="CV130" s="137"/>
      <c r="CW130" s="137"/>
      <c r="CX130" s="137"/>
      <c r="CY130" s="833"/>
      <c r="CZ130" s="833"/>
      <c r="DA130" s="137"/>
      <c r="DB130" s="137"/>
      <c r="DC130" s="833"/>
      <c r="DD130" s="833"/>
      <c r="DE130" s="833"/>
      <c r="DF130" s="137"/>
      <c r="DG130" s="833"/>
      <c r="DH130" s="137"/>
      <c r="DI130" s="137"/>
      <c r="DJ130" s="137"/>
      <c r="DK130" s="137"/>
      <c r="DL130" s="837"/>
      <c r="DM130" s="137"/>
      <c r="DN130" s="833"/>
      <c r="DO130" s="833"/>
      <c r="DP130" s="320"/>
      <c r="DQ130" s="833"/>
      <c r="DR130" s="833"/>
      <c r="DS130" s="137"/>
      <c r="DT130" s="833"/>
      <c r="DU130" s="833"/>
      <c r="DV130" s="137"/>
      <c r="DW130" s="833"/>
      <c r="DX130" s="833"/>
      <c r="DY130" s="137"/>
      <c r="DZ130" s="833"/>
      <c r="EA130" s="833"/>
      <c r="EB130" s="137"/>
      <c r="EC130" s="833"/>
      <c r="ED130" s="833"/>
      <c r="EE130" s="137"/>
      <c r="EF130" s="833"/>
      <c r="EG130" s="833"/>
      <c r="EH130" s="137"/>
      <c r="EI130" s="833"/>
      <c r="EJ130" s="833"/>
      <c r="EK130" s="833"/>
      <c r="EL130" s="137"/>
      <c r="EM130" s="137"/>
      <c r="EN130" s="137"/>
      <c r="EO130" s="137"/>
      <c r="EP130" s="137"/>
      <c r="EQ130" s="137"/>
      <c r="ER130" s="137"/>
      <c r="ES130" s="137"/>
      <c r="ET130" s="137"/>
      <c r="EU130" s="137"/>
      <c r="EV130" s="848"/>
      <c r="EW130" s="137"/>
      <c r="EX130" s="137"/>
      <c r="EY130" s="137"/>
      <c r="EZ130" s="137"/>
      <c r="FA130" s="849"/>
      <c r="FB130" s="849"/>
      <c r="FC130" s="849"/>
      <c r="FD130" s="849"/>
      <c r="FE130" s="849"/>
      <c r="FF130" s="849"/>
      <c r="FG130" s="826"/>
      <c r="FH130" s="826"/>
      <c r="FI130" s="826"/>
      <c r="FJ130" s="826"/>
      <c r="FK130" s="137"/>
      <c r="FL130" s="137"/>
      <c r="FM130" s="137"/>
      <c r="FN130" s="137"/>
      <c r="FO130" s="137"/>
      <c r="FP130" s="137"/>
      <c r="FQ130" s="137"/>
      <c r="FR130" s="137"/>
      <c r="FS130" s="137"/>
      <c r="FT130" s="137"/>
      <c r="FU130" s="137"/>
      <c r="FV130" s="137"/>
      <c r="FW130" s="137"/>
      <c r="FX130" s="137"/>
      <c r="FY130" s="137"/>
      <c r="FZ130" s="137"/>
      <c r="GA130" s="137"/>
      <c r="GB130" s="137"/>
      <c r="GC130" s="137"/>
      <c r="GD130" s="137"/>
      <c r="GE130" s="137"/>
      <c r="GF130" s="829"/>
      <c r="GG130" s="850"/>
      <c r="GH130" s="137"/>
      <c r="GI130" s="137"/>
      <c r="GJ130" s="137"/>
      <c r="GK130" s="137"/>
      <c r="GL130" s="137"/>
      <c r="GM130" s="137"/>
      <c r="GN130" s="137"/>
      <c r="GO130" s="137"/>
      <c r="GP130" s="137"/>
      <c r="GQ130" s="137"/>
      <c r="GR130" s="137"/>
      <c r="GS130" s="137"/>
      <c r="GT130" s="137"/>
      <c r="GU130" s="853"/>
      <c r="GV130" s="854"/>
      <c r="GW130" s="854"/>
      <c r="GX130" s="854"/>
      <c r="GY130" s="851"/>
      <c r="GZ130" s="851"/>
      <c r="HA130" s="851"/>
      <c r="HB130" s="832" t="s">
        <v>113</v>
      </c>
      <c r="HC130" s="851"/>
      <c r="HD130" s="855">
        <f>SUBTOTAL(9,HD126:HD129)</f>
        <v>614</v>
      </c>
      <c r="HE130" s="851"/>
      <c r="HF130" s="851"/>
      <c r="HG130" s="851"/>
      <c r="HH130" s="27">
        <f>SUBTOTAL(9,HH126:HH129)</f>
        <v>4376000</v>
      </c>
      <c r="HI130" s="851"/>
      <c r="HJ130" s="133"/>
      <c r="HK130" s="855">
        <f>HH130/HD130</f>
        <v>7127.0358306188928</v>
      </c>
      <c r="HL130" s="137"/>
      <c r="HM130" s="851"/>
      <c r="HN130" s="851"/>
      <c r="HO130" s="851"/>
      <c r="HP130" s="137"/>
      <c r="HQ130" s="137"/>
      <c r="HR130" s="137"/>
      <c r="HS130" s="137"/>
      <c r="HT130" s="137"/>
      <c r="HU130" s="137"/>
      <c r="HV130" s="137"/>
      <c r="HW130" s="137"/>
      <c r="HX130" s="137"/>
    </row>
    <row r="131" spans="2:232" ht="15" customHeight="1">
      <c r="B131" s="365" t="s">
        <v>30</v>
      </c>
      <c r="C131" s="367">
        <f t="shared" si="270"/>
        <v>0</v>
      </c>
      <c r="D131" s="367">
        <f t="shared" si="263"/>
        <v>1</v>
      </c>
      <c r="E131" s="367">
        <f t="shared" si="264"/>
        <v>1</v>
      </c>
      <c r="F131" s="367">
        <f t="shared" si="265"/>
        <v>0</v>
      </c>
      <c r="G131" s="367">
        <f t="shared" si="266"/>
        <v>0</v>
      </c>
      <c r="H131" s="367">
        <f t="shared" si="267"/>
        <v>0</v>
      </c>
      <c r="I131" s="367">
        <f t="shared" si="268"/>
        <v>1</v>
      </c>
      <c r="J131" s="367">
        <f t="shared" si="269"/>
        <v>3</v>
      </c>
      <c r="K131" s="838"/>
      <c r="L131" s="840"/>
      <c r="M131" s="840"/>
      <c r="N131" s="840"/>
      <c r="O131" s="136"/>
      <c r="P131" s="136" t="e">
        <f>SUMPRODUCT((Ville=A210)*($HD$4:$HD$107))</f>
        <v>#N/A</v>
      </c>
      <c r="Q131" s="136"/>
      <c r="R131" s="137"/>
      <c r="S131" s="137"/>
      <c r="T131" s="137"/>
      <c r="U131" s="137"/>
      <c r="V131" s="137"/>
      <c r="W131" s="137"/>
      <c r="X131" s="137"/>
      <c r="Y131" s="137"/>
      <c r="Z131" s="137"/>
      <c r="AA131" s="137"/>
      <c r="AB131" s="137"/>
      <c r="AC131" s="844"/>
      <c r="AD131" s="103"/>
      <c r="AE131" s="137"/>
      <c r="AF131" s="137"/>
      <c r="AG131" s="137"/>
      <c r="AH131" s="137"/>
      <c r="AI131" s="137"/>
      <c r="AJ131" s="137"/>
      <c r="AK131" s="137"/>
      <c r="AL131" s="137"/>
      <c r="AM131" s="137"/>
      <c r="AN131" s="137"/>
      <c r="AO131" s="137"/>
      <c r="AP131" s="137"/>
      <c r="AQ131" s="137"/>
      <c r="AR131" s="137"/>
      <c r="AS131" s="137"/>
      <c r="AT131" s="844"/>
      <c r="AU131" s="103"/>
      <c r="AV131" s="137"/>
      <c r="AW131" s="137"/>
      <c r="AX131" s="137"/>
      <c r="AY131" s="137"/>
      <c r="AZ131" s="137"/>
      <c r="BA131" s="137"/>
      <c r="BB131" s="30"/>
      <c r="BC131" s="829"/>
      <c r="BD131" s="829"/>
      <c r="BE131" s="829"/>
      <c r="BF131" s="829"/>
      <c r="BG131" s="829"/>
      <c r="BH131" s="829"/>
      <c r="BI131" s="829"/>
      <c r="BJ131" s="829"/>
      <c r="BK131" s="829"/>
      <c r="BL131" s="829"/>
      <c r="BM131" s="829"/>
      <c r="BN131" s="829"/>
      <c r="BO131" s="829"/>
      <c r="BP131" s="829"/>
      <c r="BQ131" s="829"/>
      <c r="BR131" s="829"/>
      <c r="BS131" s="829"/>
      <c r="BT131" s="829"/>
      <c r="BU131" s="829"/>
      <c r="BV131" s="829"/>
      <c r="BW131" s="829"/>
      <c r="BX131" s="829"/>
      <c r="BY131" s="829"/>
      <c r="BZ131" s="829"/>
      <c r="CA131" s="829"/>
      <c r="CB131" s="845"/>
      <c r="CC131" s="829"/>
      <c r="CD131" s="846"/>
      <c r="CE131" s="846"/>
      <c r="CF131" s="829"/>
      <c r="CG131" s="829"/>
      <c r="CH131" s="829"/>
      <c r="CI131" s="829"/>
      <c r="CJ131" s="829"/>
      <c r="CK131" s="847"/>
      <c r="CL131" s="137"/>
      <c r="CM131" s="833"/>
      <c r="CN131" s="833"/>
      <c r="CO131" s="320"/>
      <c r="CP131" s="137"/>
      <c r="CQ131" s="833"/>
      <c r="CR131" s="137"/>
      <c r="CS131" s="833"/>
      <c r="CT131" s="137"/>
      <c r="CU131" s="137"/>
      <c r="CV131" s="137"/>
      <c r="CW131" s="137"/>
      <c r="CX131" s="137"/>
      <c r="CY131" s="833"/>
      <c r="CZ131" s="833"/>
      <c r="DA131" s="137"/>
      <c r="DB131" s="30"/>
      <c r="DC131" s="833"/>
      <c r="DD131" s="833"/>
      <c r="DE131" s="833"/>
      <c r="DF131" s="137"/>
      <c r="DG131" s="833"/>
      <c r="DH131" s="30"/>
      <c r="DI131" s="30"/>
      <c r="DJ131" s="30"/>
      <c r="DK131" s="137"/>
      <c r="DL131" s="232"/>
      <c r="DM131" s="30"/>
      <c r="DN131" s="833"/>
      <c r="DO131" s="833"/>
      <c r="DP131" s="320"/>
      <c r="DQ131" s="833"/>
      <c r="DR131" s="833"/>
      <c r="DS131" s="137"/>
      <c r="DT131" s="833"/>
      <c r="DU131" s="833"/>
      <c r="DV131" s="137"/>
      <c r="DW131" s="833"/>
      <c r="DX131" s="833"/>
      <c r="DY131" s="137"/>
      <c r="DZ131" s="833"/>
      <c r="EA131" s="833"/>
      <c r="EB131" s="137"/>
      <c r="EC131" s="833"/>
      <c r="ED131" s="833"/>
      <c r="EE131" s="137"/>
      <c r="EF131" s="833"/>
      <c r="EG131" s="833"/>
      <c r="EH131" s="137"/>
      <c r="EI131" s="833"/>
      <c r="EJ131" s="833"/>
      <c r="EK131" s="833"/>
      <c r="EL131" s="30"/>
      <c r="EM131" s="30"/>
      <c r="EN131" s="30"/>
      <c r="EO131" s="30"/>
      <c r="EP131" s="30"/>
      <c r="EQ131" s="30"/>
      <c r="ER131" s="30"/>
      <c r="ES131" s="30"/>
      <c r="ET131" s="30"/>
      <c r="EU131" s="30"/>
      <c r="EV131" s="338"/>
      <c r="EW131" s="30"/>
      <c r="EX131" s="30"/>
      <c r="EY131" s="30"/>
      <c r="EZ131" s="30"/>
      <c r="FA131" s="849"/>
      <c r="FB131" s="849"/>
      <c r="FC131" s="849"/>
      <c r="FD131" s="849"/>
      <c r="FE131" s="849"/>
      <c r="FF131" s="849"/>
      <c r="FG131" s="826"/>
      <c r="FH131" s="826"/>
      <c r="FI131" s="826"/>
      <c r="FJ131" s="826"/>
      <c r="FK131" s="30"/>
      <c r="FL131" s="30"/>
      <c r="FM131" s="30"/>
      <c r="FN131" s="30"/>
      <c r="FO131" s="30"/>
      <c r="FP131" s="30"/>
      <c r="FQ131" s="30"/>
      <c r="FR131" s="30"/>
      <c r="FS131" s="30"/>
      <c r="FT131" s="30"/>
      <c r="FU131" s="30"/>
      <c r="FV131" s="30"/>
      <c r="FW131" s="30"/>
      <c r="FX131" s="30"/>
      <c r="FY131" s="30"/>
      <c r="FZ131" s="30"/>
      <c r="GA131" s="30"/>
      <c r="GB131" s="30"/>
      <c r="GC131" s="30"/>
      <c r="GD131" s="30"/>
      <c r="GE131" s="30"/>
      <c r="GF131" s="829"/>
      <c r="GG131" s="850"/>
      <c r="GH131" s="137"/>
      <c r="GI131" s="137"/>
      <c r="GJ131" s="137"/>
      <c r="GK131" s="137"/>
      <c r="GL131" s="137"/>
      <c r="GM131" s="137"/>
      <c r="GN131" s="137"/>
      <c r="GO131" s="137"/>
      <c r="GP131" s="137"/>
      <c r="GQ131" s="137"/>
      <c r="GR131" s="137"/>
      <c r="GS131" s="137"/>
      <c r="GT131" s="137"/>
      <c r="GU131" s="137"/>
      <c r="GV131" s="137"/>
      <c r="GW131" s="137"/>
      <c r="GX131" s="137"/>
      <c r="GY131" s="137"/>
      <c r="GZ131" s="137"/>
      <c r="HA131" s="137"/>
      <c r="HB131" s="830"/>
      <c r="HC131" s="137"/>
      <c r="HD131" s="137"/>
      <c r="HE131" s="137"/>
      <c r="HF131" s="137"/>
      <c r="HG131" s="137"/>
      <c r="HH131" s="137"/>
      <c r="HI131" s="853"/>
      <c r="HJ131" s="854"/>
      <c r="HK131" s="854"/>
      <c r="HL131" s="854"/>
      <c r="HM131" s="851"/>
      <c r="HN131" s="851"/>
      <c r="HO131" s="851"/>
      <c r="HP131" s="851"/>
      <c r="HQ131" s="851"/>
      <c r="HR131" s="851"/>
      <c r="HS131" s="851"/>
      <c r="HT131" s="851"/>
      <c r="HU131" s="851"/>
      <c r="HV131" s="851"/>
      <c r="HW131" s="851"/>
      <c r="HX131" s="851"/>
    </row>
    <row r="132" spans="2:232">
      <c r="B132" s="365" t="s">
        <v>512</v>
      </c>
      <c r="C132" s="367">
        <f t="shared" si="270"/>
        <v>0</v>
      </c>
      <c r="D132" s="367">
        <f t="shared" si="263"/>
        <v>0</v>
      </c>
      <c r="E132" s="367">
        <f t="shared" si="264"/>
        <v>0</v>
      </c>
      <c r="F132" s="367">
        <f t="shared" si="265"/>
        <v>0</v>
      </c>
      <c r="G132" s="367">
        <f t="shared" si="266"/>
        <v>0</v>
      </c>
      <c r="H132" s="367">
        <f t="shared" si="267"/>
        <v>0</v>
      </c>
      <c r="I132" s="367">
        <f t="shared" si="268"/>
        <v>0</v>
      </c>
      <c r="J132" s="367">
        <f t="shared" si="269"/>
        <v>0</v>
      </c>
      <c r="K132" s="838"/>
      <c r="L132" s="840"/>
      <c r="M132" s="840"/>
      <c r="N132" s="840"/>
      <c r="O132" s="842"/>
      <c r="P132" s="842" t="e">
        <f>SUM(P119:P131)</f>
        <v>#N/A</v>
      </c>
      <c r="Q132" s="842"/>
      <c r="R132" s="137"/>
      <c r="S132" s="137"/>
      <c r="T132" s="137"/>
      <c r="U132" s="137"/>
      <c r="V132" s="137"/>
      <c r="W132" s="137"/>
      <c r="X132" s="137"/>
      <c r="Y132" s="137"/>
      <c r="Z132" s="137"/>
      <c r="AA132" s="137"/>
      <c r="AB132" s="137"/>
      <c r="AC132" s="844"/>
      <c r="AD132" s="103"/>
      <c r="AE132" s="137"/>
      <c r="AF132" s="137"/>
      <c r="AG132" s="137"/>
      <c r="AH132" s="137"/>
      <c r="AI132" s="137"/>
      <c r="AJ132" s="137"/>
      <c r="AK132" s="137"/>
      <c r="AL132" s="137"/>
      <c r="AM132" s="137"/>
      <c r="AN132" s="137"/>
      <c r="AO132" s="137"/>
      <c r="AP132" s="137"/>
      <c r="AQ132" s="137"/>
      <c r="AR132" s="137"/>
      <c r="AS132" s="137"/>
      <c r="AT132" s="844"/>
      <c r="AU132" s="103"/>
      <c r="AV132" s="137"/>
      <c r="AW132" s="137"/>
      <c r="AX132" s="137"/>
      <c r="AY132" s="137"/>
      <c r="AZ132" s="137"/>
      <c r="BA132" s="137"/>
      <c r="BB132" s="137"/>
      <c r="BC132" s="829"/>
      <c r="BD132" s="829"/>
      <c r="BE132" s="829"/>
      <c r="BF132" s="829"/>
      <c r="BG132" s="829"/>
      <c r="BH132" s="829"/>
      <c r="BI132" s="829"/>
      <c r="BJ132" s="829"/>
      <c r="BK132" s="829"/>
      <c r="BL132" s="829"/>
      <c r="BM132" s="829"/>
      <c r="BN132" s="829"/>
      <c r="BO132" s="829"/>
      <c r="BP132" s="829"/>
      <c r="BQ132" s="829"/>
      <c r="BR132" s="829"/>
      <c r="BS132" s="829"/>
      <c r="BT132" s="829"/>
      <c r="BU132" s="829"/>
      <c r="BV132" s="829"/>
      <c r="BW132" s="829"/>
      <c r="BX132" s="829"/>
      <c r="BY132" s="829"/>
      <c r="BZ132" s="829"/>
      <c r="CA132" s="829"/>
      <c r="CB132" s="845"/>
      <c r="CC132" s="829"/>
      <c r="CD132" s="846"/>
      <c r="CE132" s="846"/>
      <c r="CF132" s="829"/>
      <c r="CG132" s="829"/>
      <c r="CH132" s="829"/>
      <c r="CI132" s="829"/>
      <c r="CJ132" s="829"/>
      <c r="CK132" s="847"/>
      <c r="CL132" s="137"/>
      <c r="CM132" s="833"/>
      <c r="CN132" s="833"/>
      <c r="CO132" s="320"/>
      <c r="CP132" s="137"/>
      <c r="CQ132" s="833"/>
      <c r="CR132" s="137"/>
      <c r="CS132" s="833"/>
      <c r="CT132" s="137"/>
      <c r="CU132" s="137"/>
      <c r="CV132" s="137"/>
      <c r="CW132" s="137"/>
      <c r="CX132" s="137"/>
      <c r="CY132" s="833"/>
      <c r="CZ132" s="833"/>
      <c r="DA132" s="137"/>
      <c r="DB132" s="137"/>
      <c r="DC132" s="833"/>
      <c r="DD132" s="833"/>
      <c r="DE132" s="833"/>
      <c r="DF132" s="137"/>
      <c r="DG132" s="833"/>
      <c r="DH132" s="137"/>
      <c r="DI132" s="137"/>
      <c r="DJ132" s="137"/>
      <c r="DK132" s="137"/>
      <c r="DL132" s="837"/>
      <c r="DM132" s="137"/>
      <c r="DN132" s="833"/>
      <c r="DO132" s="833"/>
      <c r="DP132" s="320"/>
      <c r="DQ132" s="833"/>
      <c r="DR132" s="833"/>
      <c r="DS132" s="137"/>
      <c r="DT132" s="833"/>
      <c r="DU132" s="833"/>
      <c r="DV132" s="137"/>
      <c r="DW132" s="833"/>
      <c r="DX132" s="833"/>
      <c r="DY132" s="137"/>
      <c r="DZ132" s="833"/>
      <c r="EA132" s="833"/>
      <c r="EB132" s="137"/>
      <c r="EC132" s="833"/>
      <c r="ED132" s="833"/>
      <c r="EE132" s="137"/>
      <c r="EF132" s="833"/>
      <c r="EG132" s="833"/>
      <c r="EH132" s="137"/>
      <c r="EI132" s="833"/>
      <c r="EJ132" s="833"/>
      <c r="EK132" s="833"/>
      <c r="EL132" s="137"/>
      <c r="EM132" s="137"/>
      <c r="EN132" s="137"/>
      <c r="EO132" s="137"/>
      <c r="EP132" s="137"/>
      <c r="EQ132" s="137"/>
      <c r="ER132" s="137"/>
      <c r="ES132" s="137"/>
      <c r="ET132" s="137"/>
      <c r="EU132" s="137"/>
      <c r="EV132" s="848"/>
      <c r="EW132" s="137"/>
      <c r="EX132" s="137"/>
      <c r="EY132" s="137"/>
      <c r="EZ132" s="137"/>
      <c r="FA132" s="849"/>
      <c r="FB132" s="849"/>
      <c r="FC132" s="849"/>
      <c r="FD132" s="849"/>
      <c r="FE132" s="849"/>
      <c r="FF132" s="849"/>
      <c r="FG132" s="826"/>
      <c r="FH132" s="826"/>
      <c r="FI132" s="826"/>
      <c r="FJ132" s="826"/>
      <c r="FK132" s="137"/>
      <c r="FL132" s="137"/>
      <c r="FM132" s="137"/>
      <c r="FN132" s="137"/>
      <c r="FO132" s="137"/>
      <c r="FP132" s="137"/>
      <c r="FQ132" s="137"/>
      <c r="FR132" s="137"/>
      <c r="FS132" s="137"/>
      <c r="FT132" s="137"/>
      <c r="FU132" s="137"/>
      <c r="FV132" s="137"/>
      <c r="FW132" s="137"/>
      <c r="FX132" s="137"/>
      <c r="FY132" s="137"/>
      <c r="FZ132" s="137"/>
      <c r="GA132" s="137"/>
      <c r="GB132" s="137"/>
      <c r="GC132" s="137"/>
      <c r="GD132" s="137"/>
      <c r="GE132" s="137"/>
      <c r="GF132" s="829"/>
      <c r="GG132" s="850"/>
      <c r="GH132" s="137"/>
      <c r="GI132" s="137"/>
      <c r="GJ132" s="137"/>
      <c r="GK132" s="137"/>
      <c r="GL132" s="137"/>
      <c r="GM132" s="137"/>
      <c r="GN132" s="137"/>
      <c r="GO132" s="137"/>
      <c r="GP132" s="137"/>
      <c r="GQ132" s="137"/>
      <c r="GR132" s="137"/>
      <c r="GS132" s="137"/>
      <c r="GT132" s="137"/>
      <c r="GU132" s="137"/>
      <c r="GV132" s="137"/>
      <c r="GW132" s="137"/>
      <c r="GX132" s="137"/>
      <c r="GY132" s="137"/>
      <c r="GZ132" s="137"/>
      <c r="HA132" s="137"/>
      <c r="HB132" s="830"/>
      <c r="HC132" s="137"/>
      <c r="HD132" s="137"/>
      <c r="HE132" s="137"/>
      <c r="HF132" s="137"/>
      <c r="HG132" s="137"/>
      <c r="HH132" s="137"/>
      <c r="HI132" s="853"/>
      <c r="HJ132" s="854"/>
      <c r="HK132" s="854"/>
      <c r="HL132" s="854"/>
      <c r="HM132" s="851"/>
      <c r="HN132" s="851"/>
      <c r="HO132" s="851"/>
      <c r="HP132" s="851"/>
      <c r="HQ132" s="851"/>
      <c r="HR132" s="851"/>
      <c r="HS132" s="851"/>
      <c r="HT132" s="851"/>
      <c r="HU132" s="851"/>
      <c r="HV132" s="851"/>
      <c r="HW132" s="851"/>
      <c r="HX132" s="851"/>
    </row>
    <row r="133" spans="2:232">
      <c r="B133" s="365" t="s">
        <v>382</v>
      </c>
      <c r="C133" s="367">
        <f t="shared" si="270"/>
        <v>2</v>
      </c>
      <c r="D133" s="367">
        <f t="shared" si="263"/>
        <v>1</v>
      </c>
      <c r="E133" s="367">
        <f t="shared" si="264"/>
        <v>0</v>
      </c>
      <c r="F133" s="367">
        <f t="shared" si="265"/>
        <v>0</v>
      </c>
      <c r="G133" s="367">
        <f t="shared" si="266"/>
        <v>0</v>
      </c>
      <c r="H133" s="367">
        <f t="shared" si="267"/>
        <v>3</v>
      </c>
      <c r="I133" s="367">
        <f t="shared" si="268"/>
        <v>0</v>
      </c>
      <c r="J133" s="367">
        <f t="shared" si="269"/>
        <v>0</v>
      </c>
      <c r="K133" s="838"/>
      <c r="L133" s="840"/>
      <c r="M133" s="840"/>
      <c r="N133" s="840"/>
      <c r="O133" s="137"/>
      <c r="P133" s="137"/>
      <c r="Q133" s="137"/>
      <c r="R133" s="137"/>
      <c r="S133" s="137"/>
      <c r="T133" s="137"/>
      <c r="U133" s="137"/>
      <c r="V133" s="137"/>
      <c r="W133" s="137"/>
      <c r="X133" s="137"/>
      <c r="Y133" s="137"/>
      <c r="Z133" s="137"/>
      <c r="AA133" s="137"/>
      <c r="AB133" s="137"/>
      <c r="AC133" s="137"/>
      <c r="AD133" s="137"/>
      <c r="AE133" s="137"/>
      <c r="AF133" s="137"/>
      <c r="AG133" s="137"/>
      <c r="AH133" s="137"/>
      <c r="AI133" s="137"/>
      <c r="AJ133" s="137"/>
      <c r="AK133" s="137"/>
      <c r="AL133" s="137"/>
      <c r="AM133" s="137"/>
      <c r="AN133" s="137"/>
      <c r="AO133" s="137"/>
      <c r="AP133" s="137"/>
      <c r="AQ133" s="137"/>
      <c r="AR133" s="137"/>
      <c r="AS133" s="137"/>
      <c r="AT133" s="844"/>
      <c r="AU133" s="103"/>
      <c r="AV133" s="137"/>
      <c r="AW133" s="137"/>
      <c r="AX133" s="137"/>
      <c r="AY133" s="137"/>
      <c r="AZ133" s="137"/>
      <c r="BA133" s="137"/>
      <c r="BB133" s="137"/>
      <c r="BC133" s="829"/>
      <c r="BD133" s="829"/>
      <c r="BE133" s="829"/>
      <c r="BF133" s="829"/>
      <c r="BG133" s="829"/>
      <c r="BH133" s="829"/>
      <c r="BI133" s="829"/>
      <c r="BJ133" s="829"/>
      <c r="BK133" s="829"/>
      <c r="BL133" s="829"/>
      <c r="BM133" s="829"/>
      <c r="BN133" s="829"/>
      <c r="BO133" s="829"/>
      <c r="BP133" s="829"/>
      <c r="BQ133" s="829"/>
      <c r="BR133" s="829"/>
      <c r="BS133" s="829"/>
      <c r="BT133" s="829"/>
      <c r="BU133" s="829"/>
      <c r="BV133" s="829"/>
      <c r="BW133" s="829"/>
      <c r="BX133" s="829"/>
      <c r="BY133" s="829"/>
      <c r="BZ133" s="829"/>
      <c r="CA133" s="829"/>
      <c r="CB133" s="845"/>
      <c r="CC133" s="829"/>
      <c r="CD133" s="846"/>
      <c r="CE133" s="846"/>
      <c r="CF133" s="829"/>
      <c r="CG133" s="829"/>
      <c r="CH133" s="829"/>
      <c r="CI133" s="829"/>
      <c r="CJ133" s="829"/>
      <c r="CK133" s="847"/>
      <c r="CL133" s="137"/>
      <c r="CM133" s="833"/>
      <c r="CN133" s="833"/>
      <c r="CO133" s="320"/>
      <c r="CP133" s="137"/>
      <c r="CQ133" s="833"/>
      <c r="CR133" s="137"/>
      <c r="CS133" s="833"/>
      <c r="CT133" s="137"/>
      <c r="CU133" s="137"/>
      <c r="CV133" s="137"/>
      <c r="CW133" s="137"/>
      <c r="CX133" s="137"/>
      <c r="CY133" s="833"/>
      <c r="CZ133" s="833"/>
      <c r="DA133" s="137"/>
      <c r="DB133" s="137"/>
      <c r="DC133" s="833"/>
      <c r="DD133" s="833"/>
      <c r="DE133" s="833"/>
      <c r="DF133" s="137"/>
      <c r="DG133" s="833"/>
      <c r="DH133" s="137"/>
      <c r="DI133" s="137"/>
      <c r="DJ133" s="137"/>
      <c r="DK133" s="137"/>
      <c r="DL133" s="837"/>
      <c r="DM133" s="137"/>
      <c r="DN133" s="833"/>
      <c r="DO133" s="833"/>
      <c r="DP133" s="320"/>
      <c r="DQ133" s="833"/>
      <c r="DR133" s="833"/>
      <c r="DS133" s="137"/>
      <c r="DT133" s="833"/>
      <c r="DU133" s="833"/>
      <c r="DV133" s="137"/>
      <c r="DW133" s="833"/>
      <c r="DX133" s="833"/>
      <c r="DY133" s="137"/>
      <c r="DZ133" s="833"/>
      <c r="EA133" s="833"/>
      <c r="EB133" s="137"/>
      <c r="EC133" s="833"/>
      <c r="ED133" s="833"/>
      <c r="EE133" s="137"/>
      <c r="EF133" s="833"/>
      <c r="EG133" s="833"/>
      <c r="EH133" s="137"/>
      <c r="EI133" s="833"/>
      <c r="EJ133" s="833"/>
      <c r="EK133" s="833"/>
      <c r="EL133" s="137"/>
      <c r="EM133" s="137"/>
      <c r="EN133" s="137"/>
      <c r="EO133" s="137"/>
      <c r="EP133" s="137"/>
      <c r="EQ133" s="137"/>
      <c r="ER133" s="137"/>
      <c r="ES133" s="137"/>
      <c r="ET133" s="137"/>
      <c r="EU133" s="137"/>
      <c r="EV133" s="848"/>
      <c r="EW133" s="137"/>
      <c r="EX133" s="137"/>
      <c r="EY133" s="137"/>
      <c r="EZ133" s="137"/>
      <c r="FA133" s="849"/>
      <c r="FB133" s="849"/>
      <c r="FC133" s="849"/>
      <c r="FD133" s="849"/>
      <c r="FE133" s="849"/>
      <c r="FF133" s="849"/>
      <c r="FG133" s="826"/>
      <c r="FH133" s="826"/>
      <c r="FI133" s="826"/>
      <c r="FJ133" s="826"/>
      <c r="FK133" s="137"/>
      <c r="FL133" s="137"/>
      <c r="FM133" s="137"/>
      <c r="FN133" s="137"/>
      <c r="FO133" s="137"/>
      <c r="FP133" s="137"/>
      <c r="FQ133" s="137"/>
      <c r="FR133" s="137"/>
      <c r="FS133" s="137"/>
      <c r="FT133" s="137"/>
      <c r="FU133" s="137"/>
      <c r="FV133" s="137"/>
      <c r="FW133" s="137"/>
      <c r="FX133" s="137"/>
      <c r="FY133" s="137"/>
      <c r="FZ133" s="137"/>
      <c r="GA133" s="137"/>
      <c r="GB133" s="137"/>
      <c r="GC133" s="137"/>
      <c r="GD133" s="137"/>
      <c r="GE133" s="137"/>
      <c r="GF133" s="829"/>
      <c r="GG133" s="850"/>
      <c r="GH133" s="137"/>
      <c r="GI133" s="137"/>
      <c r="GJ133" s="137"/>
      <c r="GK133" s="137"/>
      <c r="GL133" s="137"/>
      <c r="GM133" s="137"/>
      <c r="GN133" s="137"/>
      <c r="GO133" s="137"/>
      <c r="GP133" s="137"/>
      <c r="GQ133" s="137"/>
      <c r="GR133" s="137"/>
      <c r="GS133" s="137"/>
      <c r="GT133" s="137"/>
      <c r="GU133" s="137"/>
      <c r="GV133" s="137"/>
      <c r="GW133" s="137"/>
      <c r="GX133" s="137"/>
      <c r="GY133" s="137"/>
      <c r="GZ133" s="137"/>
      <c r="HA133" s="137"/>
      <c r="HB133" s="830"/>
      <c r="HC133" s="137"/>
      <c r="HD133" s="137"/>
      <c r="HE133" s="137"/>
      <c r="HF133" s="137"/>
      <c r="HG133" s="137"/>
      <c r="HH133" s="137"/>
      <c r="HI133" s="853"/>
      <c r="HJ133" s="854"/>
      <c r="HK133" s="854"/>
      <c r="HL133" s="854"/>
      <c r="HM133" s="851"/>
      <c r="HN133" s="851"/>
      <c r="HO133" s="851"/>
      <c r="HP133" s="851"/>
      <c r="HQ133" s="851"/>
      <c r="HR133" s="851"/>
      <c r="HS133" s="851"/>
      <c r="HT133" s="851"/>
      <c r="HU133" s="851"/>
      <c r="HV133" s="851"/>
      <c r="HW133" s="851"/>
      <c r="HX133" s="851"/>
    </row>
    <row r="134" spans="2:232">
      <c r="B134" s="365" t="s">
        <v>378</v>
      </c>
      <c r="C134" s="367">
        <f t="shared" si="270"/>
        <v>3</v>
      </c>
      <c r="D134" s="367">
        <f t="shared" si="263"/>
        <v>2</v>
      </c>
      <c r="E134" s="367">
        <f t="shared" si="264"/>
        <v>0</v>
      </c>
      <c r="F134" s="367">
        <f t="shared" si="265"/>
        <v>0</v>
      </c>
      <c r="G134" s="367">
        <f t="shared" si="266"/>
        <v>0</v>
      </c>
      <c r="H134" s="367">
        <f t="shared" si="267"/>
        <v>1</v>
      </c>
      <c r="I134" s="367">
        <f t="shared" si="268"/>
        <v>0</v>
      </c>
      <c r="J134" s="367">
        <f t="shared" si="269"/>
        <v>1</v>
      </c>
      <c r="K134" s="838"/>
      <c r="L134" s="840"/>
      <c r="M134" s="840"/>
      <c r="N134" s="840"/>
      <c r="O134" s="137"/>
      <c r="P134" s="137"/>
      <c r="Q134" s="137"/>
      <c r="R134" s="137"/>
      <c r="S134" s="137"/>
      <c r="T134" s="137"/>
      <c r="U134" s="137"/>
      <c r="V134" s="137"/>
      <c r="W134" s="137"/>
      <c r="X134" s="137"/>
      <c r="Y134" s="137"/>
      <c r="Z134" s="137"/>
      <c r="AA134" s="137"/>
      <c r="AB134" s="137"/>
      <c r="AC134" s="137"/>
      <c r="AD134" s="137"/>
      <c r="AE134" s="137"/>
      <c r="AF134" s="137"/>
      <c r="AG134" s="137"/>
      <c r="AH134" s="137"/>
      <c r="AI134" s="137"/>
      <c r="AJ134" s="137"/>
      <c r="AK134" s="137"/>
      <c r="AL134" s="137"/>
      <c r="AM134" s="137"/>
      <c r="AN134" s="137"/>
      <c r="AO134" s="137"/>
      <c r="AP134" s="137"/>
      <c r="AQ134" s="137"/>
      <c r="AR134" s="137"/>
      <c r="AS134" s="137"/>
      <c r="AT134" s="844"/>
      <c r="AU134" s="103"/>
      <c r="AV134" s="137"/>
      <c r="AW134" s="137"/>
      <c r="AX134" s="137"/>
      <c r="AY134" s="137"/>
      <c r="AZ134" s="137"/>
      <c r="BA134" s="137"/>
      <c r="BB134" s="137"/>
      <c r="BC134" s="829"/>
      <c r="BD134" s="829"/>
      <c r="BE134" s="829"/>
      <c r="BF134" s="829"/>
      <c r="BG134" s="829"/>
      <c r="BH134" s="829"/>
      <c r="BI134" s="829"/>
      <c r="BJ134" s="829"/>
      <c r="BK134" s="829"/>
      <c r="BL134" s="829"/>
      <c r="BM134" s="829"/>
      <c r="BN134" s="829"/>
      <c r="BO134" s="829"/>
      <c r="BP134" s="829"/>
      <c r="BQ134" s="829"/>
      <c r="BR134" s="829"/>
      <c r="BS134" s="829"/>
      <c r="BT134" s="829"/>
      <c r="BU134" s="829"/>
      <c r="BV134" s="829"/>
      <c r="BW134" s="829"/>
      <c r="BX134" s="829"/>
      <c r="BY134" s="829"/>
      <c r="BZ134" s="829"/>
      <c r="CA134" s="829"/>
      <c r="CB134" s="845"/>
      <c r="CC134" s="829"/>
      <c r="CD134" s="846"/>
      <c r="CE134" s="846"/>
      <c r="CF134" s="829"/>
      <c r="CG134" s="829"/>
      <c r="CH134" s="829"/>
      <c r="CI134" s="829"/>
      <c r="CJ134" s="829"/>
      <c r="CK134" s="847"/>
      <c r="CL134" s="137"/>
      <c r="CM134" s="833"/>
      <c r="CN134" s="833"/>
      <c r="CO134" s="320"/>
      <c r="CP134" s="137"/>
      <c r="CQ134" s="833"/>
      <c r="CR134" s="137"/>
      <c r="CS134" s="833"/>
      <c r="CT134" s="137"/>
      <c r="CU134" s="137"/>
      <c r="CV134" s="137"/>
      <c r="CW134" s="137"/>
      <c r="CX134" s="137"/>
      <c r="CY134" s="833"/>
      <c r="CZ134" s="833"/>
      <c r="DA134" s="137"/>
      <c r="DB134" s="137"/>
      <c r="DC134" s="833"/>
      <c r="DD134" s="833"/>
      <c r="DE134" s="833"/>
      <c r="DF134" s="137"/>
      <c r="DG134" s="833"/>
      <c r="DH134" s="137"/>
      <c r="DI134" s="137"/>
      <c r="DJ134" s="137"/>
      <c r="DK134" s="137"/>
      <c r="DL134" s="837"/>
      <c r="DM134" s="137"/>
      <c r="DN134" s="833"/>
      <c r="DO134" s="833"/>
      <c r="DP134" s="320"/>
      <c r="DQ134" s="833"/>
      <c r="DR134" s="833"/>
      <c r="DS134" s="137"/>
      <c r="DT134" s="833"/>
      <c r="DU134" s="833"/>
      <c r="DV134" s="137"/>
      <c r="DW134" s="833"/>
      <c r="DX134" s="833"/>
      <c r="DY134" s="137"/>
      <c r="DZ134" s="833"/>
      <c r="EA134" s="833"/>
      <c r="EB134" s="137"/>
      <c r="EC134" s="833"/>
      <c r="ED134" s="833"/>
      <c r="EE134" s="137"/>
      <c r="EF134" s="833"/>
      <c r="EG134" s="833"/>
      <c r="EH134" s="137"/>
      <c r="EI134" s="833"/>
      <c r="EJ134" s="833"/>
      <c r="EK134" s="833"/>
      <c r="EL134" s="137"/>
      <c r="EM134" s="137"/>
      <c r="EN134" s="137"/>
      <c r="EO134" s="137"/>
      <c r="EP134" s="137"/>
      <c r="EQ134" s="137"/>
      <c r="ER134" s="137"/>
      <c r="ES134" s="137"/>
      <c r="ET134" s="137"/>
      <c r="EU134" s="137"/>
      <c r="EV134" s="848"/>
      <c r="EW134" s="137"/>
      <c r="EX134" s="137"/>
      <c r="EY134" s="137"/>
      <c r="EZ134" s="137"/>
      <c r="FA134" s="849"/>
      <c r="FB134" s="849"/>
      <c r="FC134" s="849"/>
      <c r="FD134" s="849"/>
      <c r="FE134" s="849"/>
      <c r="FF134" s="849"/>
      <c r="FG134" s="826"/>
      <c r="FH134" s="826"/>
      <c r="FI134" s="826"/>
      <c r="FJ134" s="826"/>
      <c r="FK134" s="137"/>
      <c r="FL134" s="137"/>
      <c r="FM134" s="137"/>
      <c r="FN134" s="137"/>
      <c r="FO134" s="137"/>
      <c r="FP134" s="137"/>
      <c r="FQ134" s="137"/>
      <c r="FR134" s="137"/>
      <c r="FS134" s="137"/>
      <c r="FT134" s="137"/>
      <c r="FU134" s="137"/>
      <c r="FV134" s="137"/>
      <c r="FW134" s="137"/>
      <c r="FX134" s="137"/>
      <c r="FY134" s="137"/>
      <c r="FZ134" s="137"/>
      <c r="GA134" s="137"/>
      <c r="GB134" s="137"/>
      <c r="GC134" s="137"/>
      <c r="GD134" s="137"/>
      <c r="GE134" s="137"/>
      <c r="GF134" s="829"/>
      <c r="GG134" s="850"/>
      <c r="GH134" s="137"/>
      <c r="GI134" s="137"/>
      <c r="GJ134" s="137"/>
      <c r="GK134" s="137"/>
      <c r="GL134" s="137"/>
      <c r="GM134" s="137"/>
      <c r="GN134" s="137"/>
      <c r="GO134" s="137"/>
      <c r="GP134" s="137"/>
      <c r="GQ134" s="137"/>
      <c r="GR134" s="137"/>
      <c r="GS134" s="137"/>
      <c r="GT134" s="137"/>
      <c r="GU134" s="137"/>
      <c r="GV134" s="137"/>
      <c r="GW134" s="137"/>
      <c r="GX134" s="137"/>
      <c r="GY134" s="137"/>
      <c r="GZ134" s="137"/>
      <c r="HA134" s="137"/>
      <c r="HB134" s="830"/>
      <c r="HC134" s="137"/>
      <c r="HD134" s="137"/>
      <c r="HE134" s="137"/>
      <c r="HF134" s="137"/>
      <c r="HG134" s="137"/>
      <c r="HH134" s="137"/>
      <c r="HI134" s="853"/>
      <c r="HJ134" s="854"/>
      <c r="HK134" s="854"/>
      <c r="HL134" s="854"/>
      <c r="HM134" s="851"/>
      <c r="HN134" s="851"/>
      <c r="HO134" s="851"/>
      <c r="HP134" s="851"/>
      <c r="HQ134" s="851"/>
      <c r="HR134" s="851"/>
      <c r="HS134" s="851"/>
      <c r="HT134" s="851"/>
      <c r="HU134" s="851"/>
      <c r="HV134" s="851"/>
      <c r="HW134" s="851"/>
      <c r="HX134" s="851"/>
    </row>
    <row r="135" spans="2:232">
      <c r="B135" s="365" t="s">
        <v>91</v>
      </c>
      <c r="C135" s="367">
        <f t="shared" si="270"/>
        <v>0</v>
      </c>
      <c r="D135" s="367">
        <f t="shared" si="263"/>
        <v>0</v>
      </c>
      <c r="E135" s="367">
        <f t="shared" si="264"/>
        <v>0</v>
      </c>
      <c r="F135" s="367">
        <f t="shared" si="265"/>
        <v>0</v>
      </c>
      <c r="G135" s="367">
        <f t="shared" si="266"/>
        <v>0</v>
      </c>
      <c r="H135" s="367">
        <f t="shared" si="267"/>
        <v>0</v>
      </c>
      <c r="I135" s="367">
        <f t="shared" si="268"/>
        <v>0</v>
      </c>
      <c r="J135" s="367">
        <f t="shared" si="269"/>
        <v>0</v>
      </c>
      <c r="K135" s="838"/>
      <c r="L135" s="840"/>
      <c r="M135" s="840"/>
      <c r="N135" s="840"/>
      <c r="O135" s="137"/>
      <c r="P135" s="137"/>
      <c r="Q135" s="137"/>
      <c r="R135" s="137"/>
      <c r="S135" s="137"/>
      <c r="T135" s="137"/>
      <c r="U135" s="137"/>
      <c r="V135" s="137"/>
      <c r="W135" s="137"/>
      <c r="X135" s="137"/>
      <c r="Y135" s="137"/>
      <c r="Z135" s="137"/>
      <c r="AA135" s="137"/>
      <c r="AB135" s="137"/>
      <c r="AC135" s="137"/>
      <c r="AD135" s="137"/>
      <c r="AE135" s="137"/>
      <c r="AF135" s="137"/>
      <c r="AG135" s="137"/>
      <c r="AH135" s="137"/>
      <c r="AI135" s="137"/>
      <c r="AJ135" s="137"/>
      <c r="AK135" s="137"/>
      <c r="AL135" s="137"/>
      <c r="AM135" s="137"/>
      <c r="AN135" s="137"/>
      <c r="AO135" s="137"/>
      <c r="AP135" s="137"/>
      <c r="AQ135" s="137"/>
      <c r="AR135" s="137"/>
      <c r="AS135" s="844"/>
      <c r="AT135" s="103"/>
      <c r="AU135" s="137"/>
      <c r="AV135" s="137"/>
      <c r="AW135" s="137"/>
      <c r="AX135" s="137"/>
      <c r="AY135" s="137"/>
      <c r="AZ135" s="137"/>
      <c r="BA135" s="137"/>
      <c r="BB135" s="137"/>
      <c r="BC135" s="829"/>
      <c r="BD135" s="829"/>
      <c r="BE135" s="829"/>
      <c r="BF135" s="829"/>
      <c r="BG135" s="829"/>
      <c r="BH135" s="829"/>
      <c r="BI135" s="829"/>
      <c r="BJ135" s="829"/>
      <c r="BK135" s="829"/>
      <c r="BL135" s="829"/>
      <c r="BM135" s="829"/>
      <c r="BN135" s="829"/>
      <c r="BO135" s="829"/>
      <c r="BP135" s="829"/>
      <c r="BQ135" s="829"/>
      <c r="BR135" s="829"/>
      <c r="BS135" s="829"/>
      <c r="BT135" s="829"/>
      <c r="BU135" s="829"/>
      <c r="BV135" s="829"/>
      <c r="BW135" s="829"/>
      <c r="BX135" s="829"/>
      <c r="BY135" s="829"/>
      <c r="BZ135" s="829"/>
      <c r="CA135" s="845"/>
      <c r="CB135" s="829"/>
      <c r="CC135" s="829"/>
      <c r="CD135" s="846"/>
      <c r="CE135" s="846"/>
      <c r="CF135" s="829"/>
      <c r="CG135" s="829"/>
      <c r="CH135" s="829"/>
      <c r="CI135" s="829"/>
      <c r="CJ135" s="829"/>
      <c r="CK135" s="847"/>
      <c r="CL135" s="137"/>
      <c r="CM135" s="833"/>
      <c r="CN135" s="833"/>
      <c r="CO135" s="320"/>
      <c r="CP135" s="137"/>
      <c r="CQ135" s="833"/>
      <c r="CR135" s="137"/>
      <c r="CS135" s="833"/>
      <c r="CT135" s="137"/>
      <c r="CU135" s="137"/>
      <c r="CV135" s="137"/>
      <c r="CW135" s="137"/>
      <c r="CX135" s="137"/>
      <c r="CY135" s="833"/>
      <c r="CZ135" s="833"/>
      <c r="DA135" s="137"/>
      <c r="DB135" s="137"/>
      <c r="DC135" s="833"/>
      <c r="DD135" s="833"/>
      <c r="DE135" s="833"/>
      <c r="DF135" s="137"/>
      <c r="DG135" s="833"/>
      <c r="DH135" s="137"/>
      <c r="DI135" s="137"/>
      <c r="DJ135" s="137"/>
      <c r="DK135" s="137"/>
      <c r="DL135" s="837"/>
      <c r="DM135" s="137"/>
      <c r="DN135" s="833"/>
      <c r="DO135" s="833"/>
      <c r="DP135" s="320"/>
      <c r="DQ135" s="833"/>
      <c r="DR135" s="833"/>
      <c r="DS135" s="137"/>
      <c r="DT135" s="833"/>
      <c r="DU135" s="833"/>
      <c r="DV135" s="137"/>
      <c r="DW135" s="833"/>
      <c r="DX135" s="833"/>
      <c r="DY135" s="137"/>
      <c r="DZ135" s="833"/>
      <c r="EA135" s="833"/>
      <c r="EB135" s="137"/>
      <c r="EC135" s="833"/>
      <c r="ED135" s="833"/>
      <c r="EE135" s="137"/>
      <c r="EF135" s="833"/>
      <c r="EG135" s="833"/>
      <c r="EH135" s="137"/>
      <c r="EI135" s="833"/>
      <c r="EJ135" s="833"/>
      <c r="EK135" s="833"/>
      <c r="EL135" s="137"/>
      <c r="EM135" s="137"/>
      <c r="EN135" s="137"/>
      <c r="EO135" s="137"/>
      <c r="EP135" s="137"/>
      <c r="EQ135" s="137"/>
      <c r="ER135" s="137"/>
      <c r="ES135" s="137"/>
      <c r="ET135" s="137"/>
      <c r="EU135" s="137"/>
      <c r="EV135" s="848"/>
      <c r="EW135" s="137"/>
      <c r="EX135" s="137"/>
      <c r="EY135" s="137"/>
      <c r="EZ135" s="137"/>
      <c r="FA135" s="849"/>
      <c r="FB135" s="849"/>
      <c r="FC135" s="849"/>
      <c r="FD135" s="849"/>
      <c r="FE135" s="849"/>
      <c r="FF135" s="849"/>
      <c r="FG135" s="826"/>
      <c r="FH135" s="826"/>
      <c r="FI135" s="826"/>
      <c r="FJ135" s="826"/>
      <c r="FK135" s="137"/>
      <c r="FL135" s="137"/>
      <c r="FM135" s="137"/>
      <c r="FN135" s="137"/>
      <c r="FO135" s="137"/>
      <c r="FP135" s="137"/>
      <c r="FQ135" s="137"/>
      <c r="FR135" s="137"/>
      <c r="FS135" s="137"/>
      <c r="FT135" s="137"/>
      <c r="FU135" s="137"/>
      <c r="FV135" s="137"/>
      <c r="FW135" s="137"/>
      <c r="FX135" s="137"/>
      <c r="FY135" s="137"/>
      <c r="FZ135" s="137"/>
      <c r="GA135" s="137"/>
      <c r="GB135" s="137"/>
      <c r="GC135" s="137"/>
      <c r="GD135" s="137"/>
      <c r="GE135" s="137"/>
      <c r="GF135" s="829"/>
      <c r="GG135" s="850"/>
      <c r="GH135" s="137"/>
      <c r="GI135" s="137"/>
      <c r="GJ135" s="137"/>
      <c r="GK135" s="137"/>
      <c r="GL135" s="137"/>
      <c r="GM135" s="137"/>
      <c r="GN135" s="137"/>
      <c r="GO135" s="137"/>
      <c r="GP135" s="137"/>
      <c r="GQ135" s="137"/>
      <c r="GR135" s="137"/>
      <c r="GS135" s="137"/>
      <c r="GT135" s="137"/>
      <c r="GU135" s="137"/>
      <c r="GV135" s="137"/>
      <c r="GW135" s="137"/>
      <c r="GX135" s="137"/>
      <c r="GY135" s="137"/>
      <c r="GZ135" s="137"/>
      <c r="HA135" s="137"/>
      <c r="HB135" s="830"/>
      <c r="HC135" s="137"/>
      <c r="HD135" s="137"/>
      <c r="HE135" s="137"/>
      <c r="HF135" s="137"/>
      <c r="HG135" s="853"/>
      <c r="HH135" s="853"/>
      <c r="HI135" s="854"/>
      <c r="HJ135" s="854"/>
      <c r="HK135" s="854"/>
      <c r="HL135" s="851"/>
      <c r="HM135" s="851"/>
      <c r="HN135" s="851"/>
      <c r="HO135" s="851"/>
      <c r="HP135" s="851"/>
      <c r="HQ135" s="851"/>
      <c r="HR135" s="851"/>
      <c r="HS135" s="851"/>
      <c r="HT135" s="851"/>
      <c r="HU135" s="851"/>
      <c r="HV135" s="851"/>
      <c r="HW135" s="851"/>
      <c r="HX135" s="851"/>
    </row>
    <row r="136" spans="2:232">
      <c r="B136" s="365" t="s">
        <v>10</v>
      </c>
      <c r="C136" s="367">
        <f t="shared" si="270"/>
        <v>0</v>
      </c>
      <c r="D136" s="367">
        <f t="shared" si="263"/>
        <v>0</v>
      </c>
      <c r="E136" s="367">
        <f t="shared" si="264"/>
        <v>0</v>
      </c>
      <c r="F136" s="367">
        <f t="shared" si="265"/>
        <v>0</v>
      </c>
      <c r="G136" s="367">
        <f t="shared" si="266"/>
        <v>0</v>
      </c>
      <c r="H136" s="367">
        <f t="shared" si="267"/>
        <v>0</v>
      </c>
      <c r="I136" s="367">
        <f t="shared" si="268"/>
        <v>0</v>
      </c>
      <c r="J136" s="367">
        <f t="shared" si="269"/>
        <v>0</v>
      </c>
      <c r="K136" s="838"/>
      <c r="L136" s="840"/>
      <c r="M136" s="840"/>
      <c r="N136" s="840"/>
      <c r="O136" s="137"/>
      <c r="P136" s="137"/>
      <c r="Q136" s="137"/>
      <c r="R136" s="137"/>
      <c r="S136" s="137"/>
      <c r="T136" s="137"/>
      <c r="U136" s="137"/>
      <c r="V136" s="137"/>
      <c r="W136" s="137"/>
      <c r="X136" s="137"/>
      <c r="Y136" s="137"/>
      <c r="Z136" s="137"/>
      <c r="AA136" s="137"/>
      <c r="AB136" s="137"/>
      <c r="AC136" s="137"/>
      <c r="AD136" s="137"/>
      <c r="AE136" s="137"/>
      <c r="AF136" s="137"/>
      <c r="AG136" s="137"/>
      <c r="AH136" s="137"/>
      <c r="AI136" s="137"/>
      <c r="AJ136" s="137"/>
      <c r="AK136" s="137"/>
      <c r="AL136" s="137"/>
      <c r="AM136" s="137"/>
      <c r="AN136" s="137"/>
      <c r="AO136" s="137"/>
      <c r="AP136" s="137"/>
      <c r="AQ136" s="137"/>
      <c r="AR136" s="137"/>
      <c r="AS136" s="137"/>
      <c r="AT136" s="137"/>
      <c r="AU136" s="137"/>
      <c r="AV136" s="137"/>
      <c r="AW136" s="137"/>
      <c r="AX136" s="137"/>
      <c r="AY136" s="137"/>
      <c r="AZ136" s="137"/>
      <c r="BA136" s="137"/>
      <c r="BB136" s="137"/>
      <c r="BC136" s="829"/>
      <c r="BD136" s="829"/>
      <c r="BE136" s="829"/>
      <c r="BF136" s="829"/>
      <c r="BG136" s="829"/>
      <c r="BH136" s="829">
        <f>196-32</f>
        <v>164</v>
      </c>
      <c r="BI136" s="845"/>
      <c r="BJ136" s="845"/>
      <c r="BK136" s="845"/>
      <c r="BL136" s="829"/>
      <c r="BM136" s="829"/>
      <c r="BN136" s="829"/>
      <c r="BO136" s="829"/>
      <c r="BP136" s="829"/>
      <c r="BQ136" s="829"/>
      <c r="BR136" s="829"/>
      <c r="BS136" s="829"/>
      <c r="BT136" s="829"/>
      <c r="BU136" s="829"/>
      <c r="BV136" s="829"/>
      <c r="BW136" s="829"/>
      <c r="BX136" s="829"/>
      <c r="BY136" s="829"/>
      <c r="BZ136" s="829"/>
      <c r="CA136" s="829"/>
      <c r="CB136" s="829"/>
      <c r="CC136" s="829"/>
      <c r="CD136" s="846"/>
      <c r="CE136" s="846"/>
      <c r="CF136" s="829"/>
      <c r="CG136" s="829"/>
      <c r="CH136" s="829"/>
      <c r="CI136" s="829"/>
      <c r="CJ136" s="829"/>
      <c r="CK136" s="847"/>
      <c r="CL136" s="137"/>
      <c r="CM136" s="833"/>
      <c r="CN136" s="833"/>
      <c r="CO136" s="320"/>
      <c r="CP136" s="137"/>
      <c r="CQ136" s="833"/>
      <c r="CR136" s="137"/>
      <c r="CS136" s="833"/>
      <c r="CT136" s="137"/>
      <c r="CU136" s="137"/>
      <c r="CV136" s="137"/>
      <c r="CW136" s="137"/>
      <c r="CX136" s="137"/>
      <c r="CY136" s="833"/>
      <c r="CZ136" s="833"/>
      <c r="DA136" s="137"/>
      <c r="DB136" s="137"/>
      <c r="DC136" s="833"/>
      <c r="DD136" s="833"/>
      <c r="DE136" s="833"/>
      <c r="DF136" s="137"/>
      <c r="DG136" s="833"/>
      <c r="DH136" s="137"/>
      <c r="DI136" s="137"/>
      <c r="DJ136" s="137"/>
      <c r="DK136" s="137"/>
      <c r="DL136" s="837"/>
      <c r="DM136" s="137"/>
      <c r="DN136" s="833"/>
      <c r="DO136" s="833"/>
      <c r="DP136" s="320"/>
      <c r="DQ136" s="833"/>
      <c r="DR136" s="833"/>
      <c r="DS136" s="137"/>
      <c r="DT136" s="833"/>
      <c r="DU136" s="833"/>
      <c r="DV136" s="137"/>
      <c r="DW136" s="833"/>
      <c r="DX136" s="833"/>
      <c r="DY136" s="137"/>
      <c r="DZ136" s="833"/>
      <c r="EA136" s="833"/>
      <c r="EB136" s="137"/>
      <c r="EC136" s="833"/>
      <c r="ED136" s="833"/>
      <c r="EE136" s="137"/>
      <c r="EF136" s="833"/>
      <c r="EG136" s="833"/>
      <c r="EH136" s="137"/>
      <c r="EI136" s="833"/>
      <c r="EJ136" s="833"/>
      <c r="EK136" s="833"/>
      <c r="EL136" s="137"/>
      <c r="EM136" s="137"/>
      <c r="EN136" s="137"/>
      <c r="EO136" s="137"/>
      <c r="EP136" s="137"/>
      <c r="EQ136" s="137"/>
      <c r="ER136" s="137"/>
      <c r="ES136" s="137"/>
      <c r="ET136" s="137"/>
      <c r="EU136" s="137"/>
      <c r="EV136" s="848"/>
      <c r="EW136" s="137"/>
      <c r="EX136" s="137"/>
      <c r="EY136" s="137"/>
      <c r="EZ136" s="137"/>
      <c r="FA136" s="849"/>
      <c r="FB136" s="849"/>
      <c r="FC136" s="849"/>
      <c r="FD136" s="849"/>
      <c r="FE136" s="849"/>
      <c r="FF136" s="849"/>
      <c r="FG136" s="826"/>
      <c r="FH136" s="826"/>
      <c r="FI136" s="826"/>
      <c r="FJ136" s="826"/>
      <c r="FK136" s="137"/>
      <c r="FL136" s="137"/>
      <c r="FM136" s="137"/>
      <c r="FN136" s="137"/>
      <c r="FO136" s="137"/>
      <c r="FP136" s="137"/>
      <c r="FQ136" s="137"/>
      <c r="FR136" s="137"/>
      <c r="FS136" s="137"/>
      <c r="FT136" s="137"/>
      <c r="FU136" s="137"/>
      <c r="FV136" s="137"/>
      <c r="FW136" s="137"/>
      <c r="FX136" s="137"/>
      <c r="FY136" s="137"/>
      <c r="FZ136" s="137"/>
      <c r="GA136" s="137"/>
      <c r="GB136" s="137"/>
      <c r="GC136" s="137"/>
      <c r="GD136" s="137"/>
      <c r="GE136" s="137"/>
      <c r="GF136" s="829"/>
      <c r="GG136" s="850"/>
      <c r="GH136" s="137"/>
      <c r="GI136" s="137"/>
      <c r="GJ136" s="137"/>
      <c r="GK136" s="137"/>
      <c r="GL136" s="137"/>
      <c r="GM136" s="137"/>
      <c r="GN136" s="137"/>
      <c r="GO136" s="137"/>
      <c r="GP136" s="137"/>
      <c r="GQ136" s="137"/>
      <c r="GR136" s="853"/>
      <c r="GS136" s="854"/>
      <c r="GT136" s="854"/>
      <c r="GU136" s="854"/>
      <c r="GV136" s="854"/>
      <c r="GW136" s="851"/>
      <c r="GX136" s="851"/>
      <c r="GY136" s="851"/>
      <c r="GZ136" s="851"/>
      <c r="HA136" s="851"/>
      <c r="HB136" s="612"/>
      <c r="HC136" s="851"/>
      <c r="HD136" s="851"/>
      <c r="HE136" s="851"/>
      <c r="HF136" s="851"/>
      <c r="HG136" s="851"/>
      <c r="HH136" s="851"/>
      <c r="HI136" s="851"/>
      <c r="HJ136" s="851"/>
      <c r="HK136" s="851"/>
      <c r="HL136" s="851"/>
      <c r="HM136" s="851"/>
      <c r="HN136" s="137"/>
      <c r="HO136" s="137"/>
      <c r="HP136" s="137"/>
      <c r="HQ136" s="137"/>
      <c r="HR136" s="137"/>
      <c r="HS136" s="137"/>
      <c r="HT136" s="137"/>
      <c r="HU136" s="137"/>
      <c r="HV136" s="137"/>
      <c r="HW136" s="137"/>
      <c r="HX136" s="137"/>
    </row>
    <row r="137" spans="2:232" ht="15.75" thickBot="1">
      <c r="B137" s="365" t="s">
        <v>55</v>
      </c>
      <c r="C137" s="367">
        <f t="shared" si="270"/>
        <v>0</v>
      </c>
      <c r="D137" s="367">
        <f t="shared" si="263"/>
        <v>1</v>
      </c>
      <c r="E137" s="367">
        <f t="shared" si="264"/>
        <v>0</v>
      </c>
      <c r="F137" s="367">
        <f t="shared" si="265"/>
        <v>0</v>
      </c>
      <c r="G137" s="367">
        <f t="shared" si="266"/>
        <v>0</v>
      </c>
      <c r="H137" s="367">
        <f t="shared" si="267"/>
        <v>3</v>
      </c>
      <c r="I137" s="367">
        <f t="shared" si="268"/>
        <v>0</v>
      </c>
      <c r="J137" s="367">
        <f t="shared" si="269"/>
        <v>2</v>
      </c>
      <c r="K137" s="838"/>
      <c r="L137" s="840"/>
      <c r="M137" s="840"/>
      <c r="N137" s="840"/>
      <c r="O137" s="320">
        <v>2015</v>
      </c>
      <c r="P137" s="320"/>
      <c r="Q137" s="320"/>
      <c r="R137" s="320"/>
      <c r="S137" s="320"/>
      <c r="T137" s="320"/>
      <c r="U137" s="320"/>
      <c r="V137" s="320"/>
      <c r="W137" s="320"/>
      <c r="X137" s="320"/>
      <c r="Y137" s="320"/>
      <c r="Z137" s="137"/>
      <c r="AA137" s="137"/>
      <c r="AB137" s="137"/>
      <c r="AC137" s="137"/>
      <c r="AD137" s="137"/>
      <c r="AE137" s="137"/>
      <c r="AF137" s="137"/>
      <c r="AG137" s="137"/>
      <c r="AH137" s="137"/>
      <c r="AI137" s="137"/>
      <c r="AJ137" s="137"/>
      <c r="AK137" s="137"/>
      <c r="AL137" s="137"/>
      <c r="AM137" s="137"/>
      <c r="AN137" s="137"/>
      <c r="AO137" s="137"/>
      <c r="AP137" s="137"/>
      <c r="AQ137" s="137"/>
      <c r="AR137" s="137"/>
      <c r="AS137" s="137"/>
      <c r="AT137" s="137"/>
      <c r="AU137" s="137"/>
      <c r="AV137" s="137"/>
      <c r="AW137" s="137"/>
      <c r="AX137" s="137"/>
      <c r="AY137" s="137"/>
      <c r="AZ137" s="137"/>
      <c r="BA137" s="137"/>
      <c r="BB137" s="137"/>
      <c r="BC137" s="829"/>
      <c r="BD137" s="829"/>
      <c r="BE137" s="829"/>
      <c r="BF137" s="829"/>
      <c r="BG137" s="829"/>
      <c r="BH137" s="829"/>
      <c r="BI137" s="845"/>
      <c r="BJ137" s="845"/>
      <c r="BK137" s="845"/>
      <c r="BL137" s="829"/>
      <c r="BM137" s="829"/>
      <c r="BN137" s="829"/>
      <c r="BO137" s="829"/>
      <c r="BP137" s="829"/>
      <c r="BQ137" s="829"/>
      <c r="BR137" s="829"/>
      <c r="BS137" s="829"/>
      <c r="BT137" s="829"/>
      <c r="BU137" s="829"/>
      <c r="BV137" s="829"/>
      <c r="BW137" s="829"/>
      <c r="BX137" s="829"/>
      <c r="BY137" s="829"/>
      <c r="BZ137" s="829"/>
      <c r="CA137" s="829"/>
      <c r="CB137" s="829"/>
      <c r="CC137" s="829"/>
      <c r="CD137" s="846"/>
      <c r="CE137" s="846"/>
      <c r="CF137" s="829"/>
      <c r="CG137" s="829"/>
      <c r="CH137" s="829"/>
      <c r="CI137" s="829"/>
      <c r="CJ137" s="829"/>
      <c r="CK137" s="847"/>
      <c r="CL137" s="137"/>
      <c r="CM137" s="833"/>
      <c r="CN137" s="833"/>
      <c r="CO137" s="320"/>
      <c r="CP137" s="137"/>
      <c r="CQ137" s="833"/>
      <c r="CR137" s="137"/>
      <c r="CS137" s="833"/>
      <c r="CT137" s="137"/>
      <c r="CU137" s="137"/>
      <c r="CV137" s="137"/>
      <c r="CW137" s="137"/>
      <c r="CX137" s="137"/>
      <c r="CY137" s="833"/>
      <c r="CZ137" s="833"/>
      <c r="DA137" s="137"/>
      <c r="DB137" s="137"/>
      <c r="DC137" s="833"/>
      <c r="DD137" s="833"/>
      <c r="DE137" s="833"/>
      <c r="DF137" s="137"/>
      <c r="DG137" s="833"/>
      <c r="DH137" s="137"/>
      <c r="DI137" s="137"/>
      <c r="DJ137" s="137"/>
      <c r="DK137" s="137"/>
      <c r="DL137" s="837"/>
      <c r="DM137" s="137"/>
      <c r="DN137" s="833"/>
      <c r="DO137" s="833"/>
      <c r="DP137" s="320"/>
      <c r="DQ137" s="833"/>
      <c r="DR137" s="833"/>
      <c r="DS137" s="137"/>
      <c r="DT137" s="833"/>
      <c r="DU137" s="833"/>
      <c r="DV137" s="137"/>
      <c r="DW137" s="833"/>
      <c r="DX137" s="833"/>
      <c r="DY137" s="137"/>
      <c r="DZ137" s="833"/>
      <c r="EA137" s="833"/>
      <c r="EB137" s="137"/>
      <c r="EC137" s="833"/>
      <c r="ED137" s="833"/>
      <c r="EE137" s="137"/>
      <c r="EF137" s="833"/>
      <c r="EG137" s="833"/>
      <c r="EH137" s="137"/>
      <c r="EI137" s="833"/>
      <c r="EJ137" s="833"/>
      <c r="EK137" s="833"/>
      <c r="EL137" s="137"/>
      <c r="EM137" s="137"/>
      <c r="EN137" s="137"/>
      <c r="EO137" s="137"/>
      <c r="EP137" s="137"/>
      <c r="EQ137" s="137"/>
      <c r="ER137" s="137"/>
      <c r="ES137" s="137"/>
      <c r="ET137" s="137"/>
      <c r="EU137" s="137"/>
      <c r="EV137" s="848"/>
      <c r="EW137" s="137"/>
      <c r="EX137" s="137"/>
      <c r="EY137" s="137"/>
      <c r="EZ137" s="137"/>
      <c r="FA137" s="849"/>
      <c r="FB137" s="849"/>
      <c r="FC137" s="849"/>
      <c r="FD137" s="849"/>
      <c r="FE137" s="849"/>
      <c r="FF137" s="849"/>
      <c r="FG137" s="826"/>
      <c r="FH137" s="826"/>
      <c r="FI137" s="826"/>
      <c r="FJ137" s="826"/>
      <c r="FK137" s="137"/>
      <c r="FL137" s="137"/>
      <c r="FM137" s="137"/>
      <c r="FN137" s="137"/>
      <c r="FO137" s="137"/>
      <c r="FP137" s="137"/>
      <c r="FQ137" s="137"/>
      <c r="FR137" s="137"/>
      <c r="FS137" s="137"/>
      <c r="FT137" s="137"/>
      <c r="FU137" s="137"/>
      <c r="FV137" s="137"/>
      <c r="FW137" s="137"/>
      <c r="FX137" s="137"/>
      <c r="FY137" s="137"/>
      <c r="FZ137" s="137"/>
      <c r="GA137" s="137"/>
      <c r="GB137" s="137"/>
      <c r="GC137" s="137"/>
      <c r="GD137" s="137"/>
      <c r="GE137" s="137"/>
      <c r="GF137" s="829"/>
      <c r="GG137" s="850"/>
      <c r="GH137" s="137"/>
      <c r="GI137" s="137"/>
      <c r="GJ137" s="137"/>
      <c r="GK137" s="137"/>
      <c r="GL137" s="137"/>
      <c r="GM137" s="137"/>
      <c r="GN137" s="137"/>
      <c r="GO137" s="137"/>
      <c r="GP137" s="137"/>
      <c r="GQ137" s="137"/>
      <c r="GR137" s="853"/>
      <c r="GS137" s="854"/>
      <c r="GT137" s="854"/>
      <c r="GU137" s="854"/>
      <c r="GV137" s="854"/>
      <c r="GW137" s="851"/>
      <c r="GX137" s="851"/>
      <c r="GY137" s="851"/>
      <c r="GZ137" s="851"/>
      <c r="HA137" s="851"/>
      <c r="HB137" s="612"/>
      <c r="HC137" s="851"/>
      <c r="HD137" s="851"/>
      <c r="HE137" s="851"/>
      <c r="HF137" s="851"/>
      <c r="HG137" s="851"/>
      <c r="HH137" s="851"/>
      <c r="HI137" s="851"/>
      <c r="HJ137" s="851"/>
      <c r="HK137" s="851"/>
      <c r="HL137" s="851"/>
      <c r="HM137" s="851"/>
      <c r="HN137" s="137"/>
      <c r="HO137" s="137"/>
      <c r="HP137" s="137"/>
      <c r="HQ137" s="137"/>
      <c r="HR137" s="137"/>
      <c r="HS137" s="137"/>
      <c r="HT137" s="137"/>
      <c r="HU137" s="137"/>
      <c r="HV137" s="137"/>
      <c r="HW137" s="137"/>
      <c r="HX137" s="137"/>
    </row>
    <row r="138" spans="2:232" ht="15.75" thickBot="1">
      <c r="B138" s="363" t="s">
        <v>441</v>
      </c>
      <c r="C138" s="366">
        <f t="shared" si="270"/>
        <v>0</v>
      </c>
      <c r="D138" s="366">
        <f t="shared" si="263"/>
        <v>2</v>
      </c>
      <c r="E138" s="366">
        <f t="shared" si="264"/>
        <v>1</v>
      </c>
      <c r="F138" s="366">
        <f t="shared" si="265"/>
        <v>0</v>
      </c>
      <c r="G138" s="367">
        <f t="shared" si="266"/>
        <v>10</v>
      </c>
      <c r="H138" s="366">
        <f t="shared" si="267"/>
        <v>0</v>
      </c>
      <c r="I138" s="366">
        <f t="shared" si="268"/>
        <v>0</v>
      </c>
      <c r="J138" s="366">
        <f t="shared" si="269"/>
        <v>0</v>
      </c>
      <c r="K138" s="839"/>
      <c r="L138" s="841"/>
      <c r="M138" s="841"/>
      <c r="N138" s="841"/>
      <c r="O138" s="151">
        <f t="shared" ref="O138:O143" si="271">SUMPRODUCT((Notaire=A214)*(Prog=$O$137))</f>
        <v>1</v>
      </c>
      <c r="P138" s="137"/>
      <c r="Q138" s="137"/>
      <c r="R138" s="137"/>
      <c r="S138" s="137"/>
      <c r="T138" s="137"/>
      <c r="U138" s="137"/>
      <c r="V138" s="137"/>
      <c r="W138" s="137"/>
      <c r="X138" s="137"/>
      <c r="Y138" s="137"/>
      <c r="Z138" s="844"/>
      <c r="AA138" s="844"/>
      <c r="AB138" s="844"/>
      <c r="AC138" s="137"/>
      <c r="AD138" s="137"/>
      <c r="AE138" s="137"/>
      <c r="AF138" s="137"/>
      <c r="AG138" s="137"/>
      <c r="AH138" s="137"/>
      <c r="AI138" s="137"/>
      <c r="AJ138" s="137"/>
      <c r="AK138" s="137"/>
      <c r="AL138" s="137"/>
      <c r="AM138" s="137"/>
      <c r="AN138" s="137"/>
      <c r="AO138" s="137"/>
      <c r="AP138" s="137"/>
      <c r="AQ138" s="137"/>
      <c r="AR138" s="137"/>
      <c r="AS138" s="137"/>
      <c r="AT138" s="137"/>
      <c r="AU138" s="137"/>
      <c r="AV138" s="137"/>
      <c r="AW138" s="137"/>
      <c r="AX138" s="137"/>
      <c r="AY138" s="137"/>
      <c r="AZ138" s="137"/>
      <c r="BA138" s="137"/>
      <c r="BB138" s="137"/>
      <c r="BC138" s="829"/>
      <c r="BD138" s="829"/>
      <c r="BE138" s="829"/>
      <c r="BF138" s="829"/>
      <c r="BG138" s="829"/>
      <c r="BH138" s="829"/>
      <c r="BI138" s="845"/>
      <c r="BJ138" s="845"/>
      <c r="BK138" s="845"/>
      <c r="BL138" s="829"/>
      <c r="BM138" s="829"/>
      <c r="BN138" s="829"/>
      <c r="BO138" s="829"/>
      <c r="BP138" s="829"/>
      <c r="BQ138" s="829"/>
      <c r="BR138" s="829"/>
      <c r="BS138" s="829"/>
      <c r="BT138" s="829"/>
      <c r="BU138" s="829"/>
      <c r="BV138" s="829"/>
      <c r="BW138" s="829"/>
      <c r="BX138" s="829"/>
      <c r="BY138" s="829"/>
      <c r="BZ138" s="829"/>
      <c r="CA138" s="829"/>
      <c r="CB138" s="829"/>
      <c r="CC138" s="829"/>
      <c r="CD138" s="846"/>
      <c r="CE138" s="846"/>
      <c r="CF138" s="829"/>
      <c r="CG138" s="829"/>
      <c r="CH138" s="829"/>
      <c r="CI138" s="829"/>
      <c r="CJ138" s="829"/>
      <c r="CK138" s="847"/>
      <c r="CL138" s="137"/>
      <c r="CM138" s="833"/>
      <c r="CN138" s="833"/>
      <c r="CO138" s="320"/>
      <c r="CP138" s="137"/>
      <c r="CQ138" s="833"/>
      <c r="CR138" s="137"/>
      <c r="CS138" s="833"/>
      <c r="CT138" s="137"/>
      <c r="CU138" s="137"/>
      <c r="CV138" s="137"/>
      <c r="CW138" s="137"/>
      <c r="CX138" s="137"/>
      <c r="CY138" s="833"/>
      <c r="CZ138" s="833"/>
      <c r="DA138" s="137"/>
      <c r="DB138" s="137"/>
      <c r="DC138" s="833"/>
      <c r="DD138" s="833"/>
      <c r="DE138" s="833"/>
      <c r="DF138" s="137"/>
      <c r="DG138" s="833"/>
      <c r="DH138" s="137"/>
      <c r="DI138" s="137"/>
      <c r="DJ138" s="137"/>
      <c r="DK138" s="137"/>
      <c r="DL138" s="837"/>
      <c r="DM138" s="137"/>
      <c r="DN138" s="833"/>
      <c r="DO138" s="833"/>
      <c r="DP138" s="320"/>
      <c r="DQ138" s="833"/>
      <c r="DR138" s="833"/>
      <c r="DS138" s="137"/>
      <c r="DT138" s="833"/>
      <c r="DU138" s="833"/>
      <c r="DV138" s="137"/>
      <c r="DW138" s="833"/>
      <c r="DX138" s="833"/>
      <c r="DY138" s="137"/>
      <c r="DZ138" s="833"/>
      <c r="EA138" s="833"/>
      <c r="EB138" s="137"/>
      <c r="EC138" s="833"/>
      <c r="ED138" s="833"/>
      <c r="EE138" s="137"/>
      <c r="EF138" s="833"/>
      <c r="EG138" s="833"/>
      <c r="EH138" s="137"/>
      <c r="EI138" s="833"/>
      <c r="EJ138" s="833"/>
      <c r="EK138" s="833"/>
      <c r="EL138" s="137"/>
      <c r="EM138" s="137"/>
      <c r="EN138" s="137"/>
      <c r="EO138" s="137"/>
      <c r="EP138" s="137"/>
      <c r="EQ138" s="137"/>
      <c r="ER138" s="137"/>
      <c r="ES138" s="137"/>
      <c r="ET138" s="137"/>
      <c r="EU138" s="137"/>
      <c r="EV138" s="848"/>
      <c r="EW138" s="137"/>
      <c r="EX138" s="137"/>
      <c r="EY138" s="137"/>
      <c r="EZ138" s="137"/>
      <c r="FA138" s="849"/>
      <c r="FB138" s="849"/>
      <c r="FC138" s="849"/>
      <c r="FD138" s="849"/>
      <c r="FE138" s="849"/>
      <c r="FF138" s="849"/>
      <c r="FG138" s="826"/>
      <c r="FH138" s="826"/>
      <c r="FI138" s="826"/>
      <c r="FJ138" s="826"/>
      <c r="FK138" s="137"/>
      <c r="FL138" s="137"/>
      <c r="FM138" s="137"/>
      <c r="FN138" s="137"/>
      <c r="FO138" s="137"/>
      <c r="FP138" s="137"/>
      <c r="FQ138" s="137"/>
      <c r="FR138" s="137"/>
      <c r="FS138" s="137"/>
      <c r="FT138" s="137"/>
      <c r="FU138" s="137"/>
      <c r="FV138" s="137"/>
      <c r="FW138" s="137"/>
      <c r="FX138" s="137"/>
      <c r="FY138" s="137"/>
      <c r="FZ138" s="137"/>
      <c r="GA138" s="137"/>
      <c r="GB138" s="137"/>
      <c r="GC138" s="137"/>
      <c r="GD138" s="137"/>
      <c r="GE138" s="137"/>
      <c r="GF138" s="829"/>
      <c r="GG138" s="850"/>
      <c r="GH138" s="137"/>
      <c r="GI138" s="137"/>
      <c r="GJ138" s="137"/>
      <c r="GK138" s="137"/>
      <c r="GL138" s="137"/>
      <c r="GM138" s="137"/>
      <c r="GN138" s="137"/>
      <c r="GO138" s="137"/>
      <c r="GP138" s="137"/>
      <c r="GQ138" s="137"/>
      <c r="GR138" s="852"/>
      <c r="GS138" s="854"/>
      <c r="GT138" s="854"/>
      <c r="GU138" s="854"/>
      <c r="GV138" s="854"/>
      <c r="GW138" s="851"/>
      <c r="GX138" s="851"/>
      <c r="GY138" s="851"/>
      <c r="GZ138" s="851"/>
      <c r="HA138" s="851"/>
      <c r="HB138" s="612"/>
      <c r="HC138" s="851"/>
      <c r="HD138" s="851"/>
      <c r="HE138" s="851"/>
      <c r="HF138" s="851"/>
      <c r="HG138" s="851"/>
      <c r="HH138" s="851"/>
      <c r="HI138" s="851"/>
      <c r="HJ138" s="851"/>
      <c r="HK138" s="851"/>
      <c r="HL138" s="851"/>
      <c r="HM138" s="851"/>
      <c r="HN138" s="137"/>
      <c r="HO138" s="137"/>
      <c r="HP138" s="137"/>
      <c r="HQ138" s="137"/>
      <c r="HR138" s="137"/>
      <c r="HS138" s="137"/>
      <c r="HT138" s="137"/>
      <c r="HU138" s="137"/>
      <c r="HV138" s="137"/>
      <c r="HW138" s="137"/>
      <c r="HX138" s="137"/>
    </row>
    <row r="139" spans="2:232" ht="15.75" thickBot="1">
      <c r="B139" s="834">
        <f>SUBTOTAL(9,C139:J139)</f>
        <v>49</v>
      </c>
      <c r="C139" s="364">
        <f t="shared" ref="C139:J139" si="272">SUM(C127:C138)</f>
        <v>7</v>
      </c>
      <c r="D139" s="364">
        <f t="shared" si="272"/>
        <v>8</v>
      </c>
      <c r="E139" s="364">
        <f t="shared" si="272"/>
        <v>3</v>
      </c>
      <c r="F139" s="364">
        <f t="shared" si="272"/>
        <v>0</v>
      </c>
      <c r="G139" s="364">
        <f t="shared" si="272"/>
        <v>10</v>
      </c>
      <c r="H139" s="364">
        <f t="shared" si="272"/>
        <v>9</v>
      </c>
      <c r="I139" s="364">
        <f t="shared" si="272"/>
        <v>3</v>
      </c>
      <c r="J139" s="364">
        <f t="shared" si="272"/>
        <v>9</v>
      </c>
      <c r="K139" s="839"/>
      <c r="L139" s="841"/>
      <c r="M139" s="841"/>
      <c r="N139" s="841"/>
      <c r="O139" s="152">
        <f t="shared" si="271"/>
        <v>0</v>
      </c>
      <c r="P139" s="137"/>
      <c r="Q139" s="137"/>
      <c r="R139" s="137"/>
      <c r="S139" s="137"/>
      <c r="T139" s="137"/>
      <c r="U139" s="137"/>
      <c r="V139" s="137"/>
      <c r="W139" s="137"/>
      <c r="X139" s="137"/>
      <c r="Y139" s="137"/>
      <c r="Z139" s="844"/>
      <c r="AA139" s="844"/>
      <c r="AB139" s="844"/>
      <c r="AC139" s="137"/>
      <c r="AD139" s="137"/>
      <c r="AE139" s="137"/>
      <c r="AF139" s="137"/>
      <c r="AG139" s="137"/>
      <c r="AH139" s="137"/>
      <c r="AI139" s="137"/>
      <c r="AJ139" s="137"/>
      <c r="AK139" s="137"/>
      <c r="AL139" s="137"/>
      <c r="AM139" s="137"/>
      <c r="AN139" s="137"/>
      <c r="AO139" s="137"/>
      <c r="AP139" s="137"/>
      <c r="AQ139" s="137"/>
      <c r="AR139" s="137"/>
      <c r="AS139" s="137"/>
      <c r="AT139" s="137"/>
      <c r="AU139" s="137"/>
      <c r="AV139" s="137"/>
      <c r="AW139" s="137"/>
      <c r="AX139" s="137"/>
      <c r="AY139" s="137"/>
      <c r="AZ139" s="137"/>
      <c r="BA139" s="137"/>
      <c r="BB139" s="137"/>
      <c r="BC139" s="829"/>
      <c r="BD139" s="829"/>
      <c r="BE139" s="829"/>
      <c r="BF139" s="829"/>
      <c r="BG139" s="829"/>
      <c r="BH139" s="829"/>
      <c r="BI139" s="845"/>
      <c r="BJ139" s="845"/>
      <c r="BK139" s="845"/>
      <c r="BL139" s="829"/>
      <c r="BM139" s="829"/>
      <c r="BN139" s="829"/>
      <c r="BO139" s="829"/>
      <c r="BP139" s="829"/>
      <c r="BQ139" s="829"/>
      <c r="BR139" s="829"/>
      <c r="BS139" s="829"/>
      <c r="BT139" s="829"/>
      <c r="BU139" s="829"/>
      <c r="BV139" s="829"/>
      <c r="BW139" s="829"/>
      <c r="BX139" s="829"/>
      <c r="BY139" s="829"/>
      <c r="BZ139" s="829"/>
      <c r="CA139" s="829"/>
      <c r="CB139" s="829"/>
      <c r="CC139" s="829"/>
      <c r="CD139" s="846"/>
      <c r="CE139" s="846"/>
      <c r="CF139" s="829"/>
      <c r="CG139" s="829"/>
      <c r="CH139" s="829"/>
      <c r="CI139" s="829"/>
      <c r="CJ139" s="829"/>
      <c r="CK139" s="847"/>
      <c r="CL139" s="137"/>
      <c r="CM139" s="833"/>
      <c r="CN139" s="833"/>
      <c r="CO139" s="320"/>
      <c r="CP139" s="137"/>
      <c r="CQ139" s="833"/>
      <c r="CR139" s="137"/>
      <c r="CS139" s="833"/>
      <c r="CT139" s="137"/>
      <c r="CU139" s="137"/>
      <c r="CV139" s="137"/>
      <c r="CW139" s="137"/>
      <c r="CX139" s="137"/>
      <c r="CY139" s="833"/>
      <c r="CZ139" s="833"/>
      <c r="DA139" s="137"/>
      <c r="DB139" s="137"/>
      <c r="DC139" s="833"/>
      <c r="DD139" s="833"/>
      <c r="DE139" s="833"/>
      <c r="DF139" s="137"/>
      <c r="DG139" s="833"/>
      <c r="DH139" s="137"/>
      <c r="DI139" s="137"/>
      <c r="DJ139" s="137"/>
      <c r="DK139" s="137"/>
      <c r="DL139" s="837"/>
      <c r="DM139" s="137"/>
      <c r="DN139" s="833"/>
      <c r="DO139" s="833"/>
      <c r="DP139" s="320"/>
      <c r="DQ139" s="833"/>
      <c r="DR139" s="833"/>
      <c r="DS139" s="137"/>
      <c r="DT139" s="833"/>
      <c r="DU139" s="833"/>
      <c r="DV139" s="137"/>
      <c r="DW139" s="833"/>
      <c r="DX139" s="833"/>
      <c r="DY139" s="137"/>
      <c r="DZ139" s="833"/>
      <c r="EA139" s="833"/>
      <c r="EB139" s="137"/>
      <c r="EC139" s="833"/>
      <c r="ED139" s="833"/>
      <c r="EE139" s="137"/>
      <c r="EF139" s="833"/>
      <c r="EG139" s="833"/>
      <c r="EH139" s="137"/>
      <c r="EI139" s="833"/>
      <c r="EJ139" s="833"/>
      <c r="EK139" s="833"/>
      <c r="EL139" s="137"/>
      <c r="EM139" s="137"/>
      <c r="EN139" s="137"/>
      <c r="EO139" s="137"/>
      <c r="EP139" s="137"/>
      <c r="EQ139" s="137"/>
      <c r="ER139" s="137"/>
      <c r="ES139" s="137"/>
      <c r="ET139" s="137"/>
      <c r="EU139" s="137"/>
      <c r="EV139" s="848"/>
      <c r="EW139" s="137"/>
      <c r="EX139" s="137"/>
      <c r="EY139" s="137"/>
      <c r="EZ139" s="137"/>
      <c r="FA139" s="849"/>
      <c r="FB139" s="849"/>
      <c r="FC139" s="849"/>
      <c r="FD139" s="849"/>
      <c r="FE139" s="849"/>
      <c r="FF139" s="849"/>
      <c r="FG139" s="826"/>
      <c r="FH139" s="826"/>
      <c r="FI139" s="826"/>
      <c r="FJ139" s="826"/>
      <c r="FK139" s="137"/>
      <c r="FL139" s="137"/>
      <c r="FM139" s="137"/>
      <c r="FN139" s="137"/>
      <c r="FO139" s="137"/>
      <c r="FP139" s="137"/>
      <c r="FQ139" s="137"/>
      <c r="FR139" s="137"/>
      <c r="FS139" s="137"/>
      <c r="FT139" s="137"/>
      <c r="FU139" s="137"/>
      <c r="FV139" s="137"/>
      <c r="FW139" s="137"/>
      <c r="FX139" s="137"/>
      <c r="FY139" s="137"/>
      <c r="FZ139" s="137"/>
      <c r="GA139" s="137"/>
      <c r="GB139" s="137"/>
      <c r="GC139" s="137"/>
      <c r="GD139" s="137"/>
      <c r="GE139" s="137"/>
      <c r="GF139" s="829"/>
      <c r="GG139" s="850"/>
      <c r="GH139" s="137"/>
      <c r="GI139" s="137"/>
      <c r="GJ139" s="137"/>
      <c r="GK139" s="137"/>
      <c r="GL139" s="137"/>
      <c r="GM139" s="137"/>
      <c r="GN139" s="137"/>
      <c r="GO139" s="137"/>
      <c r="GP139" s="137"/>
      <c r="GQ139" s="137"/>
      <c r="GR139" s="853"/>
      <c r="GS139" s="854"/>
      <c r="GT139" s="854"/>
      <c r="GU139" s="854"/>
      <c r="GV139" s="854"/>
      <c r="GW139" s="851"/>
      <c r="GX139" s="851"/>
      <c r="GY139" s="851"/>
      <c r="GZ139" s="851"/>
      <c r="HA139" s="851"/>
      <c r="HB139" s="612"/>
      <c r="HC139" s="851"/>
      <c r="HD139" s="851"/>
      <c r="HE139" s="851"/>
      <c r="HF139" s="851"/>
      <c r="HG139" s="851"/>
      <c r="HH139" s="851"/>
      <c r="HI139" s="851"/>
      <c r="HJ139" s="851"/>
      <c r="HK139" s="851"/>
      <c r="HL139" s="851"/>
      <c r="HM139" s="851"/>
      <c r="HN139" s="137"/>
      <c r="HO139" s="137"/>
      <c r="HP139" s="137"/>
      <c r="HQ139" s="137"/>
      <c r="HR139" s="137"/>
      <c r="HS139" s="137"/>
      <c r="HT139" s="137"/>
      <c r="HU139" s="137"/>
      <c r="HV139" s="137"/>
      <c r="HW139" s="137"/>
      <c r="HX139" s="137"/>
    </row>
    <row r="140" spans="2:232">
      <c r="B140" s="834" t="s">
        <v>570</v>
      </c>
      <c r="C140" s="828">
        <v>2</v>
      </c>
      <c r="D140" s="828">
        <v>1</v>
      </c>
      <c r="E140" s="828"/>
      <c r="F140" s="828"/>
      <c r="G140" s="828"/>
      <c r="H140" s="828">
        <v>1</v>
      </c>
      <c r="I140" s="828"/>
      <c r="J140" s="828"/>
      <c r="K140" s="839"/>
      <c r="L140" s="841"/>
      <c r="M140" s="841"/>
      <c r="N140" s="841"/>
      <c r="O140" s="152">
        <f t="shared" si="271"/>
        <v>3</v>
      </c>
      <c r="P140" s="137"/>
      <c r="Q140" s="137"/>
      <c r="R140" s="137"/>
      <c r="S140" s="137"/>
      <c r="T140" s="137"/>
      <c r="U140" s="137"/>
      <c r="V140" s="137"/>
      <c r="W140" s="137"/>
      <c r="X140" s="137"/>
      <c r="Y140" s="137"/>
      <c r="Z140" s="844"/>
      <c r="AA140" s="844"/>
      <c r="AB140" s="844"/>
      <c r="AC140" s="137"/>
      <c r="AD140" s="137"/>
      <c r="AE140" s="137"/>
      <c r="AF140" s="137"/>
      <c r="AG140" s="137"/>
      <c r="AH140" s="137"/>
      <c r="AI140" s="137"/>
      <c r="AJ140" s="137"/>
      <c r="AK140" s="137"/>
      <c r="AL140" s="137"/>
      <c r="AM140" s="137"/>
      <c r="AN140" s="137"/>
      <c r="AO140" s="137"/>
      <c r="AP140" s="137"/>
      <c r="AQ140" s="137"/>
      <c r="AR140" s="137"/>
      <c r="AS140" s="137"/>
      <c r="AT140" s="137"/>
      <c r="AU140" s="137"/>
      <c r="AV140" s="137"/>
      <c r="AW140" s="137"/>
      <c r="AX140" s="137"/>
      <c r="AY140" s="137"/>
      <c r="AZ140" s="137"/>
      <c r="BA140" s="137"/>
      <c r="BB140" s="137"/>
      <c r="BC140" s="829"/>
      <c r="BD140" s="829"/>
      <c r="BE140" s="829"/>
      <c r="BF140" s="829"/>
      <c r="BG140" s="829"/>
      <c r="BH140" s="829"/>
      <c r="BI140" s="845"/>
      <c r="BJ140" s="845"/>
      <c r="BK140" s="845"/>
      <c r="BL140" s="829"/>
      <c r="BM140" s="829"/>
      <c r="BN140" s="829"/>
      <c r="BO140" s="829"/>
      <c r="BP140" s="829"/>
      <c r="BQ140" s="829"/>
      <c r="BR140" s="829"/>
      <c r="BS140" s="829"/>
      <c r="BT140" s="829"/>
      <c r="BU140" s="829"/>
      <c r="BV140" s="829"/>
      <c r="BW140" s="829"/>
      <c r="BX140" s="829"/>
      <c r="BY140" s="829"/>
      <c r="BZ140" s="829"/>
      <c r="CA140" s="829"/>
      <c r="CB140" s="829"/>
      <c r="CC140" s="829"/>
      <c r="CD140" s="846"/>
      <c r="CE140" s="846"/>
      <c r="CF140" s="829"/>
      <c r="CG140" s="829"/>
      <c r="CH140" s="829"/>
      <c r="CI140" s="829"/>
      <c r="CJ140" s="829"/>
      <c r="CK140" s="847"/>
      <c r="CL140" s="137"/>
      <c r="CM140" s="833"/>
      <c r="CN140" s="833"/>
      <c r="CO140" s="320"/>
      <c r="CP140" s="137"/>
      <c r="CQ140" s="833"/>
      <c r="CR140" s="137"/>
      <c r="CS140" s="833"/>
      <c r="CT140" s="137"/>
      <c r="CU140" s="137"/>
      <c r="CV140" s="137"/>
      <c r="CW140" s="137"/>
      <c r="CX140" s="137"/>
      <c r="CY140" s="833"/>
      <c r="CZ140" s="833"/>
      <c r="DA140" s="137"/>
      <c r="DB140" s="137"/>
      <c r="DC140" s="833"/>
      <c r="DD140" s="833"/>
      <c r="DE140" s="833"/>
      <c r="DF140" s="137"/>
      <c r="DG140" s="833"/>
      <c r="DH140" s="137"/>
      <c r="DI140" s="137"/>
      <c r="DJ140" s="137"/>
      <c r="DK140" s="137"/>
      <c r="DL140" s="837"/>
      <c r="DM140" s="137"/>
      <c r="DN140" s="833"/>
      <c r="DO140" s="833"/>
      <c r="DP140" s="320"/>
      <c r="DQ140" s="833"/>
      <c r="DR140" s="833"/>
      <c r="DS140" s="137"/>
      <c r="DT140" s="833"/>
      <c r="DU140" s="833"/>
      <c r="DV140" s="137"/>
      <c r="DW140" s="833"/>
      <c r="DX140" s="833"/>
      <c r="DY140" s="137"/>
      <c r="DZ140" s="833"/>
      <c r="EA140" s="833"/>
      <c r="EB140" s="137"/>
      <c r="EC140" s="833"/>
      <c r="ED140" s="833"/>
      <c r="EE140" s="137"/>
      <c r="EF140" s="833"/>
      <c r="EG140" s="833"/>
      <c r="EH140" s="137"/>
      <c r="EI140" s="833"/>
      <c r="EJ140" s="833"/>
      <c r="EK140" s="833"/>
      <c r="EL140" s="137"/>
      <c r="EM140" s="137"/>
      <c r="EN140" s="137"/>
      <c r="EO140" s="137"/>
      <c r="EP140" s="137"/>
      <c r="EQ140" s="137"/>
      <c r="ER140" s="137"/>
      <c r="ES140" s="137"/>
      <c r="ET140" s="137"/>
      <c r="EU140" s="137"/>
      <c r="EV140" s="848"/>
      <c r="EW140" s="137"/>
      <c r="EX140" s="137"/>
      <c r="EY140" s="137"/>
      <c r="EZ140" s="137"/>
      <c r="FA140" s="849"/>
      <c r="FB140" s="849"/>
      <c r="FC140" s="849"/>
      <c r="FD140" s="849"/>
      <c r="FE140" s="849"/>
      <c r="FF140" s="849"/>
      <c r="FG140" s="826"/>
      <c r="FH140" s="826"/>
      <c r="FI140" s="826"/>
      <c r="FJ140" s="826"/>
      <c r="FK140" s="137"/>
      <c r="FL140" s="137"/>
      <c r="FM140" s="137"/>
      <c r="FN140" s="137"/>
      <c r="FO140" s="137"/>
      <c r="FP140" s="137"/>
      <c r="FQ140" s="137"/>
      <c r="FR140" s="137"/>
      <c r="FS140" s="137"/>
      <c r="FT140" s="137"/>
      <c r="FU140" s="137"/>
      <c r="FV140" s="137"/>
      <c r="FW140" s="137"/>
      <c r="FX140" s="137"/>
      <c r="FY140" s="137"/>
      <c r="FZ140" s="137"/>
      <c r="GA140" s="137"/>
      <c r="GB140" s="137"/>
      <c r="GC140" s="137"/>
      <c r="GD140" s="137"/>
      <c r="GE140" s="137"/>
      <c r="GF140" s="829"/>
      <c r="GG140" s="850"/>
      <c r="GH140" s="137"/>
      <c r="GI140" s="137"/>
      <c r="GJ140" s="137"/>
      <c r="GK140" s="137"/>
      <c r="GL140" s="137"/>
      <c r="GM140" s="137"/>
      <c r="GN140" s="137"/>
      <c r="GO140" s="137"/>
      <c r="GP140" s="137"/>
      <c r="GQ140" s="137"/>
      <c r="GR140" s="852"/>
      <c r="GS140" s="854"/>
      <c r="GT140" s="854"/>
      <c r="GU140" s="854"/>
      <c r="GV140" s="854"/>
      <c r="GW140" s="851"/>
      <c r="GX140" s="851"/>
      <c r="GY140" s="851"/>
      <c r="GZ140" s="851"/>
      <c r="HA140" s="851"/>
      <c r="HB140" s="612"/>
      <c r="HC140" s="851"/>
      <c r="HD140" s="851"/>
      <c r="HE140" s="851"/>
      <c r="HF140" s="851"/>
      <c r="HG140" s="851"/>
      <c r="HH140" s="851"/>
      <c r="HI140" s="851"/>
      <c r="HJ140" s="851"/>
      <c r="HK140" s="851"/>
      <c r="HL140" s="851"/>
      <c r="HM140" s="851"/>
      <c r="HN140" s="137"/>
      <c r="HO140" s="137"/>
      <c r="HP140" s="137"/>
      <c r="HQ140" s="137"/>
      <c r="HR140" s="137"/>
      <c r="HS140" s="137"/>
      <c r="HT140" s="137"/>
      <c r="HU140" s="137"/>
      <c r="HV140" s="137"/>
      <c r="HW140" s="137"/>
      <c r="HX140" s="137"/>
    </row>
    <row r="141" spans="2:232">
      <c r="B141" s="828"/>
      <c r="C141" s="835">
        <f t="shared" ref="C141:J141" si="273">C139+C140</f>
        <v>9</v>
      </c>
      <c r="D141" s="834">
        <f t="shared" si="273"/>
        <v>9</v>
      </c>
      <c r="E141" s="834">
        <f t="shared" si="273"/>
        <v>3</v>
      </c>
      <c r="F141" s="834">
        <f t="shared" si="273"/>
        <v>0</v>
      </c>
      <c r="G141" s="834">
        <f t="shared" si="273"/>
        <v>10</v>
      </c>
      <c r="H141" s="834">
        <f t="shared" si="273"/>
        <v>10</v>
      </c>
      <c r="I141" s="834">
        <f t="shared" si="273"/>
        <v>3</v>
      </c>
      <c r="J141" s="834">
        <f t="shared" si="273"/>
        <v>9</v>
      </c>
      <c r="K141" s="839"/>
      <c r="L141" s="841"/>
      <c r="M141" s="841"/>
      <c r="N141" s="841"/>
      <c r="O141" s="152">
        <f t="shared" si="271"/>
        <v>0</v>
      </c>
      <c r="P141" s="137"/>
      <c r="Q141" s="137"/>
      <c r="R141" s="137"/>
      <c r="S141" s="137"/>
      <c r="T141" s="137"/>
      <c r="U141" s="137"/>
      <c r="V141" s="137"/>
      <c r="W141" s="137"/>
      <c r="X141" s="137"/>
      <c r="Y141" s="137"/>
      <c r="Z141" s="844"/>
      <c r="AA141" s="844"/>
      <c r="AB141" s="844"/>
      <c r="AC141" s="137"/>
      <c r="AD141" s="137"/>
      <c r="AE141" s="137"/>
      <c r="AF141" s="137"/>
      <c r="AG141" s="137"/>
      <c r="AH141" s="137"/>
      <c r="AI141" s="137"/>
      <c r="AJ141" s="137"/>
      <c r="AK141" s="137"/>
      <c r="AL141" s="137"/>
      <c r="AM141" s="137"/>
      <c r="AN141" s="137"/>
      <c r="AO141" s="137"/>
      <c r="AP141" s="137"/>
      <c r="AQ141" s="137"/>
      <c r="AR141" s="137"/>
      <c r="AS141" s="137"/>
      <c r="AT141" s="137"/>
      <c r="AU141" s="137"/>
      <c r="AV141" s="137"/>
      <c r="AW141" s="137"/>
      <c r="AX141" s="137"/>
      <c r="AY141" s="137"/>
      <c r="AZ141" s="137"/>
      <c r="BA141" s="137"/>
      <c r="BB141" s="137"/>
      <c r="BC141" s="829"/>
      <c r="BD141" s="829"/>
      <c r="BE141" s="829"/>
      <c r="BF141" s="829"/>
      <c r="BG141" s="829"/>
      <c r="BH141" s="829"/>
      <c r="BI141" s="845"/>
      <c r="BJ141" s="845"/>
      <c r="BK141" s="845"/>
      <c r="BL141" s="829"/>
      <c r="BM141" s="829"/>
      <c r="BN141" s="829"/>
      <c r="BO141" s="829"/>
      <c r="BP141" s="829"/>
      <c r="BQ141" s="829"/>
      <c r="BR141" s="829"/>
      <c r="BS141" s="829"/>
      <c r="BT141" s="829"/>
      <c r="BU141" s="829"/>
      <c r="BV141" s="829"/>
      <c r="BW141" s="829"/>
      <c r="BX141" s="829"/>
      <c r="BY141" s="829"/>
      <c r="BZ141" s="829"/>
      <c r="CA141" s="829"/>
      <c r="CB141" s="829"/>
      <c r="CC141" s="829"/>
      <c r="CD141" s="846"/>
      <c r="CE141" s="846"/>
      <c r="CF141" s="829"/>
      <c r="CG141" s="829"/>
      <c r="CH141" s="829"/>
      <c r="CI141" s="829"/>
      <c r="CJ141" s="829"/>
      <c r="CK141" s="847"/>
      <c r="CL141" s="137"/>
      <c r="CM141" s="833"/>
      <c r="CN141" s="833"/>
      <c r="CO141" s="320"/>
      <c r="CP141" s="137"/>
      <c r="CQ141" s="833"/>
      <c r="CR141" s="137"/>
      <c r="CS141" s="833"/>
      <c r="CT141" s="137"/>
      <c r="CU141" s="137"/>
      <c r="CV141" s="137"/>
      <c r="CW141" s="137"/>
      <c r="CX141" s="137"/>
      <c r="CY141" s="833"/>
      <c r="CZ141" s="833"/>
      <c r="DA141" s="137"/>
      <c r="DB141" s="137"/>
      <c r="DC141" s="833"/>
      <c r="DD141" s="833"/>
      <c r="DE141" s="833"/>
      <c r="DF141" s="137"/>
      <c r="DG141" s="833"/>
      <c r="DH141" s="137"/>
      <c r="DI141" s="137"/>
      <c r="DJ141" s="137"/>
      <c r="DK141" s="137"/>
      <c r="DL141" s="837"/>
      <c r="DM141" s="137"/>
      <c r="DN141" s="833"/>
      <c r="DO141" s="833"/>
      <c r="DP141" s="320"/>
      <c r="DQ141" s="833"/>
      <c r="DR141" s="833"/>
      <c r="DS141" s="137"/>
      <c r="DT141" s="833"/>
      <c r="DU141" s="833"/>
      <c r="DV141" s="137"/>
      <c r="DW141" s="833"/>
      <c r="DX141" s="833"/>
      <c r="DY141" s="137"/>
      <c r="DZ141" s="833"/>
      <c r="EA141" s="833"/>
      <c r="EB141" s="137"/>
      <c r="EC141" s="833"/>
      <c r="ED141" s="833"/>
      <c r="EE141" s="137"/>
      <c r="EF141" s="833"/>
      <c r="EG141" s="833"/>
      <c r="EH141" s="137"/>
      <c r="EI141" s="833"/>
      <c r="EJ141" s="833"/>
      <c r="EK141" s="833"/>
      <c r="EL141" s="137"/>
      <c r="EM141" s="137"/>
      <c r="EN141" s="137"/>
      <c r="EO141" s="137"/>
      <c r="EP141" s="137"/>
      <c r="EQ141" s="137"/>
      <c r="ER141" s="137"/>
      <c r="ES141" s="137"/>
      <c r="ET141" s="137"/>
      <c r="EU141" s="137"/>
      <c r="EV141" s="848"/>
      <c r="EW141" s="137"/>
      <c r="EX141" s="137"/>
      <c r="EY141" s="137"/>
      <c r="EZ141" s="137"/>
      <c r="FA141" s="849"/>
      <c r="FB141" s="849"/>
      <c r="FC141" s="849"/>
      <c r="FD141" s="849"/>
      <c r="FE141" s="849"/>
      <c r="FF141" s="849"/>
      <c r="FG141" s="826"/>
      <c r="FH141" s="826"/>
      <c r="FI141" s="826"/>
      <c r="FJ141" s="826"/>
      <c r="FK141" s="137"/>
      <c r="FL141" s="137"/>
      <c r="FM141" s="137"/>
      <c r="FN141" s="137"/>
      <c r="FO141" s="137"/>
      <c r="FP141" s="137"/>
      <c r="FQ141" s="137"/>
      <c r="FR141" s="137"/>
      <c r="FS141" s="137"/>
      <c r="FT141" s="137"/>
      <c r="FU141" s="137"/>
      <c r="FV141" s="137"/>
      <c r="FW141" s="137"/>
      <c r="FX141" s="137"/>
      <c r="FY141" s="137"/>
      <c r="FZ141" s="137"/>
      <c r="GA141" s="137"/>
      <c r="GB141" s="137"/>
      <c r="GC141" s="137"/>
      <c r="GD141" s="137"/>
      <c r="GE141" s="137"/>
      <c r="GF141" s="829"/>
      <c r="GG141" s="850"/>
      <c r="GH141" s="137"/>
      <c r="GI141" s="137"/>
      <c r="GJ141" s="137"/>
      <c r="GK141" s="137"/>
      <c r="GL141" s="137"/>
      <c r="GM141" s="137"/>
      <c r="GN141" s="137"/>
      <c r="GO141" s="137"/>
      <c r="GP141" s="137"/>
      <c r="GQ141" s="137"/>
      <c r="GR141" s="851"/>
      <c r="GS141" s="851"/>
      <c r="GT141" s="851"/>
      <c r="GU141" s="851"/>
      <c r="GV141" s="851"/>
      <c r="GW141" s="851"/>
      <c r="GX141" s="851"/>
      <c r="GY141" s="851"/>
      <c r="GZ141" s="851"/>
      <c r="HA141" s="851"/>
      <c r="HB141" s="612"/>
      <c r="HC141" s="851"/>
      <c r="HD141" s="851"/>
      <c r="HE141" s="851"/>
      <c r="HF141" s="851"/>
      <c r="HG141" s="851"/>
      <c r="HH141" s="851"/>
      <c r="HI141" s="851"/>
      <c r="HJ141" s="851"/>
      <c r="HK141" s="851"/>
      <c r="HL141" s="851"/>
      <c r="HM141" s="851"/>
      <c r="HN141" s="137"/>
      <c r="HO141" s="137"/>
      <c r="HP141" s="137"/>
      <c r="HQ141" s="137"/>
      <c r="HR141" s="137"/>
      <c r="HS141" s="137"/>
      <c r="HT141" s="137"/>
      <c r="HU141" s="137"/>
      <c r="HV141" s="137"/>
      <c r="HW141" s="137"/>
      <c r="HX141" s="137"/>
    </row>
    <row r="142" spans="2:232">
      <c r="B142" s="137"/>
      <c r="C142" s="137"/>
      <c r="D142" s="137"/>
      <c r="E142" s="137"/>
      <c r="H142" s="137"/>
      <c r="I142" s="137"/>
      <c r="K142" s="313"/>
      <c r="L142" s="198"/>
      <c r="M142" s="198"/>
      <c r="N142" s="198"/>
      <c r="O142" s="152">
        <f t="shared" si="271"/>
        <v>2</v>
      </c>
      <c r="Z142" s="144"/>
      <c r="AA142" s="144"/>
      <c r="AB142" s="144"/>
      <c r="EF142" s="566"/>
      <c r="EG142" s="566"/>
      <c r="EH142" s="12"/>
      <c r="EI142" s="566"/>
      <c r="EJ142" s="566"/>
      <c r="EK142" s="566"/>
      <c r="HE142" s="12"/>
      <c r="HF142" s="12"/>
      <c r="HG142" s="12"/>
      <c r="HH142" s="12"/>
      <c r="HI142" s="12"/>
      <c r="HJ142" s="12"/>
      <c r="HK142" s="12"/>
      <c r="HL142" s="12"/>
    </row>
    <row r="143" spans="2:232">
      <c r="B143" s="137"/>
      <c r="C143" s="137"/>
      <c r="D143" s="137"/>
      <c r="E143" s="137"/>
      <c r="I143" s="12" t="s">
        <v>625</v>
      </c>
      <c r="K143" s="313"/>
      <c r="L143" s="198"/>
      <c r="M143" s="198"/>
      <c r="N143" s="198"/>
      <c r="O143" s="152">
        <f t="shared" si="271"/>
        <v>0</v>
      </c>
      <c r="Z143" s="144"/>
      <c r="AA143" s="144"/>
      <c r="AB143" s="144"/>
      <c r="EF143" s="566"/>
      <c r="EG143" s="566"/>
      <c r="EH143" s="12"/>
      <c r="EI143" s="566"/>
      <c r="EJ143" s="566"/>
      <c r="EK143" s="566"/>
      <c r="HE143" s="12"/>
      <c r="HF143" s="12"/>
      <c r="HG143" s="12"/>
      <c r="HH143" s="12"/>
      <c r="HI143" s="12"/>
      <c r="HJ143" s="12"/>
      <c r="HK143" s="12"/>
      <c r="HL143" s="12"/>
    </row>
    <row r="144" spans="2:232">
      <c r="B144" s="828"/>
      <c r="C144" s="264" t="s">
        <v>269</v>
      </c>
      <c r="D144" s="264" t="s">
        <v>10</v>
      </c>
      <c r="E144" s="264" t="s">
        <v>388</v>
      </c>
      <c r="F144" s="137"/>
      <c r="G144" s="137"/>
      <c r="H144" s="384" t="s">
        <v>178</v>
      </c>
      <c r="I144" s="384">
        <v>1</v>
      </c>
      <c r="J144" s="137"/>
      <c r="O144" s="29">
        <f>SUM(O138:O143)</f>
        <v>6</v>
      </c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>
        <f>SUM(D214:D219)</f>
        <v>10</v>
      </c>
      <c r="AD144" s="29">
        <f>SUM(E214:E219)</f>
        <v>6</v>
      </c>
      <c r="EF144" s="566"/>
      <c r="EG144" s="566"/>
      <c r="EH144" s="12"/>
      <c r="EI144" s="566"/>
      <c r="EJ144" s="566"/>
      <c r="EK144" s="566"/>
      <c r="HE144" s="12"/>
      <c r="HF144" s="12"/>
      <c r="HG144" s="12"/>
      <c r="HH144" s="12"/>
      <c r="HI144" s="12"/>
      <c r="HJ144" s="12"/>
      <c r="HK144" s="12"/>
      <c r="HL144" s="12"/>
    </row>
    <row r="145" spans="2:220" ht="15" customHeight="1">
      <c r="B145" s="265" t="s">
        <v>369</v>
      </c>
      <c r="C145" s="264" t="s">
        <v>387</v>
      </c>
      <c r="D145" s="264" t="s">
        <v>144</v>
      </c>
      <c r="E145" s="264" t="s">
        <v>178</v>
      </c>
      <c r="H145" s="385" t="s">
        <v>279</v>
      </c>
      <c r="I145" s="385">
        <v>1</v>
      </c>
      <c r="AO145" s="144"/>
      <c r="AP145" s="28"/>
      <c r="AT145" s="12"/>
      <c r="AU145" s="12"/>
      <c r="BZ145" s="179"/>
      <c r="CB145" s="178"/>
      <c r="EF145" s="566"/>
      <c r="EG145" s="566"/>
      <c r="EH145" s="12"/>
      <c r="EI145" s="566"/>
      <c r="EJ145" s="566"/>
      <c r="EK145" s="566"/>
      <c r="HE145" s="12"/>
      <c r="HF145" s="12"/>
      <c r="HG145" s="12"/>
      <c r="HH145" s="12"/>
      <c r="HI145" s="12"/>
      <c r="HJ145" s="12"/>
      <c r="HK145" s="12"/>
      <c r="HL145" s="12"/>
    </row>
    <row r="146" spans="2:220" ht="15" customHeight="1">
      <c r="B146" s="265" t="s">
        <v>365</v>
      </c>
      <c r="C146" s="264" t="s">
        <v>389</v>
      </c>
      <c r="D146" s="264" t="s">
        <v>144</v>
      </c>
      <c r="E146" s="264" t="s">
        <v>624</v>
      </c>
      <c r="H146" s="385" t="s">
        <v>663</v>
      </c>
      <c r="I146" s="385">
        <v>0</v>
      </c>
      <c r="AO146" s="144"/>
      <c r="AP146" s="28"/>
      <c r="AT146" s="12"/>
      <c r="AU146" s="12"/>
      <c r="BZ146" s="179"/>
      <c r="CB146" s="178"/>
      <c r="EF146" s="566"/>
      <c r="EG146" s="566"/>
      <c r="EH146" s="12"/>
      <c r="EI146" s="566"/>
      <c r="EJ146" s="566"/>
      <c r="EK146" s="566"/>
      <c r="HE146" s="12"/>
      <c r="HF146" s="12"/>
      <c r="HG146" s="12"/>
      <c r="HH146" s="12"/>
      <c r="HI146" s="12"/>
      <c r="HJ146" s="12"/>
      <c r="HK146" s="12"/>
      <c r="HL146" s="12"/>
    </row>
    <row r="147" spans="2:220" ht="15" customHeight="1">
      <c r="B147" s="265" t="s">
        <v>366</v>
      </c>
      <c r="C147" s="264" t="s">
        <v>248</v>
      </c>
      <c r="D147" s="264" t="s">
        <v>144</v>
      </c>
      <c r="E147" s="264" t="s">
        <v>624</v>
      </c>
      <c r="H147" s="385" t="s">
        <v>418</v>
      </c>
      <c r="I147" s="385">
        <v>3</v>
      </c>
      <c r="AO147" s="144"/>
      <c r="AP147" s="28"/>
      <c r="AT147" s="12"/>
      <c r="AU147" s="12"/>
      <c r="BZ147" s="179"/>
      <c r="CB147" s="178"/>
      <c r="EF147" s="566"/>
      <c r="EG147" s="566"/>
      <c r="EH147" s="12"/>
      <c r="EI147" s="566"/>
      <c r="EJ147" s="566"/>
      <c r="EK147" s="566"/>
      <c r="HE147" s="12"/>
      <c r="HF147" s="12"/>
      <c r="HG147" s="12"/>
      <c r="HH147" s="12"/>
      <c r="HI147" s="12"/>
      <c r="HJ147" s="12"/>
      <c r="HK147" s="12"/>
      <c r="HL147" s="12"/>
    </row>
    <row r="148" spans="2:220" ht="15" customHeight="1">
      <c r="B148" s="265" t="s">
        <v>367</v>
      </c>
      <c r="C148" s="264" t="s">
        <v>248</v>
      </c>
      <c r="D148" s="264" t="s">
        <v>144</v>
      </c>
      <c r="E148" s="264" t="s">
        <v>243</v>
      </c>
      <c r="F148" s="137"/>
      <c r="G148" s="137"/>
      <c r="H148" s="385" t="s">
        <v>177</v>
      </c>
      <c r="I148" s="385">
        <v>0</v>
      </c>
      <c r="J148" s="137"/>
      <c r="AO148" s="144"/>
      <c r="AP148" s="28"/>
      <c r="AT148" s="12"/>
      <c r="AU148" s="12"/>
      <c r="BZ148" s="179"/>
      <c r="CB148" s="178"/>
      <c r="EF148" s="566"/>
      <c r="EG148" s="566"/>
      <c r="EH148" s="12"/>
      <c r="EI148" s="566"/>
      <c r="EJ148" s="566"/>
      <c r="EK148" s="566"/>
      <c r="HE148" s="12"/>
      <c r="HF148" s="12"/>
      <c r="HG148" s="12"/>
      <c r="HH148" s="12"/>
      <c r="HI148" s="12"/>
      <c r="HJ148" s="12"/>
      <c r="HK148" s="12"/>
      <c r="HL148" s="12"/>
    </row>
    <row r="149" spans="2:220" ht="15" customHeight="1">
      <c r="B149" s="265" t="s">
        <v>594</v>
      </c>
      <c r="C149" s="264" t="s">
        <v>241</v>
      </c>
      <c r="D149" s="264" t="s">
        <v>144</v>
      </c>
      <c r="E149" s="264" t="s">
        <v>279</v>
      </c>
      <c r="F149" s="137"/>
      <c r="G149" s="137"/>
      <c r="H149" s="385" t="s">
        <v>624</v>
      </c>
      <c r="I149" s="385">
        <v>1</v>
      </c>
      <c r="J149" s="137"/>
      <c r="AO149" s="144"/>
      <c r="AP149" s="28"/>
      <c r="AT149" s="12"/>
      <c r="AU149" s="12"/>
      <c r="BZ149" s="179"/>
      <c r="CB149" s="178"/>
      <c r="EF149" s="566"/>
      <c r="EG149" s="566"/>
      <c r="EH149" s="12"/>
      <c r="EI149" s="566"/>
      <c r="EJ149" s="566"/>
      <c r="EK149" s="566"/>
      <c r="HE149" s="12"/>
      <c r="HF149" s="12"/>
      <c r="HG149" s="12"/>
      <c r="HH149" s="12"/>
      <c r="HI149" s="12"/>
      <c r="HJ149" s="12"/>
      <c r="HK149" s="12"/>
      <c r="HL149" s="12"/>
    </row>
    <row r="150" spans="2:220" ht="15" customHeight="1">
      <c r="B150" s="266" t="s">
        <v>368</v>
      </c>
      <c r="C150" s="264" t="s">
        <v>248</v>
      </c>
      <c r="D150" s="264" t="s">
        <v>37</v>
      </c>
      <c r="E150" s="264" t="s">
        <v>243</v>
      </c>
      <c r="F150" s="137"/>
      <c r="G150" s="137"/>
      <c r="H150" s="385" t="s">
        <v>176</v>
      </c>
      <c r="I150" s="385">
        <v>0</v>
      </c>
      <c r="J150" s="137"/>
      <c r="AO150" s="144"/>
      <c r="AP150" s="28"/>
      <c r="AT150" s="12"/>
      <c r="AU150" s="12"/>
      <c r="BZ150" s="179"/>
      <c r="CB150" s="178"/>
      <c r="EF150" s="566"/>
      <c r="EG150" s="566"/>
      <c r="EH150" s="12"/>
      <c r="EI150" s="566"/>
      <c r="EJ150" s="566"/>
      <c r="EK150" s="566"/>
      <c r="HE150" s="12"/>
      <c r="HF150" s="12"/>
      <c r="HG150" s="12"/>
      <c r="HH150" s="12"/>
      <c r="HI150" s="12"/>
      <c r="HJ150" s="12"/>
      <c r="HK150" s="12"/>
      <c r="HL150" s="12"/>
    </row>
    <row r="151" spans="2:220" ht="15.75" customHeight="1" thickBot="1">
      <c r="B151" s="266" t="s">
        <v>390</v>
      </c>
      <c r="C151" s="264" t="s">
        <v>391</v>
      </c>
      <c r="D151" s="264" t="s">
        <v>144</v>
      </c>
      <c r="E151" s="264" t="s">
        <v>178</v>
      </c>
      <c r="F151" s="137"/>
      <c r="G151" s="137"/>
      <c r="H151" s="386" t="s">
        <v>471</v>
      </c>
      <c r="I151" s="386">
        <v>1</v>
      </c>
      <c r="J151" s="137"/>
      <c r="AO151" s="144"/>
      <c r="AP151" s="28"/>
      <c r="AT151" s="12"/>
      <c r="AU151" s="12"/>
      <c r="BZ151" s="179"/>
      <c r="CB151" s="178"/>
      <c r="EF151" s="566"/>
      <c r="EG151" s="566"/>
      <c r="EH151" s="12"/>
      <c r="EI151" s="566"/>
      <c r="EJ151" s="566"/>
      <c r="EK151" s="566"/>
      <c r="HE151" s="12"/>
      <c r="HF151" s="12"/>
      <c r="HG151" s="12"/>
      <c r="HH151" s="12"/>
      <c r="HI151" s="12"/>
      <c r="HJ151" s="12"/>
      <c r="HK151" s="12"/>
      <c r="HL151" s="12"/>
    </row>
    <row r="152" spans="2:220" ht="29.25" customHeight="1">
      <c r="B152" s="266" t="s">
        <v>630</v>
      </c>
      <c r="C152" s="264" t="s">
        <v>391</v>
      </c>
      <c r="D152" s="264" t="s">
        <v>382</v>
      </c>
      <c r="E152" s="264" t="s">
        <v>624</v>
      </c>
      <c r="F152" s="137"/>
      <c r="G152" s="137"/>
      <c r="H152" s="320"/>
      <c r="I152" s="320"/>
      <c r="J152" s="137"/>
      <c r="AO152" s="144"/>
      <c r="AP152" s="28"/>
      <c r="AT152" s="12"/>
      <c r="AU152" s="12"/>
      <c r="BZ152" s="179"/>
      <c r="CB152" s="178"/>
      <c r="EF152" s="566"/>
      <c r="EG152" s="566"/>
      <c r="EH152" s="12"/>
      <c r="EI152" s="566"/>
      <c r="EJ152" s="566"/>
      <c r="EK152" s="566"/>
      <c r="HE152" s="12"/>
      <c r="HF152" s="12"/>
      <c r="HG152" s="12"/>
      <c r="HH152" s="12"/>
      <c r="HI152" s="12"/>
      <c r="HJ152" s="12"/>
      <c r="HK152" s="12"/>
      <c r="HL152" s="12"/>
    </row>
    <row r="153" spans="2:220" ht="30.75" customHeight="1">
      <c r="AO153" s="144"/>
      <c r="AP153" s="28"/>
      <c r="AT153" s="12"/>
      <c r="AU153" s="12"/>
      <c r="BZ153" s="179"/>
      <c r="CB153" s="178"/>
      <c r="EF153" s="566"/>
      <c r="EG153" s="566"/>
      <c r="EH153" s="12"/>
      <c r="EI153" s="566"/>
      <c r="EJ153" s="566"/>
      <c r="EK153" s="566"/>
      <c r="HE153" s="12"/>
      <c r="HF153" s="12"/>
      <c r="HG153" s="12"/>
      <c r="HH153" s="12"/>
      <c r="HI153" s="12"/>
      <c r="HJ153" s="12"/>
      <c r="HK153" s="12"/>
      <c r="HL153" s="12"/>
    </row>
    <row r="154" spans="2:220" ht="19.5" thickBot="1">
      <c r="C154" s="400" t="s">
        <v>574</v>
      </c>
      <c r="D154" s="400"/>
      <c r="E154" s="400"/>
      <c r="F154" s="400"/>
      <c r="G154" s="400"/>
      <c r="H154" s="400"/>
      <c r="I154" s="400"/>
      <c r="J154" s="400"/>
      <c r="K154" s="400"/>
      <c r="L154" s="400"/>
      <c r="M154" s="400"/>
      <c r="N154" s="400"/>
      <c r="AO154" s="144"/>
      <c r="AP154" s="28"/>
      <c r="AT154" s="12"/>
      <c r="AU154" s="12"/>
      <c r="BZ154" s="179"/>
      <c r="CB154" s="178"/>
      <c r="EF154" s="566"/>
      <c r="EG154" s="566"/>
      <c r="EH154" s="12"/>
      <c r="EI154" s="566"/>
      <c r="EJ154" s="566"/>
      <c r="EK154" s="566"/>
      <c r="HE154" s="12"/>
      <c r="HF154" s="12"/>
      <c r="HG154" s="12"/>
      <c r="HH154" s="12"/>
      <c r="HI154" s="12"/>
      <c r="HJ154" s="12"/>
      <c r="HK154" s="12"/>
      <c r="HL154" s="12"/>
    </row>
    <row r="155" spans="2:220" ht="16.5" thickBot="1">
      <c r="C155" s="857" t="s">
        <v>571</v>
      </c>
      <c r="D155" s="858"/>
      <c r="E155" s="867" t="s">
        <v>572</v>
      </c>
      <c r="F155" s="868"/>
      <c r="G155" s="865" t="s">
        <v>257</v>
      </c>
      <c r="H155" s="866"/>
      <c r="I155" s="863" t="s">
        <v>256</v>
      </c>
      <c r="J155" s="864"/>
      <c r="K155" s="861" t="s">
        <v>169</v>
      </c>
      <c r="L155" s="862"/>
      <c r="M155" s="859" t="s">
        <v>573</v>
      </c>
      <c r="N155" s="860"/>
      <c r="AO155" s="144"/>
      <c r="AP155" s="28"/>
      <c r="AT155" s="12"/>
      <c r="AU155" s="12"/>
      <c r="BZ155" s="179"/>
      <c r="CB155" s="178"/>
      <c r="EF155" s="566"/>
      <c r="EG155" s="566"/>
      <c r="EH155" s="12"/>
      <c r="EI155" s="566"/>
      <c r="EJ155" s="566"/>
      <c r="EK155" s="566"/>
      <c r="HE155" s="12"/>
      <c r="HF155" s="12"/>
      <c r="HG155" s="12"/>
      <c r="HH155" s="12"/>
      <c r="HI155" s="12"/>
      <c r="HJ155" s="12"/>
      <c r="HK155" s="12"/>
      <c r="HL155" s="12"/>
    </row>
    <row r="156" spans="2:220">
      <c r="B156" s="384" t="s">
        <v>178</v>
      </c>
      <c r="C156" s="368">
        <f t="shared" ref="C156:C163" si="274">SUMPRODUCT((Ass=B156)*((Avancement="Faisa")+(Avancement="ESQ")+(Avancement="APS")+(Avancement="PC")+(Avancement="APD")))</f>
        <v>1</v>
      </c>
      <c r="D156" s="372">
        <f>C156/$C$164</f>
        <v>9.0909090909090912E-2</v>
      </c>
      <c r="E156" s="368">
        <f t="shared" ref="E156:E163" si="275">SUMPRODUCT((Ass=B156)*((Avancement="PRO")+(Avancement="DCE")+(Avancement="AO")))</f>
        <v>2</v>
      </c>
      <c r="F156" s="372">
        <f>E156/$E$164</f>
        <v>0.125</v>
      </c>
      <c r="G156" s="368">
        <f t="shared" ref="G156:G163" si="276">SUMPRODUCT((Ass=B156)*((Avancement="OS")))</f>
        <v>0</v>
      </c>
      <c r="H156" s="372" t="e">
        <f>G156/$G$164</f>
        <v>#DIV/0!</v>
      </c>
      <c r="I156" s="368">
        <f>SUMPRODUCT((Ass=B156)*((Avancement="Tvx")+(Avancement="Réception")))-1</f>
        <v>2</v>
      </c>
      <c r="J156" s="372">
        <f>I156/$I$164</f>
        <v>0.14285714285714285</v>
      </c>
      <c r="K156" s="368">
        <f t="shared" ref="K156:K163" si="277">SUMPRODUCT((Ass=B156)*((Avancement="GPA")))</f>
        <v>2</v>
      </c>
      <c r="L156" s="372">
        <f>K156/$K$164</f>
        <v>0.25</v>
      </c>
      <c r="M156" s="368">
        <f t="shared" ref="M156:M163" si="278">SUMPRODUCT((Ass=B156)*((Avancement="clôture défisc")))</f>
        <v>0</v>
      </c>
      <c r="N156" s="372" t="e">
        <f>M156/$M$164</f>
        <v>#DIV/0!</v>
      </c>
      <c r="O156" s="384">
        <f>C156+E156+G156+I156+K156+M156</f>
        <v>7</v>
      </c>
      <c r="P156" s="144">
        <f>O156-C139</f>
        <v>0</v>
      </c>
      <c r="AO156" s="144"/>
      <c r="AP156" s="28"/>
      <c r="AT156" s="12"/>
      <c r="AU156" s="12"/>
      <c r="BZ156" s="179"/>
      <c r="CB156" s="178"/>
      <c r="EF156" s="566"/>
      <c r="EG156" s="566"/>
      <c r="EH156" s="12"/>
      <c r="EI156" s="566"/>
      <c r="EJ156" s="566"/>
      <c r="EK156" s="566"/>
      <c r="HE156" s="12"/>
      <c r="HF156" s="12"/>
      <c r="HG156" s="12"/>
      <c r="HH156" s="12"/>
      <c r="HI156" s="12"/>
      <c r="HJ156" s="12"/>
      <c r="HK156" s="12"/>
      <c r="HL156" s="12"/>
    </row>
    <row r="157" spans="2:220">
      <c r="B157" s="385" t="s">
        <v>279</v>
      </c>
      <c r="C157" s="370">
        <f t="shared" si="274"/>
        <v>2</v>
      </c>
      <c r="D157" s="373">
        <f t="shared" ref="D157:D163" si="279">C157/$C$164</f>
        <v>0.18181818181818182</v>
      </c>
      <c r="E157" s="370">
        <f t="shared" si="275"/>
        <v>4</v>
      </c>
      <c r="F157" s="373">
        <f t="shared" ref="F157:F163" si="280">E157/$E$164</f>
        <v>0.25</v>
      </c>
      <c r="G157" s="370">
        <f t="shared" si="276"/>
        <v>0</v>
      </c>
      <c r="H157" s="373" t="e">
        <f t="shared" ref="H157:H163" si="281">G157/$G$164</f>
        <v>#DIV/0!</v>
      </c>
      <c r="I157" s="370">
        <f t="shared" ref="I157:I163" si="282">SUMPRODUCT((Ass=B157)*((Avancement="Tvx")+(Avancement="Réception")))</f>
        <v>1</v>
      </c>
      <c r="J157" s="373">
        <f t="shared" ref="J157:J163" si="283">I157/$I$164</f>
        <v>7.1428571428571425E-2</v>
      </c>
      <c r="K157" s="370">
        <f t="shared" si="277"/>
        <v>1</v>
      </c>
      <c r="L157" s="373">
        <f t="shared" ref="L157:L163" si="284">K157/$K$164</f>
        <v>0.125</v>
      </c>
      <c r="M157" s="370">
        <f t="shared" si="278"/>
        <v>0</v>
      </c>
      <c r="N157" s="373" t="e">
        <f t="shared" ref="N157:N163" si="285">M157/$M$164</f>
        <v>#DIV/0!</v>
      </c>
      <c r="O157" s="385">
        <f>C157+E157+G157+I157+K157+M157</f>
        <v>8</v>
      </c>
      <c r="P157" s="144">
        <f>O157-D139</f>
        <v>0</v>
      </c>
      <c r="AO157" s="144"/>
      <c r="AP157" s="28"/>
      <c r="AT157" s="12"/>
      <c r="AU157" s="12"/>
      <c r="BZ157" s="179"/>
      <c r="CB157" s="178"/>
      <c r="EF157" s="566"/>
      <c r="EG157" s="566"/>
      <c r="EH157" s="12"/>
      <c r="EI157" s="566"/>
      <c r="EJ157" s="566"/>
      <c r="EK157" s="566"/>
      <c r="HE157" s="12"/>
      <c r="HF157" s="12"/>
      <c r="HG157" s="12"/>
      <c r="HH157" s="12"/>
      <c r="HI157" s="12"/>
      <c r="HJ157" s="12"/>
      <c r="HK157" s="12"/>
      <c r="HL157" s="12"/>
    </row>
    <row r="158" spans="2:220">
      <c r="B158" s="385" t="s">
        <v>663</v>
      </c>
      <c r="C158" s="370">
        <f t="shared" si="274"/>
        <v>0</v>
      </c>
      <c r="D158" s="373">
        <f t="shared" si="279"/>
        <v>0</v>
      </c>
      <c r="E158" s="370">
        <f t="shared" si="275"/>
        <v>1</v>
      </c>
      <c r="F158" s="373">
        <f t="shared" si="280"/>
        <v>6.25E-2</v>
      </c>
      <c r="G158" s="370">
        <f t="shared" si="276"/>
        <v>0</v>
      </c>
      <c r="H158" s="373" t="e">
        <f t="shared" si="281"/>
        <v>#DIV/0!</v>
      </c>
      <c r="I158" s="370">
        <f t="shared" si="282"/>
        <v>2</v>
      </c>
      <c r="J158" s="373">
        <f t="shared" si="283"/>
        <v>0.14285714285714285</v>
      </c>
      <c r="K158" s="370">
        <f t="shared" si="277"/>
        <v>0</v>
      </c>
      <c r="L158" s="373">
        <f t="shared" si="284"/>
        <v>0</v>
      </c>
      <c r="M158" s="370">
        <f t="shared" si="278"/>
        <v>0</v>
      </c>
      <c r="N158" s="373" t="e">
        <f t="shared" si="285"/>
        <v>#DIV/0!</v>
      </c>
      <c r="O158" s="385">
        <f t="shared" ref="O158:O163" si="286">C158+E158+G158+I158+K158+M158</f>
        <v>3</v>
      </c>
      <c r="P158" s="144">
        <f>O158-E139</f>
        <v>0</v>
      </c>
      <c r="EF158" s="566"/>
      <c r="EG158" s="566"/>
      <c r="EH158" s="12"/>
      <c r="EI158" s="566"/>
      <c r="EJ158" s="566"/>
      <c r="EK158" s="566"/>
      <c r="HE158" s="12"/>
      <c r="HF158" s="12"/>
      <c r="HG158" s="12"/>
      <c r="HH158" s="12"/>
      <c r="HI158" s="12"/>
      <c r="HJ158" s="12"/>
      <c r="HK158" s="12"/>
      <c r="HL158" s="12"/>
    </row>
    <row r="159" spans="2:220">
      <c r="B159" s="385" t="s">
        <v>418</v>
      </c>
      <c r="C159" s="370">
        <f t="shared" si="274"/>
        <v>0</v>
      </c>
      <c r="D159" s="373">
        <f t="shared" si="279"/>
        <v>0</v>
      </c>
      <c r="E159" s="370">
        <f t="shared" si="275"/>
        <v>0</v>
      </c>
      <c r="F159" s="373">
        <f t="shared" si="280"/>
        <v>0</v>
      </c>
      <c r="G159" s="370">
        <f t="shared" si="276"/>
        <v>0</v>
      </c>
      <c r="H159" s="373" t="e">
        <f t="shared" si="281"/>
        <v>#DIV/0!</v>
      </c>
      <c r="I159" s="370">
        <f t="shared" si="282"/>
        <v>0</v>
      </c>
      <c r="J159" s="373">
        <f t="shared" si="283"/>
        <v>0</v>
      </c>
      <c r="K159" s="370">
        <f t="shared" si="277"/>
        <v>0</v>
      </c>
      <c r="L159" s="373">
        <f t="shared" si="284"/>
        <v>0</v>
      </c>
      <c r="M159" s="370">
        <f t="shared" si="278"/>
        <v>0</v>
      </c>
      <c r="N159" s="373" t="e">
        <f t="shared" si="285"/>
        <v>#DIV/0!</v>
      </c>
      <c r="O159" s="385">
        <f t="shared" si="286"/>
        <v>0</v>
      </c>
      <c r="P159" s="144">
        <f>O159-F139</f>
        <v>0</v>
      </c>
      <c r="EF159" s="566"/>
      <c r="EG159" s="566"/>
      <c r="EH159" s="12"/>
      <c r="EI159" s="566"/>
      <c r="EJ159" s="566"/>
      <c r="EK159" s="566"/>
      <c r="HE159" s="12"/>
      <c r="HF159" s="12"/>
      <c r="HG159" s="12"/>
      <c r="HH159" s="12"/>
      <c r="HI159" s="12"/>
      <c r="HJ159" s="12"/>
      <c r="HK159" s="12"/>
      <c r="HL159" s="12"/>
    </row>
    <row r="160" spans="2:220">
      <c r="B160" s="385" t="s">
        <v>177</v>
      </c>
      <c r="C160" s="370">
        <f t="shared" si="274"/>
        <v>7</v>
      </c>
      <c r="D160" s="373">
        <f t="shared" si="279"/>
        <v>0.63636363636363635</v>
      </c>
      <c r="E160" s="370">
        <f t="shared" si="275"/>
        <v>3</v>
      </c>
      <c r="F160" s="373">
        <f t="shared" si="280"/>
        <v>0.1875</v>
      </c>
      <c r="G160" s="370">
        <f t="shared" si="276"/>
        <v>0</v>
      </c>
      <c r="H160" s="373" t="e">
        <f t="shared" si="281"/>
        <v>#DIV/0!</v>
      </c>
      <c r="I160" s="370">
        <f t="shared" si="282"/>
        <v>0</v>
      </c>
      <c r="J160" s="373">
        <f t="shared" si="283"/>
        <v>0</v>
      </c>
      <c r="K160" s="370">
        <f t="shared" si="277"/>
        <v>0</v>
      </c>
      <c r="L160" s="373">
        <f t="shared" si="284"/>
        <v>0</v>
      </c>
      <c r="M160" s="370">
        <f t="shared" si="278"/>
        <v>0</v>
      </c>
      <c r="N160" s="373" t="e">
        <f t="shared" si="285"/>
        <v>#DIV/0!</v>
      </c>
      <c r="O160" s="385">
        <f t="shared" si="286"/>
        <v>10</v>
      </c>
      <c r="P160" s="144">
        <f>O160-G139</f>
        <v>0</v>
      </c>
      <c r="EF160" s="566"/>
      <c r="EG160" s="566"/>
      <c r="EH160" s="12"/>
      <c r="EI160" s="566"/>
      <c r="EJ160" s="566"/>
      <c r="EK160" s="566"/>
      <c r="HE160" s="12"/>
      <c r="HF160" s="12"/>
      <c r="HG160" s="12"/>
      <c r="HH160" s="12"/>
      <c r="HI160" s="12"/>
      <c r="HJ160" s="12"/>
      <c r="HK160" s="12"/>
      <c r="HL160" s="12"/>
    </row>
    <row r="161" spans="2:220">
      <c r="B161" s="385" t="s">
        <v>624</v>
      </c>
      <c r="C161" s="370">
        <f t="shared" si="274"/>
        <v>1</v>
      </c>
      <c r="D161" s="373">
        <f t="shared" si="279"/>
        <v>9.0909090909090912E-2</v>
      </c>
      <c r="E161" s="370">
        <f t="shared" si="275"/>
        <v>2</v>
      </c>
      <c r="F161" s="373">
        <f t="shared" si="280"/>
        <v>0.125</v>
      </c>
      <c r="G161" s="370">
        <f t="shared" si="276"/>
        <v>0</v>
      </c>
      <c r="H161" s="373" t="e">
        <f t="shared" si="281"/>
        <v>#DIV/0!</v>
      </c>
      <c r="I161" s="370">
        <f t="shared" si="282"/>
        <v>2</v>
      </c>
      <c r="J161" s="373">
        <f t="shared" si="283"/>
        <v>0.14285714285714285</v>
      </c>
      <c r="K161" s="370">
        <f t="shared" si="277"/>
        <v>4</v>
      </c>
      <c r="L161" s="373">
        <f t="shared" si="284"/>
        <v>0.5</v>
      </c>
      <c r="M161" s="370">
        <f t="shared" si="278"/>
        <v>0</v>
      </c>
      <c r="N161" s="373" t="e">
        <f t="shared" si="285"/>
        <v>#DIV/0!</v>
      </c>
      <c r="O161" s="385">
        <f t="shared" si="286"/>
        <v>9</v>
      </c>
      <c r="P161" s="144">
        <f>O161-H139</f>
        <v>0</v>
      </c>
      <c r="EF161" s="566"/>
      <c r="EG161" s="566"/>
      <c r="EH161" s="12"/>
      <c r="EI161" s="566"/>
      <c r="EJ161" s="566"/>
      <c r="EK161" s="566"/>
      <c r="HE161" s="12"/>
      <c r="HF161" s="12"/>
      <c r="HG161" s="12"/>
      <c r="HH161" s="12"/>
      <c r="HI161" s="12"/>
      <c r="HJ161" s="12"/>
      <c r="HK161" s="12"/>
      <c r="HL161" s="12"/>
    </row>
    <row r="162" spans="2:220">
      <c r="B162" s="385" t="s">
        <v>176</v>
      </c>
      <c r="C162" s="370">
        <f t="shared" si="274"/>
        <v>0</v>
      </c>
      <c r="D162" s="373">
        <f t="shared" si="279"/>
        <v>0</v>
      </c>
      <c r="E162" s="370">
        <f t="shared" si="275"/>
        <v>1</v>
      </c>
      <c r="F162" s="373">
        <f t="shared" si="280"/>
        <v>6.25E-2</v>
      </c>
      <c r="G162" s="370">
        <f t="shared" si="276"/>
        <v>0</v>
      </c>
      <c r="H162" s="373" t="e">
        <f t="shared" si="281"/>
        <v>#DIV/0!</v>
      </c>
      <c r="I162" s="370">
        <f t="shared" si="282"/>
        <v>1</v>
      </c>
      <c r="J162" s="373">
        <f t="shared" si="283"/>
        <v>7.1428571428571425E-2</v>
      </c>
      <c r="K162" s="370">
        <f t="shared" si="277"/>
        <v>1</v>
      </c>
      <c r="L162" s="373">
        <f t="shared" si="284"/>
        <v>0.125</v>
      </c>
      <c r="M162" s="370">
        <f t="shared" si="278"/>
        <v>0</v>
      </c>
      <c r="N162" s="373" t="e">
        <f t="shared" si="285"/>
        <v>#DIV/0!</v>
      </c>
      <c r="O162" s="385">
        <f t="shared" si="286"/>
        <v>3</v>
      </c>
      <c r="P162" s="144">
        <f>O162-I139</f>
        <v>0</v>
      </c>
      <c r="EF162" s="566"/>
      <c r="EG162" s="566"/>
      <c r="EH162" s="12"/>
      <c r="EI162" s="566"/>
      <c r="EJ162" s="566"/>
      <c r="EK162" s="566"/>
      <c r="HE162" s="12"/>
      <c r="HF162" s="12"/>
      <c r="HG162" s="12"/>
      <c r="HH162" s="12"/>
      <c r="HI162" s="12"/>
      <c r="HJ162" s="12"/>
      <c r="HK162" s="12"/>
      <c r="HL162" s="12"/>
    </row>
    <row r="163" spans="2:220" ht="15.75" thickBot="1">
      <c r="B163" s="386" t="s">
        <v>471</v>
      </c>
      <c r="C163" s="369">
        <f t="shared" si="274"/>
        <v>0</v>
      </c>
      <c r="D163" s="374">
        <f t="shared" si="279"/>
        <v>0</v>
      </c>
      <c r="E163" s="369">
        <f t="shared" si="275"/>
        <v>3</v>
      </c>
      <c r="F163" s="374">
        <f t="shared" si="280"/>
        <v>0.1875</v>
      </c>
      <c r="G163" s="369">
        <f t="shared" si="276"/>
        <v>0</v>
      </c>
      <c r="H163" s="374" t="e">
        <f t="shared" si="281"/>
        <v>#DIV/0!</v>
      </c>
      <c r="I163" s="369">
        <f t="shared" si="282"/>
        <v>6</v>
      </c>
      <c r="J163" s="374">
        <f t="shared" si="283"/>
        <v>0.42857142857142855</v>
      </c>
      <c r="K163" s="369">
        <f t="shared" si="277"/>
        <v>0</v>
      </c>
      <c r="L163" s="374">
        <f t="shared" si="284"/>
        <v>0</v>
      </c>
      <c r="M163" s="369">
        <f t="shared" si="278"/>
        <v>0</v>
      </c>
      <c r="N163" s="374" t="e">
        <f t="shared" si="285"/>
        <v>#DIV/0!</v>
      </c>
      <c r="O163" s="386">
        <f t="shared" si="286"/>
        <v>9</v>
      </c>
      <c r="P163" s="144">
        <f>O163-J139</f>
        <v>0</v>
      </c>
      <c r="EF163" s="566"/>
      <c r="EG163" s="566"/>
      <c r="EH163" s="12"/>
      <c r="EI163" s="566"/>
      <c r="EJ163" s="566"/>
      <c r="EK163" s="566"/>
      <c r="HE163" s="12"/>
      <c r="HF163" s="12"/>
      <c r="HG163" s="12"/>
      <c r="HH163" s="12"/>
      <c r="HI163" s="12"/>
      <c r="HJ163" s="12"/>
      <c r="HK163" s="12"/>
      <c r="HL163" s="12"/>
    </row>
    <row r="164" spans="2:220" ht="15.75" thickBot="1">
      <c r="C164" s="375">
        <f t="shared" ref="C164:H164" si="287">SUM(C156:C163)</f>
        <v>11</v>
      </c>
      <c r="D164" s="376">
        <f t="shared" si="287"/>
        <v>1</v>
      </c>
      <c r="E164" s="375">
        <f t="shared" si="287"/>
        <v>16</v>
      </c>
      <c r="F164" s="378">
        <f t="shared" si="287"/>
        <v>1</v>
      </c>
      <c r="G164" s="375">
        <f t="shared" si="287"/>
        <v>0</v>
      </c>
      <c r="H164" s="378" t="e">
        <f t="shared" si="287"/>
        <v>#DIV/0!</v>
      </c>
      <c r="I164" s="377">
        <f>SUBTOTAL(9,I156:I163)</f>
        <v>14</v>
      </c>
      <c r="J164" s="381">
        <f>SUBTOTAL(9,J156:J163)</f>
        <v>1</v>
      </c>
      <c r="K164" s="371">
        <f>SUM(K156:K163)</f>
        <v>8</v>
      </c>
      <c r="L164" s="382">
        <f>SUM(L156:L163)</f>
        <v>1</v>
      </c>
      <c r="M164" s="371">
        <f>SUM(M156:M163)</f>
        <v>0</v>
      </c>
      <c r="N164" s="383" t="e">
        <f>SUM(N156:N163)</f>
        <v>#DIV/0!</v>
      </c>
      <c r="O164" s="29">
        <f>SUBTOTAL(9,O156:O163)</f>
        <v>49</v>
      </c>
      <c r="EF164" s="566"/>
      <c r="EG164" s="566"/>
      <c r="EH164" s="12"/>
      <c r="EI164" s="566"/>
      <c r="EJ164" s="566"/>
      <c r="EK164" s="566"/>
      <c r="HE164" s="12"/>
      <c r="HF164" s="12"/>
      <c r="HG164" s="12"/>
      <c r="HH164" s="12"/>
      <c r="HI164" s="12"/>
      <c r="HJ164" s="12"/>
      <c r="HK164" s="12"/>
      <c r="HL164" s="12"/>
    </row>
    <row r="165" spans="2:220">
      <c r="EF165" s="566"/>
      <c r="EG165" s="566"/>
      <c r="EH165" s="12"/>
      <c r="EI165" s="566"/>
      <c r="EJ165" s="566"/>
      <c r="EK165" s="566"/>
      <c r="HE165" s="12"/>
      <c r="HF165" s="12"/>
      <c r="HG165" s="12"/>
      <c r="HH165" s="12"/>
      <c r="HI165" s="12"/>
      <c r="HJ165" s="12"/>
      <c r="HK165" s="12"/>
      <c r="HL165" s="12"/>
    </row>
    <row r="166" spans="2:220">
      <c r="EF166" s="566"/>
      <c r="EG166" s="566"/>
      <c r="EH166" s="12"/>
      <c r="EI166" s="566"/>
      <c r="EJ166" s="566"/>
      <c r="EK166" s="566"/>
      <c r="HE166" s="12"/>
      <c r="HF166" s="12"/>
      <c r="HG166" s="12"/>
      <c r="HH166" s="12"/>
      <c r="HI166" s="12"/>
      <c r="HJ166" s="12"/>
      <c r="HK166" s="12"/>
      <c r="HL166" s="12"/>
    </row>
    <row r="167" spans="2:220">
      <c r="EF167" s="566"/>
      <c r="EG167" s="566"/>
      <c r="EH167" s="12"/>
      <c r="EI167" s="566"/>
      <c r="EJ167" s="566"/>
      <c r="EK167" s="566"/>
      <c r="HE167" s="12"/>
      <c r="HF167" s="12"/>
      <c r="HG167" s="12"/>
      <c r="HH167" s="12"/>
      <c r="HI167" s="12"/>
      <c r="HJ167" s="12"/>
      <c r="HK167" s="12"/>
      <c r="HL167" s="12"/>
    </row>
    <row r="168" spans="2:220">
      <c r="EF168" s="566"/>
      <c r="EG168" s="566"/>
      <c r="EH168" s="12"/>
      <c r="EI168" s="566"/>
      <c r="EJ168" s="566"/>
      <c r="EK168" s="566"/>
      <c r="HE168" s="12"/>
      <c r="HF168" s="12"/>
      <c r="HG168" s="12"/>
      <c r="HH168" s="12"/>
      <c r="HI168" s="12"/>
      <c r="HJ168" s="12"/>
      <c r="HK168" s="12"/>
      <c r="HL168" s="12"/>
    </row>
    <row r="169" spans="2:220">
      <c r="EF169" s="566"/>
      <c r="EG169" s="566"/>
      <c r="EH169" s="12"/>
      <c r="EI169" s="566"/>
      <c r="EJ169" s="566"/>
      <c r="EK169" s="566"/>
      <c r="HE169" s="12"/>
      <c r="HF169" s="12"/>
      <c r="HG169" s="12"/>
      <c r="HH169" s="12"/>
      <c r="HI169" s="12"/>
      <c r="HJ169" s="12"/>
      <c r="HK169" s="12"/>
      <c r="HL169" s="12"/>
    </row>
    <row r="170" spans="2:220">
      <c r="EF170" s="566"/>
      <c r="EG170" s="566"/>
      <c r="EH170" s="12"/>
      <c r="EI170" s="566"/>
      <c r="EJ170" s="566"/>
      <c r="EK170" s="566"/>
      <c r="HE170" s="12"/>
      <c r="HF170" s="12"/>
      <c r="HG170" s="12"/>
      <c r="HH170" s="12"/>
      <c r="HI170" s="12"/>
      <c r="HJ170" s="12"/>
      <c r="HK170" s="12"/>
      <c r="HL170" s="12"/>
    </row>
    <row r="171" spans="2:220">
      <c r="EF171" s="566"/>
      <c r="EG171" s="566"/>
      <c r="EH171" s="12"/>
      <c r="EI171" s="566"/>
      <c r="EJ171" s="566"/>
      <c r="EK171" s="566"/>
      <c r="HE171" s="12"/>
      <c r="HF171" s="12"/>
      <c r="HG171" s="12"/>
      <c r="HH171" s="12"/>
      <c r="HI171" s="12"/>
      <c r="HJ171" s="12"/>
      <c r="HK171" s="12"/>
      <c r="HL171" s="12"/>
    </row>
    <row r="172" spans="2:220">
      <c r="EF172" s="566"/>
      <c r="EG172" s="566"/>
      <c r="EH172" s="12"/>
      <c r="EI172" s="566"/>
      <c r="EJ172" s="566"/>
      <c r="EK172" s="566"/>
      <c r="HE172" s="12"/>
      <c r="HF172" s="12"/>
      <c r="HG172" s="12"/>
      <c r="HH172" s="12"/>
      <c r="HI172" s="12"/>
      <c r="HJ172" s="12"/>
      <c r="HK172" s="12"/>
      <c r="HL172" s="12"/>
    </row>
    <row r="173" spans="2:220">
      <c r="EF173" s="566"/>
      <c r="EG173" s="566"/>
      <c r="EH173" s="12"/>
      <c r="EI173" s="566"/>
      <c r="EJ173" s="566"/>
      <c r="EK173" s="566"/>
      <c r="HE173" s="12"/>
      <c r="HF173" s="12"/>
      <c r="HG173" s="12"/>
      <c r="HH173" s="12"/>
      <c r="HI173" s="12"/>
      <c r="HJ173" s="12"/>
      <c r="HK173" s="12"/>
      <c r="HL173" s="12"/>
    </row>
    <row r="174" spans="2:220">
      <c r="EF174" s="566"/>
      <c r="EG174" s="566"/>
      <c r="EH174" s="12"/>
      <c r="EI174" s="566"/>
      <c r="EJ174" s="566"/>
      <c r="EK174" s="566"/>
      <c r="HE174" s="12"/>
      <c r="HF174" s="12"/>
      <c r="HG174" s="12"/>
      <c r="HH174" s="12"/>
      <c r="HI174" s="12"/>
      <c r="HJ174" s="12"/>
      <c r="HK174" s="12"/>
      <c r="HL174" s="12"/>
    </row>
    <row r="175" spans="2:220">
      <c r="EF175" s="566"/>
      <c r="EG175" s="566"/>
      <c r="EH175" s="12"/>
      <c r="EI175" s="566"/>
      <c r="EJ175" s="566"/>
      <c r="EK175" s="566"/>
      <c r="HE175" s="12"/>
      <c r="HF175" s="12"/>
      <c r="HG175" s="12"/>
      <c r="HH175" s="12"/>
      <c r="HI175" s="12"/>
      <c r="HJ175" s="12"/>
      <c r="HK175" s="12"/>
      <c r="HL175" s="12"/>
    </row>
    <row r="176" spans="2:220">
      <c r="EF176" s="566"/>
      <c r="EG176" s="566"/>
      <c r="EH176" s="12"/>
      <c r="EI176" s="566"/>
      <c r="EJ176" s="566"/>
      <c r="EK176" s="566"/>
      <c r="HE176" s="12"/>
      <c r="HF176" s="12"/>
      <c r="HG176" s="12"/>
      <c r="HH176" s="12"/>
      <c r="HI176" s="12"/>
      <c r="HJ176" s="12"/>
      <c r="HK176" s="12"/>
      <c r="HL176" s="12"/>
    </row>
    <row r="177" spans="136:220">
      <c r="EF177" s="566"/>
      <c r="EG177" s="566"/>
      <c r="EH177" s="12"/>
      <c r="EI177" s="566"/>
      <c r="EJ177" s="566"/>
      <c r="EK177" s="566"/>
      <c r="HE177" s="12"/>
      <c r="HF177" s="12"/>
      <c r="HG177" s="12"/>
      <c r="HH177" s="12"/>
      <c r="HI177" s="12"/>
      <c r="HJ177" s="12"/>
      <c r="HK177" s="12"/>
      <c r="HL177" s="12"/>
    </row>
    <row r="178" spans="136:220">
      <c r="EF178" s="566"/>
      <c r="EG178" s="566"/>
      <c r="EH178" s="12"/>
      <c r="EI178" s="566"/>
      <c r="EJ178" s="566"/>
      <c r="EK178" s="566"/>
      <c r="HE178" s="12"/>
      <c r="HF178" s="12"/>
      <c r="HG178" s="12"/>
      <c r="HH178" s="12"/>
      <c r="HI178" s="12"/>
      <c r="HJ178" s="12"/>
      <c r="HK178" s="12"/>
      <c r="HL178" s="12"/>
    </row>
    <row r="179" spans="136:220">
      <c r="EF179" s="566"/>
      <c r="EG179" s="566"/>
      <c r="EH179" s="12"/>
      <c r="EI179" s="566"/>
      <c r="EJ179" s="566"/>
      <c r="EK179" s="566"/>
      <c r="HE179" s="12"/>
      <c r="HF179" s="12"/>
      <c r="HG179" s="12"/>
      <c r="HH179" s="12"/>
      <c r="HI179" s="12"/>
      <c r="HJ179" s="12"/>
      <c r="HK179" s="12"/>
      <c r="HL179" s="12"/>
    </row>
    <row r="180" spans="136:220">
      <c r="EF180" s="566"/>
      <c r="EG180" s="566"/>
      <c r="EH180" s="12"/>
      <c r="EI180" s="566"/>
      <c r="EJ180" s="566"/>
      <c r="EK180" s="566"/>
      <c r="HE180" s="12"/>
      <c r="HF180" s="12"/>
      <c r="HG180" s="12"/>
      <c r="HH180" s="12"/>
      <c r="HI180" s="12"/>
      <c r="HJ180" s="12"/>
      <c r="HK180" s="12"/>
      <c r="HL180" s="12"/>
    </row>
    <row r="181" spans="136:220">
      <c r="EF181" s="566"/>
      <c r="EG181" s="566"/>
      <c r="EH181" s="12"/>
      <c r="EI181" s="566"/>
      <c r="EJ181" s="566"/>
      <c r="EK181" s="566"/>
      <c r="HE181" s="12"/>
      <c r="HF181" s="12"/>
      <c r="HG181" s="12"/>
      <c r="HH181" s="12"/>
      <c r="HI181" s="12"/>
      <c r="HJ181" s="12"/>
      <c r="HK181" s="12"/>
      <c r="HL181" s="12"/>
    </row>
    <row r="182" spans="136:220">
      <c r="EF182" s="566"/>
      <c r="EG182" s="566"/>
      <c r="EH182" s="12"/>
      <c r="EI182" s="566"/>
      <c r="EJ182" s="566"/>
      <c r="EK182" s="566"/>
      <c r="HE182" s="12"/>
      <c r="HF182" s="12"/>
      <c r="HG182" s="12"/>
      <c r="HH182" s="12"/>
      <c r="HI182" s="12"/>
      <c r="HJ182" s="12"/>
      <c r="HK182" s="12"/>
      <c r="HL182" s="12"/>
    </row>
    <row r="183" spans="136:220">
      <c r="EF183" s="566"/>
      <c r="EG183" s="566"/>
      <c r="EH183" s="12"/>
      <c r="EI183" s="566"/>
      <c r="EJ183" s="566"/>
      <c r="EK183" s="566"/>
      <c r="HE183" s="12"/>
      <c r="HF183" s="12"/>
      <c r="HG183" s="12"/>
      <c r="HH183" s="12"/>
      <c r="HI183" s="12"/>
      <c r="HJ183" s="12"/>
      <c r="HK183" s="12"/>
      <c r="HL183" s="12"/>
    </row>
    <row r="184" spans="136:220">
      <c r="EF184" s="566"/>
      <c r="EG184" s="566"/>
      <c r="EH184" s="12"/>
      <c r="EI184" s="566"/>
      <c r="EJ184" s="566"/>
      <c r="EK184" s="566"/>
      <c r="HE184" s="12"/>
      <c r="HF184" s="12"/>
      <c r="HG184" s="12"/>
      <c r="HH184" s="12"/>
      <c r="HI184" s="12"/>
      <c r="HJ184" s="12"/>
      <c r="HK184" s="12"/>
      <c r="HL184" s="12"/>
    </row>
    <row r="185" spans="136:220">
      <c r="EF185" s="566"/>
      <c r="EG185" s="566"/>
      <c r="EH185" s="12"/>
      <c r="EI185" s="566"/>
      <c r="EJ185" s="566"/>
      <c r="EK185" s="566"/>
      <c r="HE185" s="12"/>
      <c r="HF185" s="12"/>
      <c r="HG185" s="12"/>
      <c r="HH185" s="12"/>
      <c r="HI185" s="12"/>
      <c r="HJ185" s="12"/>
      <c r="HK185" s="12"/>
      <c r="HL185" s="12"/>
    </row>
    <row r="186" spans="136:220">
      <c r="EF186" s="566"/>
      <c r="EG186" s="566"/>
      <c r="EH186" s="12"/>
      <c r="EI186" s="566"/>
      <c r="EJ186" s="566"/>
      <c r="EK186" s="566"/>
      <c r="HE186" s="12"/>
      <c r="HF186" s="12"/>
      <c r="HG186" s="12"/>
      <c r="HH186" s="12"/>
      <c r="HI186" s="12"/>
      <c r="HJ186" s="12"/>
      <c r="HK186" s="12"/>
      <c r="HL186" s="12"/>
    </row>
    <row r="187" spans="136:220">
      <c r="EF187" s="566"/>
      <c r="EG187" s="566"/>
      <c r="EH187" s="12"/>
      <c r="EI187" s="566"/>
      <c r="EJ187" s="566"/>
      <c r="EK187" s="566"/>
      <c r="HE187" s="12"/>
      <c r="HF187" s="12"/>
      <c r="HG187" s="12"/>
      <c r="HH187" s="12"/>
      <c r="HI187" s="12"/>
      <c r="HJ187" s="12"/>
      <c r="HK187" s="12"/>
      <c r="HL187" s="12"/>
    </row>
    <row r="188" spans="136:220">
      <c r="EF188" s="566"/>
      <c r="EG188" s="566"/>
      <c r="EH188" s="12"/>
      <c r="EI188" s="566"/>
      <c r="EJ188" s="566"/>
      <c r="EK188" s="566"/>
      <c r="HE188" s="12"/>
      <c r="HF188" s="12"/>
      <c r="HG188" s="12"/>
      <c r="HH188" s="12"/>
      <c r="HI188" s="12"/>
      <c r="HJ188" s="12"/>
      <c r="HK188" s="12"/>
      <c r="HL188" s="12"/>
    </row>
    <row r="189" spans="136:220">
      <c r="EF189" s="566"/>
      <c r="EG189" s="566"/>
      <c r="EH189" s="12"/>
      <c r="EI189" s="566"/>
      <c r="EJ189" s="566"/>
      <c r="EK189" s="566"/>
      <c r="HE189" s="12"/>
      <c r="HF189" s="12"/>
      <c r="HG189" s="12"/>
      <c r="HH189" s="12"/>
      <c r="HI189" s="12"/>
      <c r="HJ189" s="12"/>
      <c r="HK189" s="12"/>
      <c r="HL189" s="12"/>
    </row>
    <row r="190" spans="136:220">
      <c r="EF190" s="566"/>
      <c r="EG190" s="566"/>
      <c r="EH190" s="12"/>
      <c r="EI190" s="566"/>
      <c r="EJ190" s="566"/>
      <c r="EK190" s="566"/>
      <c r="HE190" s="12"/>
      <c r="HF190" s="12"/>
      <c r="HG190" s="12"/>
      <c r="HH190" s="12"/>
      <c r="HI190" s="12"/>
      <c r="HJ190" s="12"/>
      <c r="HK190" s="12"/>
      <c r="HL190" s="12"/>
    </row>
    <row r="191" spans="136:220">
      <c r="EF191" s="566"/>
      <c r="EG191" s="566"/>
      <c r="EH191" s="12"/>
      <c r="EI191" s="566"/>
      <c r="EJ191" s="566"/>
      <c r="EK191" s="566"/>
      <c r="HE191" s="12"/>
      <c r="HF191" s="12"/>
      <c r="HG191" s="12"/>
      <c r="HH191" s="12"/>
      <c r="HI191" s="12"/>
      <c r="HJ191" s="12"/>
      <c r="HK191" s="12"/>
      <c r="HL191" s="12"/>
    </row>
    <row r="192" spans="136:220">
      <c r="EF192" s="566"/>
      <c r="EG192" s="566"/>
      <c r="EH192" s="12"/>
      <c r="EI192" s="566"/>
      <c r="EJ192" s="566"/>
      <c r="EK192" s="566"/>
      <c r="HE192" s="12"/>
      <c r="HF192" s="12"/>
      <c r="HG192" s="12"/>
      <c r="HH192" s="12"/>
      <c r="HI192" s="12"/>
      <c r="HJ192" s="12"/>
      <c r="HK192" s="12"/>
      <c r="HL192" s="12"/>
    </row>
    <row r="193" spans="1:269" s="39" customFormat="1">
      <c r="A193" s="339"/>
      <c r="B193" s="12"/>
      <c r="C193" s="12"/>
      <c r="D193" s="12"/>
      <c r="E193" s="12"/>
      <c r="F193" s="12"/>
      <c r="G193" s="12"/>
      <c r="H193" s="12"/>
      <c r="I193" s="12"/>
      <c r="J193" s="12"/>
      <c r="K193" s="312"/>
      <c r="L193" s="197"/>
      <c r="M193" s="197"/>
      <c r="N193" s="197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44"/>
      <c r="AU193" s="28"/>
      <c r="AV193" s="12"/>
      <c r="AW193" s="12"/>
      <c r="AX193" s="12"/>
      <c r="AY193" s="12"/>
      <c r="AZ193" s="12"/>
      <c r="BA193" s="12"/>
      <c r="BB193" s="12"/>
      <c r="BC193" s="178"/>
      <c r="BD193" s="178"/>
      <c r="BE193" s="178"/>
      <c r="BF193" s="178"/>
      <c r="BG193" s="178"/>
      <c r="BH193" s="178"/>
      <c r="BI193" s="178"/>
      <c r="BJ193" s="178"/>
      <c r="BK193" s="178"/>
      <c r="BL193" s="178"/>
      <c r="BM193" s="178"/>
      <c r="BN193" s="178"/>
      <c r="BO193" s="178"/>
      <c r="BP193" s="178"/>
      <c r="BQ193" s="178"/>
      <c r="BR193" s="178"/>
      <c r="BS193" s="178"/>
      <c r="BT193" s="178"/>
      <c r="BU193" s="178"/>
      <c r="BV193" s="178"/>
      <c r="BW193" s="178"/>
      <c r="BX193" s="178"/>
      <c r="BY193" s="178"/>
      <c r="BZ193" s="178"/>
      <c r="CA193" s="178"/>
      <c r="CB193" s="179"/>
      <c r="CC193" s="178"/>
      <c r="CD193" s="224"/>
      <c r="CE193" s="224"/>
      <c r="CF193" s="178"/>
      <c r="CG193" s="178"/>
      <c r="CH193" s="178"/>
      <c r="CI193" s="178"/>
      <c r="CJ193" s="178"/>
      <c r="CK193" s="601"/>
      <c r="CL193" s="12"/>
      <c r="CM193" s="566"/>
      <c r="CN193" s="566"/>
      <c r="CO193" s="29"/>
      <c r="CP193" s="12"/>
      <c r="CQ193" s="566"/>
      <c r="CR193" s="12"/>
      <c r="CS193" s="566"/>
      <c r="CT193" s="12"/>
      <c r="CU193" s="12"/>
      <c r="CV193" s="12"/>
      <c r="CW193" s="12"/>
      <c r="CX193" s="12"/>
      <c r="CY193" s="566"/>
      <c r="CZ193" s="566"/>
      <c r="DA193" s="12"/>
      <c r="DB193" s="12"/>
      <c r="DC193" s="566"/>
      <c r="DD193" s="566"/>
      <c r="DE193" s="566"/>
      <c r="DF193" s="12"/>
      <c r="DG193" s="566"/>
      <c r="DH193" s="12"/>
      <c r="DI193" s="12"/>
      <c r="DJ193" s="12"/>
      <c r="DK193" s="12"/>
      <c r="DL193" s="231"/>
      <c r="DM193" s="12"/>
      <c r="DN193" s="566"/>
      <c r="DO193" s="566"/>
      <c r="DP193" s="29"/>
      <c r="DQ193" s="566"/>
      <c r="DR193" s="566"/>
      <c r="DS193" s="12"/>
      <c r="DT193" s="566"/>
      <c r="DU193" s="566"/>
      <c r="DV193" s="12"/>
      <c r="DW193" s="566"/>
      <c r="DX193" s="566"/>
      <c r="DY193" s="12"/>
      <c r="DZ193" s="566"/>
      <c r="EA193" s="566"/>
      <c r="EB193" s="12"/>
      <c r="EC193" s="566"/>
      <c r="ED193" s="566"/>
      <c r="EE193" s="12"/>
      <c r="EF193" s="566"/>
      <c r="EG193" s="566"/>
      <c r="EH193" s="12"/>
      <c r="EI193" s="566"/>
      <c r="EJ193" s="566"/>
      <c r="EK193" s="566"/>
      <c r="EL193" s="12"/>
      <c r="EM193" s="12"/>
      <c r="EN193" s="12"/>
      <c r="EO193" s="12"/>
      <c r="EP193" s="12"/>
      <c r="EQ193" s="12"/>
      <c r="ER193" s="12"/>
      <c r="ES193" s="12"/>
      <c r="ET193" s="12"/>
      <c r="EU193" s="12"/>
      <c r="EV193" s="337"/>
      <c r="EW193" s="12"/>
      <c r="EX193" s="12"/>
      <c r="EY193" s="12"/>
      <c r="EZ193" s="12"/>
      <c r="FA193" s="593"/>
      <c r="FB193" s="593"/>
      <c r="FC193" s="593"/>
      <c r="FD193" s="593"/>
      <c r="FE193" s="593"/>
      <c r="FF193" s="593"/>
      <c r="FH193" s="586"/>
      <c r="FI193" s="586"/>
      <c r="FK193" s="12"/>
      <c r="FL193" s="12"/>
      <c r="FM193" s="12"/>
      <c r="FN193" s="12"/>
      <c r="FO193" s="12"/>
      <c r="FP193" s="12"/>
      <c r="FQ193" s="12"/>
      <c r="FR193" s="12"/>
      <c r="FS193" s="12"/>
      <c r="FT193" s="12"/>
      <c r="FU193" s="12"/>
      <c r="FV193" s="12"/>
      <c r="FW193" s="12"/>
      <c r="FX193" s="12"/>
      <c r="FY193" s="12"/>
      <c r="FZ193" s="12"/>
      <c r="GA193" s="12"/>
      <c r="GB193" s="12"/>
      <c r="GC193" s="12"/>
      <c r="GD193" s="12"/>
      <c r="GE193" s="12"/>
      <c r="GF193" s="178"/>
      <c r="GG193" s="618"/>
      <c r="GH193" s="12"/>
      <c r="GI193" s="12"/>
      <c r="GJ193" s="12"/>
      <c r="GK193" s="12"/>
      <c r="GL193" s="12"/>
      <c r="GM193" s="12"/>
      <c r="GN193" s="12"/>
      <c r="GO193" s="12"/>
      <c r="GP193" s="12"/>
      <c r="GQ193" s="12"/>
      <c r="GR193" s="12"/>
      <c r="GS193" s="12"/>
      <c r="GT193" s="12"/>
      <c r="GU193" s="12"/>
      <c r="GV193" s="12"/>
      <c r="GW193" s="12"/>
      <c r="GX193" s="12"/>
      <c r="GY193" s="12"/>
      <c r="GZ193" s="12"/>
      <c r="HA193" s="12"/>
      <c r="HB193" s="645"/>
      <c r="HC193" s="12"/>
      <c r="HD193" s="12"/>
      <c r="HE193" s="12"/>
      <c r="HF193" s="12"/>
      <c r="HG193" s="12"/>
      <c r="HH193" s="12"/>
      <c r="HI193" s="12"/>
      <c r="HJ193" s="12"/>
      <c r="HK193" s="12"/>
      <c r="HL193" s="12"/>
      <c r="HM193" s="12"/>
      <c r="HN193" s="12"/>
      <c r="HO193" s="12"/>
      <c r="HP193" s="12"/>
      <c r="HQ193" s="12"/>
      <c r="HR193" s="12"/>
      <c r="HS193" s="12"/>
      <c r="HT193" s="12"/>
      <c r="HU193" s="12"/>
      <c r="HV193" s="12"/>
      <c r="HW193" s="12"/>
      <c r="HX193" s="12"/>
      <c r="HY193" s="12"/>
      <c r="HZ193" s="12"/>
      <c r="IA193" s="12"/>
      <c r="IB193" s="12"/>
      <c r="IC193" s="12"/>
      <c r="ID193" s="12"/>
      <c r="IE193" s="12"/>
      <c r="IF193" s="12"/>
      <c r="IG193" s="12"/>
      <c r="IH193" s="12"/>
      <c r="II193" s="12"/>
      <c r="IJ193" s="12"/>
      <c r="IK193" s="12"/>
      <c r="IL193" s="12"/>
      <c r="IM193" s="12"/>
      <c r="IN193" s="12"/>
      <c r="IO193" s="12"/>
      <c r="IP193" s="12"/>
      <c r="IQ193" s="12"/>
      <c r="IR193" s="12"/>
      <c r="IS193" s="12"/>
      <c r="IT193" s="12"/>
      <c r="IU193" s="12"/>
      <c r="IV193" s="12"/>
      <c r="IW193" s="12"/>
      <c r="IX193" s="12"/>
      <c r="IY193" s="12"/>
      <c r="IZ193" s="12"/>
      <c r="JA193" s="12"/>
      <c r="JB193" s="12"/>
      <c r="JC193" s="12"/>
      <c r="JD193" s="12"/>
      <c r="JE193" s="12"/>
      <c r="JF193" s="12"/>
      <c r="JG193" s="12"/>
      <c r="JH193" s="12"/>
      <c r="JI193" s="12"/>
    </row>
    <row r="194" spans="1:269" s="39" customFormat="1">
      <c r="A194" s="339"/>
      <c r="B194" s="12"/>
      <c r="C194" s="12"/>
      <c r="D194" s="12"/>
      <c r="E194" s="12"/>
      <c r="F194" s="12"/>
      <c r="G194" s="12"/>
      <c r="H194" s="12"/>
      <c r="I194" s="12"/>
      <c r="J194" s="12"/>
      <c r="K194" s="312"/>
      <c r="L194" s="197"/>
      <c r="M194" s="197"/>
      <c r="N194" s="197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44"/>
      <c r="AU194" s="28"/>
      <c r="AV194" s="12"/>
      <c r="AW194" s="12"/>
      <c r="AX194" s="12"/>
      <c r="AY194" s="12"/>
      <c r="AZ194" s="12"/>
      <c r="BA194" s="12"/>
      <c r="BB194" s="12"/>
      <c r="BC194" s="178"/>
      <c r="BD194" s="178"/>
      <c r="BE194" s="178"/>
      <c r="BF194" s="178"/>
      <c r="BG194" s="178"/>
      <c r="BH194" s="178"/>
      <c r="BI194" s="178"/>
      <c r="BJ194" s="178"/>
      <c r="BK194" s="178"/>
      <c r="BL194" s="178"/>
      <c r="BM194" s="178"/>
      <c r="BN194" s="178"/>
      <c r="BO194" s="178"/>
      <c r="BP194" s="178"/>
      <c r="BQ194" s="178"/>
      <c r="BR194" s="178"/>
      <c r="BS194" s="178"/>
      <c r="BT194" s="178"/>
      <c r="BU194" s="178"/>
      <c r="BV194" s="178"/>
      <c r="BW194" s="178"/>
      <c r="BX194" s="178"/>
      <c r="BY194" s="178"/>
      <c r="BZ194" s="178"/>
      <c r="CA194" s="178"/>
      <c r="CB194" s="179"/>
      <c r="CC194" s="178"/>
      <c r="CD194" s="224"/>
      <c r="CE194" s="224"/>
      <c r="CF194" s="178"/>
      <c r="CG194" s="178"/>
      <c r="CH194" s="178"/>
      <c r="CI194" s="178"/>
      <c r="CJ194" s="178"/>
      <c r="CK194" s="601"/>
      <c r="CL194" s="12"/>
      <c r="CM194" s="566"/>
      <c r="CN194" s="566"/>
      <c r="CO194" s="29"/>
      <c r="CP194" s="12"/>
      <c r="CQ194" s="566"/>
      <c r="CR194" s="12"/>
      <c r="CS194" s="566"/>
      <c r="CT194" s="12"/>
      <c r="CU194" s="12"/>
      <c r="CV194" s="12"/>
      <c r="CW194" s="12"/>
      <c r="CX194" s="12"/>
      <c r="CY194" s="566"/>
      <c r="CZ194" s="566"/>
      <c r="DA194" s="12"/>
      <c r="DB194" s="12"/>
      <c r="DC194" s="566"/>
      <c r="DD194" s="566"/>
      <c r="DE194" s="566"/>
      <c r="DF194" s="12"/>
      <c r="DG194" s="566"/>
      <c r="DH194" s="12"/>
      <c r="DI194" s="12"/>
      <c r="DJ194" s="12"/>
      <c r="DK194" s="12"/>
      <c r="DL194" s="231"/>
      <c r="DM194" s="12"/>
      <c r="DN194" s="566"/>
      <c r="DO194" s="566"/>
      <c r="DP194" s="29"/>
      <c r="DQ194" s="566"/>
      <c r="DR194" s="566"/>
      <c r="DS194" s="12"/>
      <c r="DT194" s="566"/>
      <c r="DU194" s="566"/>
      <c r="DV194" s="12"/>
      <c r="DW194" s="566"/>
      <c r="DX194" s="566"/>
      <c r="DY194" s="12"/>
      <c r="DZ194" s="566"/>
      <c r="EA194" s="566"/>
      <c r="EB194" s="12"/>
      <c r="EC194" s="566"/>
      <c r="ED194" s="566"/>
      <c r="EE194" s="12"/>
      <c r="EF194" s="566"/>
      <c r="EG194" s="566"/>
      <c r="EH194" s="12"/>
      <c r="EI194" s="566"/>
      <c r="EJ194" s="566"/>
      <c r="EK194" s="566"/>
      <c r="EL194" s="12"/>
      <c r="EM194" s="12"/>
      <c r="EN194" s="12"/>
      <c r="EO194" s="12"/>
      <c r="EP194" s="12"/>
      <c r="EQ194" s="12"/>
      <c r="ER194" s="12"/>
      <c r="ES194" s="12"/>
      <c r="ET194" s="12"/>
      <c r="EU194" s="12"/>
      <c r="EV194" s="337"/>
      <c r="EW194" s="12"/>
      <c r="EX194" s="12"/>
      <c r="EY194" s="12"/>
      <c r="EZ194" s="12"/>
      <c r="FA194" s="593"/>
      <c r="FB194" s="593"/>
      <c r="FC194" s="593"/>
      <c r="FD194" s="593"/>
      <c r="FE194" s="593"/>
      <c r="FF194" s="593"/>
      <c r="FH194" s="586"/>
      <c r="FI194" s="586"/>
      <c r="FK194" s="12"/>
      <c r="FL194" s="12"/>
      <c r="FM194" s="12"/>
      <c r="FN194" s="12"/>
      <c r="FO194" s="12"/>
      <c r="FP194" s="12"/>
      <c r="FQ194" s="12"/>
      <c r="FR194" s="12"/>
      <c r="FS194" s="12"/>
      <c r="FT194" s="12"/>
      <c r="FU194" s="12"/>
      <c r="FV194" s="12"/>
      <c r="FW194" s="12"/>
      <c r="FX194" s="12"/>
      <c r="FY194" s="12"/>
      <c r="FZ194" s="12"/>
      <c r="GA194" s="12"/>
      <c r="GB194" s="12"/>
      <c r="GC194" s="12"/>
      <c r="GD194" s="12"/>
      <c r="GE194" s="12"/>
      <c r="GF194" s="178"/>
      <c r="GG194" s="618"/>
      <c r="GH194" s="12"/>
      <c r="GI194" s="12"/>
      <c r="GJ194" s="12"/>
      <c r="GK194" s="12"/>
      <c r="GL194" s="12"/>
      <c r="GM194" s="12"/>
      <c r="GN194" s="12"/>
      <c r="GO194" s="12"/>
      <c r="GP194" s="12"/>
      <c r="GQ194" s="12"/>
      <c r="GR194" s="12"/>
      <c r="GS194" s="12"/>
      <c r="GT194" s="12"/>
      <c r="GU194" s="12"/>
      <c r="GV194" s="12"/>
      <c r="GW194" s="12"/>
      <c r="GX194" s="12"/>
      <c r="GY194" s="12"/>
      <c r="GZ194" s="12"/>
      <c r="HA194" s="12"/>
      <c r="HB194" s="645"/>
      <c r="HC194" s="12"/>
      <c r="HD194" s="12"/>
      <c r="HE194" s="12"/>
      <c r="HF194" s="12"/>
      <c r="HG194" s="12"/>
      <c r="HH194" s="12"/>
      <c r="HI194" s="12"/>
      <c r="HJ194" s="12"/>
      <c r="HK194" s="12"/>
      <c r="HL194" s="12"/>
      <c r="HM194" s="12"/>
      <c r="HN194" s="12"/>
      <c r="HO194" s="12"/>
      <c r="HP194" s="12"/>
      <c r="HQ194" s="12"/>
      <c r="HR194" s="12"/>
      <c r="HS194" s="12"/>
      <c r="HT194" s="12"/>
      <c r="HU194" s="12"/>
      <c r="HV194" s="12"/>
      <c r="HW194" s="12"/>
      <c r="HX194" s="12"/>
      <c r="HY194" s="12"/>
      <c r="HZ194" s="12"/>
      <c r="IA194" s="12"/>
      <c r="IB194" s="12"/>
      <c r="IC194" s="12"/>
      <c r="ID194" s="12"/>
      <c r="IE194" s="12"/>
      <c r="IF194" s="12"/>
      <c r="IG194" s="12"/>
      <c r="IH194" s="12"/>
      <c r="II194" s="12"/>
      <c r="IJ194" s="12"/>
      <c r="IK194" s="12"/>
      <c r="IL194" s="12"/>
      <c r="IM194" s="12"/>
      <c r="IN194" s="12"/>
      <c r="IO194" s="12"/>
      <c r="IP194" s="12"/>
      <c r="IQ194" s="12"/>
      <c r="IR194" s="12"/>
      <c r="IS194" s="12"/>
      <c r="IT194" s="12"/>
      <c r="IU194" s="12"/>
      <c r="IV194" s="12"/>
      <c r="IW194" s="12"/>
      <c r="IX194" s="12"/>
      <c r="IY194" s="12"/>
      <c r="IZ194" s="12"/>
      <c r="JA194" s="12"/>
      <c r="JB194" s="12"/>
      <c r="JC194" s="12"/>
      <c r="JD194" s="12"/>
      <c r="JE194" s="12"/>
      <c r="JF194" s="12"/>
      <c r="JG194" s="12"/>
      <c r="JH194" s="12"/>
      <c r="JI194" s="12"/>
    </row>
    <row r="195" spans="1:269" s="39" customFormat="1">
      <c r="A195" s="339"/>
      <c r="B195" s="12"/>
      <c r="C195" s="12"/>
      <c r="D195" s="12"/>
      <c r="E195" s="12"/>
      <c r="F195" s="12"/>
      <c r="G195" s="12"/>
      <c r="H195" s="12"/>
      <c r="I195" s="12"/>
      <c r="J195" s="12"/>
      <c r="K195" s="312"/>
      <c r="L195" s="197"/>
      <c r="M195" s="197"/>
      <c r="N195" s="197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44"/>
      <c r="AU195" s="28"/>
      <c r="AV195" s="12"/>
      <c r="AW195" s="12"/>
      <c r="AX195" s="12"/>
      <c r="AY195" s="12"/>
      <c r="AZ195" s="12"/>
      <c r="BA195" s="12"/>
      <c r="BB195" s="12"/>
      <c r="BC195" s="178"/>
      <c r="BD195" s="178"/>
      <c r="BE195" s="178"/>
      <c r="BF195" s="178"/>
      <c r="BG195" s="178"/>
      <c r="BH195" s="178"/>
      <c r="BI195" s="178"/>
      <c r="BJ195" s="178"/>
      <c r="BK195" s="178"/>
      <c r="BL195" s="178"/>
      <c r="BM195" s="178"/>
      <c r="BN195" s="178"/>
      <c r="BO195" s="178"/>
      <c r="BP195" s="178"/>
      <c r="BQ195" s="178"/>
      <c r="BR195" s="178"/>
      <c r="BS195" s="178"/>
      <c r="BT195" s="178"/>
      <c r="BU195" s="178"/>
      <c r="BV195" s="178"/>
      <c r="BW195" s="178"/>
      <c r="BX195" s="178"/>
      <c r="BY195" s="178"/>
      <c r="BZ195" s="178"/>
      <c r="CA195" s="178"/>
      <c r="CB195" s="179"/>
      <c r="CC195" s="178"/>
      <c r="CD195" s="224"/>
      <c r="CE195" s="224"/>
      <c r="CF195" s="178"/>
      <c r="CG195" s="178"/>
      <c r="CH195" s="178"/>
      <c r="CI195" s="178"/>
      <c r="CJ195" s="178"/>
      <c r="CK195" s="601"/>
      <c r="CL195" s="12"/>
      <c r="CM195" s="566"/>
      <c r="CN195" s="566"/>
      <c r="CO195" s="29"/>
      <c r="CP195" s="12"/>
      <c r="CQ195" s="566"/>
      <c r="CR195" s="12"/>
      <c r="CS195" s="566"/>
      <c r="CT195" s="12"/>
      <c r="CU195" s="12"/>
      <c r="CV195" s="12"/>
      <c r="CW195" s="12"/>
      <c r="CX195" s="12"/>
      <c r="CY195" s="566"/>
      <c r="CZ195" s="566"/>
      <c r="DA195" s="12"/>
      <c r="DB195" s="12"/>
      <c r="DC195" s="566"/>
      <c r="DD195" s="566"/>
      <c r="DE195" s="566"/>
      <c r="DF195" s="12"/>
      <c r="DG195" s="566"/>
      <c r="DH195" s="12"/>
      <c r="DI195" s="12"/>
      <c r="DJ195" s="12"/>
      <c r="DK195" s="12"/>
      <c r="DL195" s="231"/>
      <c r="DM195" s="12"/>
      <c r="DN195" s="566"/>
      <c r="DO195" s="566"/>
      <c r="DP195" s="29"/>
      <c r="DQ195" s="566"/>
      <c r="DR195" s="566"/>
      <c r="DS195" s="12"/>
      <c r="DT195" s="566"/>
      <c r="DU195" s="566"/>
      <c r="DV195" s="12"/>
      <c r="DW195" s="566"/>
      <c r="DX195" s="566"/>
      <c r="DY195" s="12"/>
      <c r="DZ195" s="566"/>
      <c r="EA195" s="566"/>
      <c r="EB195" s="12"/>
      <c r="EC195" s="566"/>
      <c r="ED195" s="566"/>
      <c r="EE195" s="12"/>
      <c r="EF195" s="566"/>
      <c r="EG195" s="566"/>
      <c r="EH195" s="12"/>
      <c r="EI195" s="566"/>
      <c r="EJ195" s="566"/>
      <c r="EK195" s="566"/>
      <c r="EL195" s="12"/>
      <c r="EM195" s="12"/>
      <c r="EN195" s="12"/>
      <c r="EO195" s="12"/>
      <c r="EP195" s="12"/>
      <c r="EQ195" s="12"/>
      <c r="ER195" s="12"/>
      <c r="ES195" s="12"/>
      <c r="ET195" s="12"/>
      <c r="EU195" s="12"/>
      <c r="EV195" s="337"/>
      <c r="EW195" s="12"/>
      <c r="EX195" s="12"/>
      <c r="EY195" s="12"/>
      <c r="EZ195" s="12"/>
      <c r="FA195" s="593"/>
      <c r="FB195" s="593"/>
      <c r="FC195" s="593"/>
      <c r="FD195" s="593"/>
      <c r="FE195" s="593"/>
      <c r="FF195" s="593"/>
      <c r="FH195" s="586"/>
      <c r="FI195" s="586"/>
      <c r="FK195" s="12"/>
      <c r="FL195" s="12"/>
      <c r="FM195" s="12"/>
      <c r="FN195" s="12"/>
      <c r="FO195" s="12"/>
      <c r="FP195" s="12"/>
      <c r="FQ195" s="12"/>
      <c r="FR195" s="12"/>
      <c r="FS195" s="12"/>
      <c r="FT195" s="12"/>
      <c r="FU195" s="12"/>
      <c r="FV195" s="12"/>
      <c r="FW195" s="12"/>
      <c r="FX195" s="12"/>
      <c r="FY195" s="12"/>
      <c r="FZ195" s="12"/>
      <c r="GA195" s="12"/>
      <c r="GB195" s="12"/>
      <c r="GC195" s="12"/>
      <c r="GD195" s="12"/>
      <c r="GE195" s="12"/>
      <c r="GF195" s="178"/>
      <c r="GG195" s="618"/>
      <c r="GH195" s="12"/>
      <c r="GI195" s="12"/>
      <c r="GJ195" s="12"/>
      <c r="GK195" s="12"/>
      <c r="GL195" s="12"/>
      <c r="GM195" s="12"/>
      <c r="GN195" s="12"/>
      <c r="GO195" s="12"/>
      <c r="GP195" s="12"/>
      <c r="GQ195" s="12"/>
      <c r="GR195" s="12"/>
      <c r="GS195" s="12"/>
      <c r="GT195" s="12"/>
      <c r="GU195" s="12"/>
      <c r="GV195" s="12"/>
      <c r="GW195" s="12"/>
      <c r="GX195" s="12"/>
      <c r="GY195" s="12"/>
      <c r="GZ195" s="12"/>
      <c r="HA195" s="12"/>
      <c r="HB195" s="645"/>
      <c r="HC195" s="12"/>
      <c r="HD195" s="12"/>
      <c r="HE195" s="12"/>
      <c r="HF195" s="12"/>
      <c r="HG195" s="12"/>
      <c r="HH195" s="12"/>
      <c r="HI195" s="12"/>
      <c r="HJ195" s="12"/>
      <c r="HK195" s="12"/>
      <c r="HL195" s="12"/>
      <c r="HM195" s="12"/>
      <c r="HN195" s="12"/>
      <c r="HO195" s="12"/>
      <c r="HP195" s="12"/>
      <c r="HQ195" s="12"/>
      <c r="HR195" s="12"/>
      <c r="HS195" s="12"/>
      <c r="HT195" s="12"/>
      <c r="HU195" s="12"/>
      <c r="HV195" s="12"/>
      <c r="HW195" s="12"/>
      <c r="HX195" s="12"/>
      <c r="HY195" s="12"/>
      <c r="HZ195" s="12"/>
      <c r="IA195" s="12"/>
      <c r="IB195" s="12"/>
      <c r="IC195" s="12"/>
      <c r="ID195" s="12"/>
      <c r="IE195" s="12"/>
      <c r="IF195" s="12"/>
      <c r="IG195" s="12"/>
      <c r="IH195" s="12"/>
      <c r="II195" s="12"/>
      <c r="IJ195" s="12"/>
      <c r="IK195" s="12"/>
      <c r="IL195" s="12"/>
      <c r="IM195" s="12"/>
      <c r="IN195" s="12"/>
      <c r="IO195" s="12"/>
      <c r="IP195" s="12"/>
      <c r="IQ195" s="12"/>
      <c r="IR195" s="12"/>
      <c r="IS195" s="12"/>
      <c r="IT195" s="12"/>
      <c r="IU195" s="12"/>
      <c r="IV195" s="12"/>
      <c r="IW195" s="12"/>
      <c r="IX195" s="12"/>
      <c r="IY195" s="12"/>
      <c r="IZ195" s="12"/>
      <c r="JA195" s="12"/>
      <c r="JB195" s="12"/>
      <c r="JC195" s="12"/>
      <c r="JD195" s="12"/>
      <c r="JE195" s="12"/>
      <c r="JF195" s="12"/>
      <c r="JG195" s="12"/>
      <c r="JH195" s="12"/>
      <c r="JI195" s="12"/>
    </row>
    <row r="196" spans="1:269" s="39" customFormat="1">
      <c r="A196" s="339"/>
      <c r="B196" s="12"/>
      <c r="C196" s="12"/>
      <c r="D196" s="12"/>
      <c r="E196" s="12"/>
      <c r="F196" s="12"/>
      <c r="G196" s="12"/>
      <c r="H196" s="12"/>
      <c r="I196" s="12"/>
      <c r="J196" s="12"/>
      <c r="K196" s="312"/>
      <c r="L196" s="197"/>
      <c r="M196" s="197"/>
      <c r="N196" s="197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44"/>
      <c r="AU196" s="28"/>
      <c r="AV196" s="12"/>
      <c r="AW196" s="12"/>
      <c r="AX196" s="12"/>
      <c r="AY196" s="12"/>
      <c r="AZ196" s="12"/>
      <c r="BA196" s="12"/>
      <c r="BB196" s="12"/>
      <c r="BC196" s="178"/>
      <c r="BD196" s="178"/>
      <c r="BE196" s="178"/>
      <c r="BF196" s="178"/>
      <c r="BG196" s="178"/>
      <c r="BH196" s="178"/>
      <c r="BI196" s="178"/>
      <c r="BJ196" s="178"/>
      <c r="BK196" s="178"/>
      <c r="BL196" s="178"/>
      <c r="BM196" s="178"/>
      <c r="BN196" s="178"/>
      <c r="BO196" s="178"/>
      <c r="BP196" s="178"/>
      <c r="BQ196" s="178"/>
      <c r="BR196" s="178"/>
      <c r="BS196" s="178"/>
      <c r="BT196" s="178"/>
      <c r="BU196" s="178"/>
      <c r="BV196" s="178"/>
      <c r="BW196" s="178"/>
      <c r="BX196" s="178"/>
      <c r="BY196" s="178"/>
      <c r="BZ196" s="178"/>
      <c r="CA196" s="178"/>
      <c r="CB196" s="179"/>
      <c r="CC196" s="178"/>
      <c r="CD196" s="224"/>
      <c r="CE196" s="224"/>
      <c r="CF196" s="178"/>
      <c r="CG196" s="178"/>
      <c r="CH196" s="178"/>
      <c r="CI196" s="178"/>
      <c r="CJ196" s="178"/>
      <c r="CK196" s="601"/>
      <c r="CL196" s="12"/>
      <c r="CM196" s="566"/>
      <c r="CN196" s="566"/>
      <c r="CO196" s="29"/>
      <c r="CP196" s="12"/>
      <c r="CQ196" s="566"/>
      <c r="CR196" s="12"/>
      <c r="CS196" s="566"/>
      <c r="CT196" s="12"/>
      <c r="CU196" s="12"/>
      <c r="CV196" s="12"/>
      <c r="CW196" s="12"/>
      <c r="CX196" s="12"/>
      <c r="CY196" s="566"/>
      <c r="CZ196" s="566"/>
      <c r="DA196" s="12"/>
      <c r="DB196" s="12"/>
      <c r="DC196" s="566"/>
      <c r="DD196" s="566"/>
      <c r="DE196" s="566"/>
      <c r="DF196" s="12"/>
      <c r="DG196" s="566"/>
      <c r="DH196" s="12"/>
      <c r="DI196" s="12"/>
      <c r="DJ196" s="12"/>
      <c r="DK196" s="12"/>
      <c r="DL196" s="231"/>
      <c r="DM196" s="12"/>
      <c r="DN196" s="566"/>
      <c r="DO196" s="566"/>
      <c r="DP196" s="29"/>
      <c r="DQ196" s="566"/>
      <c r="DR196" s="566"/>
      <c r="DS196" s="12"/>
      <c r="DT196" s="566"/>
      <c r="DU196" s="566"/>
      <c r="DV196" s="12"/>
      <c r="DW196" s="566"/>
      <c r="DX196" s="566"/>
      <c r="DY196" s="12"/>
      <c r="DZ196" s="566"/>
      <c r="EA196" s="566"/>
      <c r="EB196" s="12"/>
      <c r="EC196" s="566"/>
      <c r="ED196" s="566"/>
      <c r="EE196" s="12"/>
      <c r="EF196" s="566"/>
      <c r="EG196" s="566"/>
      <c r="EH196" s="12"/>
      <c r="EI196" s="566"/>
      <c r="EJ196" s="566"/>
      <c r="EK196" s="566"/>
      <c r="EL196" s="12"/>
      <c r="EM196" s="12"/>
      <c r="EN196" s="12"/>
      <c r="EO196" s="12"/>
      <c r="EP196" s="12"/>
      <c r="EQ196" s="12"/>
      <c r="ER196" s="12"/>
      <c r="ES196" s="12"/>
      <c r="ET196" s="12"/>
      <c r="EU196" s="12"/>
      <c r="EV196" s="337"/>
      <c r="EW196" s="12"/>
      <c r="EX196" s="12"/>
      <c r="EY196" s="12"/>
      <c r="EZ196" s="12"/>
      <c r="FA196" s="593"/>
      <c r="FB196" s="593"/>
      <c r="FC196" s="593"/>
      <c r="FD196" s="593"/>
      <c r="FE196" s="593"/>
      <c r="FF196" s="593"/>
      <c r="FH196" s="586"/>
      <c r="FI196" s="586"/>
      <c r="FK196" s="12"/>
      <c r="FL196" s="12"/>
      <c r="FM196" s="12"/>
      <c r="FN196" s="12"/>
      <c r="FO196" s="12"/>
      <c r="FP196" s="12"/>
      <c r="FQ196" s="12"/>
      <c r="FR196" s="12"/>
      <c r="FS196" s="12"/>
      <c r="FT196" s="12"/>
      <c r="FU196" s="12"/>
      <c r="FV196" s="12"/>
      <c r="FW196" s="12"/>
      <c r="FX196" s="12"/>
      <c r="FY196" s="12"/>
      <c r="FZ196" s="12"/>
      <c r="GA196" s="12"/>
      <c r="GB196" s="12"/>
      <c r="GC196" s="12"/>
      <c r="GD196" s="12"/>
      <c r="GE196" s="12"/>
      <c r="GF196" s="178"/>
      <c r="GG196" s="618"/>
      <c r="GH196" s="12"/>
      <c r="GI196" s="12"/>
      <c r="GJ196" s="12"/>
      <c r="GK196" s="12"/>
      <c r="GL196" s="12"/>
      <c r="GM196" s="12"/>
      <c r="GN196" s="12"/>
      <c r="GO196" s="12"/>
      <c r="GP196" s="12"/>
      <c r="GQ196" s="12"/>
      <c r="GR196" s="12"/>
      <c r="GS196" s="12"/>
      <c r="GT196" s="12"/>
      <c r="GU196" s="12"/>
      <c r="GV196" s="12"/>
      <c r="GW196" s="12"/>
      <c r="GX196" s="12"/>
      <c r="GY196" s="12"/>
      <c r="GZ196" s="12"/>
      <c r="HA196" s="12"/>
      <c r="HB196" s="645"/>
      <c r="HC196" s="12"/>
      <c r="HD196" s="12"/>
      <c r="HE196" s="12"/>
      <c r="HF196" s="12"/>
      <c r="HG196" s="12"/>
      <c r="HH196" s="12"/>
      <c r="HI196" s="12"/>
      <c r="HJ196" s="12"/>
      <c r="HK196" s="12"/>
      <c r="HL196" s="12"/>
      <c r="HM196" s="12"/>
      <c r="HN196" s="12"/>
      <c r="HO196" s="12"/>
      <c r="HP196" s="12"/>
      <c r="HQ196" s="12"/>
      <c r="HR196" s="12"/>
      <c r="HS196" s="12"/>
      <c r="HT196" s="12"/>
      <c r="HU196" s="12"/>
      <c r="HV196" s="12"/>
      <c r="HW196" s="12"/>
      <c r="HX196" s="12"/>
      <c r="HY196" s="12"/>
      <c r="HZ196" s="12"/>
      <c r="IA196" s="12"/>
      <c r="IB196" s="12"/>
      <c r="IC196" s="12"/>
      <c r="ID196" s="12"/>
      <c r="IE196" s="12"/>
      <c r="IF196" s="12"/>
      <c r="IG196" s="12"/>
      <c r="IH196" s="12"/>
      <c r="II196" s="12"/>
      <c r="IJ196" s="12"/>
      <c r="IK196" s="12"/>
      <c r="IL196" s="12"/>
      <c r="IM196" s="12"/>
      <c r="IN196" s="12"/>
      <c r="IO196" s="12"/>
      <c r="IP196" s="12"/>
      <c r="IQ196" s="12"/>
      <c r="IR196" s="12"/>
      <c r="IS196" s="12"/>
      <c r="IT196" s="12"/>
      <c r="IU196" s="12"/>
      <c r="IV196" s="12"/>
      <c r="IW196" s="12"/>
      <c r="IX196" s="12"/>
      <c r="IY196" s="12"/>
      <c r="IZ196" s="12"/>
      <c r="JA196" s="12"/>
      <c r="JB196" s="12"/>
      <c r="JC196" s="12"/>
      <c r="JD196" s="12"/>
      <c r="JE196" s="12"/>
      <c r="JF196" s="12"/>
      <c r="JG196" s="12"/>
      <c r="JH196" s="12"/>
      <c r="JI196" s="12"/>
    </row>
    <row r="197" spans="1:269" s="39" customFormat="1">
      <c r="A197" s="339"/>
      <c r="B197" s="12"/>
      <c r="C197" s="12"/>
      <c r="D197" s="12"/>
      <c r="E197" s="12"/>
      <c r="F197" s="12"/>
      <c r="G197" s="12"/>
      <c r="H197" s="12"/>
      <c r="I197" s="12"/>
      <c r="J197" s="12"/>
      <c r="K197" s="312"/>
      <c r="L197" s="197"/>
      <c r="M197" s="197"/>
      <c r="N197" s="197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44"/>
      <c r="AU197" s="28"/>
      <c r="AV197" s="12"/>
      <c r="AW197" s="12"/>
      <c r="AX197" s="12"/>
      <c r="AY197" s="12"/>
      <c r="AZ197" s="12"/>
      <c r="BA197" s="12"/>
      <c r="BB197" s="12"/>
      <c r="BC197" s="178"/>
      <c r="BD197" s="178"/>
      <c r="BE197" s="178"/>
      <c r="BF197" s="178"/>
      <c r="BG197" s="178"/>
      <c r="BH197" s="178"/>
      <c r="BI197" s="178"/>
      <c r="BJ197" s="178"/>
      <c r="BK197" s="178"/>
      <c r="BL197" s="178"/>
      <c r="BM197" s="178"/>
      <c r="BN197" s="178"/>
      <c r="BO197" s="178"/>
      <c r="BP197" s="178"/>
      <c r="BQ197" s="178"/>
      <c r="BR197" s="178"/>
      <c r="BS197" s="178"/>
      <c r="BT197" s="178"/>
      <c r="BU197" s="178"/>
      <c r="BV197" s="178"/>
      <c r="BW197" s="178"/>
      <c r="BX197" s="178"/>
      <c r="BY197" s="178"/>
      <c r="BZ197" s="178"/>
      <c r="CA197" s="178"/>
      <c r="CB197" s="179"/>
      <c r="CC197" s="178"/>
      <c r="CD197" s="224"/>
      <c r="CE197" s="224"/>
      <c r="CF197" s="178"/>
      <c r="CG197" s="178"/>
      <c r="CH197" s="178"/>
      <c r="CI197" s="178"/>
      <c r="CJ197" s="178"/>
      <c r="CK197" s="601"/>
      <c r="CL197" s="12"/>
      <c r="CM197" s="566"/>
      <c r="CN197" s="566"/>
      <c r="CO197" s="29"/>
      <c r="CP197" s="12"/>
      <c r="CQ197" s="566"/>
      <c r="CR197" s="12"/>
      <c r="CS197" s="566"/>
      <c r="CT197" s="12"/>
      <c r="CU197" s="12"/>
      <c r="CV197" s="12"/>
      <c r="CW197" s="12"/>
      <c r="CX197" s="12"/>
      <c r="CY197" s="566"/>
      <c r="CZ197" s="566"/>
      <c r="DA197" s="12"/>
      <c r="DB197" s="12"/>
      <c r="DC197" s="566"/>
      <c r="DD197" s="566"/>
      <c r="DE197" s="566"/>
      <c r="DF197" s="12"/>
      <c r="DG197" s="566"/>
      <c r="DH197" s="12"/>
      <c r="DI197" s="12"/>
      <c r="DJ197" s="12"/>
      <c r="DK197" s="12"/>
      <c r="DL197" s="231"/>
      <c r="DM197" s="12"/>
      <c r="DN197" s="566"/>
      <c r="DO197" s="566"/>
      <c r="DP197" s="29"/>
      <c r="DQ197" s="566"/>
      <c r="DR197" s="566"/>
      <c r="DS197" s="12"/>
      <c r="DT197" s="566"/>
      <c r="DU197" s="566"/>
      <c r="DV197" s="12"/>
      <c r="DW197" s="566"/>
      <c r="DX197" s="566"/>
      <c r="DY197" s="12"/>
      <c r="DZ197" s="566"/>
      <c r="EA197" s="566"/>
      <c r="EB197" s="12"/>
      <c r="EC197" s="566"/>
      <c r="ED197" s="566"/>
      <c r="EE197" s="12"/>
      <c r="EF197" s="566"/>
      <c r="EG197" s="566"/>
      <c r="EH197" s="12"/>
      <c r="EI197" s="566"/>
      <c r="EJ197" s="566"/>
      <c r="EK197" s="566"/>
      <c r="EL197" s="12"/>
      <c r="EM197" s="12"/>
      <c r="EN197" s="12"/>
      <c r="EO197" s="12"/>
      <c r="EP197" s="12"/>
      <c r="EQ197" s="12"/>
      <c r="ER197" s="12"/>
      <c r="ES197" s="12"/>
      <c r="ET197" s="12"/>
      <c r="EU197" s="12"/>
      <c r="EV197" s="337"/>
      <c r="EW197" s="12"/>
      <c r="EX197" s="12"/>
      <c r="EY197" s="12"/>
      <c r="EZ197" s="12"/>
      <c r="FA197" s="593"/>
      <c r="FB197" s="593"/>
      <c r="FC197" s="593"/>
      <c r="FD197" s="593"/>
      <c r="FE197" s="593"/>
      <c r="FF197" s="593"/>
      <c r="FH197" s="586"/>
      <c r="FI197" s="586"/>
      <c r="FK197" s="12"/>
      <c r="FL197" s="12"/>
      <c r="FM197" s="12"/>
      <c r="FN197" s="12"/>
      <c r="FO197" s="12"/>
      <c r="FP197" s="12"/>
      <c r="FQ197" s="12"/>
      <c r="FR197" s="12"/>
      <c r="FS197" s="12"/>
      <c r="FT197" s="12"/>
      <c r="FU197" s="12"/>
      <c r="FV197" s="12"/>
      <c r="FW197" s="12"/>
      <c r="FX197" s="12"/>
      <c r="FY197" s="12"/>
      <c r="FZ197" s="12"/>
      <c r="GA197" s="12"/>
      <c r="GB197" s="12"/>
      <c r="GC197" s="12"/>
      <c r="GD197" s="12"/>
      <c r="GE197" s="12"/>
      <c r="GF197" s="178"/>
      <c r="GG197" s="618"/>
      <c r="GH197" s="12"/>
      <c r="GI197" s="12"/>
      <c r="GJ197" s="12"/>
      <c r="GK197" s="12"/>
      <c r="GL197" s="12"/>
      <c r="GM197" s="12"/>
      <c r="GN197" s="12"/>
      <c r="GO197" s="12"/>
      <c r="GP197" s="12"/>
      <c r="GQ197" s="12"/>
      <c r="GR197" s="12"/>
      <c r="GS197" s="12"/>
      <c r="GT197" s="12"/>
      <c r="GU197" s="12"/>
      <c r="GV197" s="12"/>
      <c r="GW197" s="12"/>
      <c r="GX197" s="12"/>
      <c r="GY197" s="12"/>
      <c r="GZ197" s="12"/>
      <c r="HA197" s="12"/>
      <c r="HB197" s="645"/>
      <c r="HC197" s="12"/>
      <c r="HD197" s="12"/>
      <c r="HE197" s="12"/>
      <c r="HF197" s="12"/>
      <c r="HG197" s="12"/>
      <c r="HH197" s="12"/>
      <c r="HI197" s="12"/>
      <c r="HJ197" s="12"/>
      <c r="HK197" s="12"/>
      <c r="HL197" s="12"/>
      <c r="HM197" s="12"/>
      <c r="HN197" s="12"/>
      <c r="HO197" s="12"/>
      <c r="HP197" s="12"/>
      <c r="HQ197" s="12"/>
      <c r="HR197" s="12"/>
      <c r="HS197" s="12"/>
      <c r="HT197" s="12"/>
      <c r="HU197" s="12"/>
      <c r="HV197" s="12"/>
      <c r="HW197" s="12"/>
      <c r="HX197" s="12"/>
      <c r="HY197" s="12"/>
      <c r="HZ197" s="12"/>
      <c r="IA197" s="12"/>
      <c r="IB197" s="12"/>
      <c r="IC197" s="12"/>
      <c r="ID197" s="12"/>
      <c r="IE197" s="12"/>
      <c r="IF197" s="12"/>
      <c r="IG197" s="12"/>
      <c r="IH197" s="12"/>
      <c r="II197" s="12"/>
      <c r="IJ197" s="12"/>
      <c r="IK197" s="12"/>
      <c r="IL197" s="12"/>
      <c r="IM197" s="12"/>
      <c r="IN197" s="12"/>
      <c r="IO197" s="12"/>
      <c r="IP197" s="12"/>
      <c r="IQ197" s="12"/>
      <c r="IR197" s="12"/>
      <c r="IS197" s="12"/>
      <c r="IT197" s="12"/>
      <c r="IU197" s="12"/>
      <c r="IV197" s="12"/>
      <c r="IW197" s="12"/>
      <c r="IX197" s="12"/>
      <c r="IY197" s="12"/>
      <c r="IZ197" s="12"/>
      <c r="JA197" s="12"/>
      <c r="JB197" s="12"/>
      <c r="JC197" s="12"/>
      <c r="JD197" s="12"/>
      <c r="JE197" s="12"/>
      <c r="JF197" s="12"/>
      <c r="JG197" s="12"/>
      <c r="JH197" s="12"/>
      <c r="JI197" s="12"/>
    </row>
    <row r="198" spans="1:269" s="39" customFormat="1">
      <c r="A198" s="339"/>
      <c r="B198" s="12"/>
      <c r="C198" s="12"/>
      <c r="D198" s="12"/>
      <c r="E198" s="12"/>
      <c r="F198" s="12"/>
      <c r="G198" s="12"/>
      <c r="H198" s="12"/>
      <c r="I198" s="12"/>
      <c r="J198" s="12"/>
      <c r="K198" s="312"/>
      <c r="L198" s="197"/>
      <c r="M198" s="197"/>
      <c r="N198" s="197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44"/>
      <c r="AU198" s="28"/>
      <c r="AV198" s="12"/>
      <c r="AW198" s="12"/>
      <c r="AX198" s="12"/>
      <c r="AY198" s="12"/>
      <c r="AZ198" s="12"/>
      <c r="BA198" s="12"/>
      <c r="BB198" s="12"/>
      <c r="BC198" s="178"/>
      <c r="BD198" s="178"/>
      <c r="BE198" s="178"/>
      <c r="BF198" s="178"/>
      <c r="BG198" s="178"/>
      <c r="BH198" s="178"/>
      <c r="BI198" s="178"/>
      <c r="BJ198" s="178"/>
      <c r="BK198" s="178"/>
      <c r="BL198" s="178"/>
      <c r="BM198" s="178"/>
      <c r="BN198" s="178"/>
      <c r="BO198" s="178"/>
      <c r="BP198" s="178"/>
      <c r="BQ198" s="178"/>
      <c r="BR198" s="178"/>
      <c r="BS198" s="178"/>
      <c r="BT198" s="178"/>
      <c r="BU198" s="178"/>
      <c r="BV198" s="178"/>
      <c r="BW198" s="178"/>
      <c r="BX198" s="178"/>
      <c r="BY198" s="178"/>
      <c r="BZ198" s="178"/>
      <c r="CA198" s="178"/>
      <c r="CB198" s="179"/>
      <c r="CC198" s="178"/>
      <c r="CD198" s="224"/>
      <c r="CE198" s="224"/>
      <c r="CF198" s="178"/>
      <c r="CG198" s="178"/>
      <c r="CH198" s="178"/>
      <c r="CI198" s="178"/>
      <c r="CJ198" s="178"/>
      <c r="CK198" s="601"/>
      <c r="CL198" s="12"/>
      <c r="CM198" s="566"/>
      <c r="CN198" s="566"/>
      <c r="CO198" s="29"/>
      <c r="CP198" s="12"/>
      <c r="CQ198" s="566"/>
      <c r="CR198" s="12"/>
      <c r="CS198" s="566"/>
      <c r="CT198" s="12"/>
      <c r="CU198" s="12"/>
      <c r="CV198" s="12"/>
      <c r="CW198" s="12"/>
      <c r="CX198" s="12"/>
      <c r="CY198" s="566"/>
      <c r="CZ198" s="566"/>
      <c r="DA198" s="12"/>
      <c r="DB198" s="12"/>
      <c r="DC198" s="566"/>
      <c r="DD198" s="566"/>
      <c r="DE198" s="566"/>
      <c r="DF198" s="12"/>
      <c r="DG198" s="566"/>
      <c r="DH198" s="12"/>
      <c r="DI198" s="12"/>
      <c r="DJ198" s="12"/>
      <c r="DK198" s="12"/>
      <c r="DL198" s="231"/>
      <c r="DM198" s="12"/>
      <c r="DN198" s="566"/>
      <c r="DO198" s="566"/>
      <c r="DP198" s="29"/>
      <c r="DQ198" s="566"/>
      <c r="DR198" s="566"/>
      <c r="DS198" s="12"/>
      <c r="DT198" s="566"/>
      <c r="DU198" s="566"/>
      <c r="DV198" s="12"/>
      <c r="DW198" s="566"/>
      <c r="DX198" s="566"/>
      <c r="DY198" s="12"/>
      <c r="DZ198" s="566"/>
      <c r="EA198" s="566"/>
      <c r="EB198" s="12"/>
      <c r="EC198" s="566"/>
      <c r="ED198" s="566"/>
      <c r="EE198" s="12"/>
      <c r="EF198" s="566"/>
      <c r="EG198" s="566"/>
      <c r="EH198" s="12"/>
      <c r="EI198" s="566"/>
      <c r="EJ198" s="566"/>
      <c r="EK198" s="566"/>
      <c r="EL198" s="12"/>
      <c r="EM198" s="12"/>
      <c r="EN198" s="12"/>
      <c r="EO198" s="12"/>
      <c r="EP198" s="12"/>
      <c r="EQ198" s="12"/>
      <c r="ER198" s="12"/>
      <c r="ES198" s="12"/>
      <c r="ET198" s="12"/>
      <c r="EU198" s="12"/>
      <c r="EV198" s="337"/>
      <c r="EW198" s="12"/>
      <c r="EX198" s="12"/>
      <c r="EY198" s="12"/>
      <c r="EZ198" s="12"/>
      <c r="FA198" s="593"/>
      <c r="FB198" s="593"/>
      <c r="FC198" s="593"/>
      <c r="FD198" s="593"/>
      <c r="FE198" s="593"/>
      <c r="FF198" s="593"/>
      <c r="FH198" s="586"/>
      <c r="FI198" s="586"/>
      <c r="FK198" s="12"/>
      <c r="FL198" s="12"/>
      <c r="FM198" s="12"/>
      <c r="FN198" s="12"/>
      <c r="FO198" s="12"/>
      <c r="FP198" s="12"/>
      <c r="FQ198" s="12"/>
      <c r="FR198" s="12"/>
      <c r="FS198" s="12"/>
      <c r="FT198" s="12"/>
      <c r="FU198" s="12"/>
      <c r="FV198" s="12"/>
      <c r="FW198" s="12"/>
      <c r="FX198" s="12"/>
      <c r="FY198" s="12"/>
      <c r="FZ198" s="12"/>
      <c r="GA198" s="12"/>
      <c r="GB198" s="12"/>
      <c r="GC198" s="12"/>
      <c r="GD198" s="12"/>
      <c r="GE198" s="12"/>
      <c r="GF198" s="178"/>
      <c r="GG198" s="618"/>
      <c r="GH198" s="12"/>
      <c r="GI198" s="12"/>
      <c r="GJ198" s="12"/>
      <c r="GK198" s="12"/>
      <c r="GL198" s="12"/>
      <c r="GM198" s="12"/>
      <c r="GN198" s="12"/>
      <c r="GO198" s="12"/>
      <c r="GP198" s="12"/>
      <c r="GQ198" s="12"/>
      <c r="GR198" s="12"/>
      <c r="GS198" s="12"/>
      <c r="GT198" s="12"/>
      <c r="GU198" s="12"/>
      <c r="GV198" s="12"/>
      <c r="GW198" s="12"/>
      <c r="GX198" s="12"/>
      <c r="GY198" s="12"/>
      <c r="GZ198" s="12"/>
      <c r="HA198" s="12"/>
      <c r="HB198" s="645"/>
      <c r="HC198" s="12"/>
      <c r="HD198" s="12"/>
      <c r="HE198" s="12"/>
      <c r="HF198" s="12"/>
      <c r="HG198" s="12"/>
      <c r="HH198" s="12"/>
      <c r="HI198" s="12"/>
      <c r="HJ198" s="12"/>
      <c r="HK198" s="12"/>
      <c r="HL198" s="12"/>
      <c r="HM198" s="12"/>
      <c r="HN198" s="12"/>
      <c r="HO198" s="12"/>
      <c r="HP198" s="12"/>
      <c r="HQ198" s="12"/>
      <c r="HR198" s="12"/>
      <c r="HS198" s="12"/>
      <c r="HT198" s="12"/>
      <c r="HU198" s="12"/>
      <c r="HV198" s="12"/>
      <c r="HW198" s="12"/>
      <c r="HX198" s="12"/>
      <c r="HY198" s="12"/>
      <c r="HZ198" s="12"/>
      <c r="IA198" s="12"/>
      <c r="IB198" s="12"/>
      <c r="IC198" s="12"/>
      <c r="ID198" s="12"/>
      <c r="IE198" s="12"/>
      <c r="IF198" s="12"/>
      <c r="IG198" s="12"/>
      <c r="IH198" s="12"/>
      <c r="II198" s="12"/>
      <c r="IJ198" s="12"/>
      <c r="IK198" s="12"/>
      <c r="IL198" s="12"/>
      <c r="IM198" s="12"/>
      <c r="IN198" s="12"/>
      <c r="IO198" s="12"/>
      <c r="IP198" s="12"/>
      <c r="IQ198" s="12"/>
      <c r="IR198" s="12"/>
      <c r="IS198" s="12"/>
      <c r="IT198" s="12"/>
      <c r="IU198" s="12"/>
      <c r="IV198" s="12"/>
      <c r="IW198" s="12"/>
      <c r="IX198" s="12"/>
      <c r="IY198" s="12"/>
      <c r="IZ198" s="12"/>
      <c r="JA198" s="12"/>
      <c r="JB198" s="12"/>
      <c r="JC198" s="12"/>
      <c r="JD198" s="12"/>
      <c r="JE198" s="12"/>
      <c r="JF198" s="12"/>
      <c r="JG198" s="12"/>
      <c r="JH198" s="12"/>
      <c r="JI198" s="12"/>
    </row>
    <row r="199" spans="1:269" s="39" customFormat="1">
      <c r="A199" s="339"/>
      <c r="B199" s="12"/>
      <c r="C199" s="12"/>
      <c r="D199" s="12"/>
      <c r="E199" s="12"/>
      <c r="F199" s="12"/>
      <c r="G199" s="12"/>
      <c r="H199" s="12"/>
      <c r="I199" s="12"/>
      <c r="J199" s="12"/>
      <c r="K199" s="312"/>
      <c r="L199" s="197"/>
      <c r="M199" s="197"/>
      <c r="N199" s="197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44"/>
      <c r="AU199" s="28"/>
      <c r="AV199" s="12"/>
      <c r="AW199" s="12"/>
      <c r="AX199" s="12"/>
      <c r="AY199" s="12"/>
      <c r="AZ199" s="12"/>
      <c r="BA199" s="12"/>
      <c r="BB199" s="12"/>
      <c r="BC199" s="178"/>
      <c r="BD199" s="178"/>
      <c r="BE199" s="178"/>
      <c r="BF199" s="178"/>
      <c r="BG199" s="178"/>
      <c r="BH199" s="178"/>
      <c r="BI199" s="178"/>
      <c r="BJ199" s="178"/>
      <c r="BK199" s="178"/>
      <c r="BL199" s="178"/>
      <c r="BM199" s="178"/>
      <c r="BN199" s="178"/>
      <c r="BO199" s="178"/>
      <c r="BP199" s="178"/>
      <c r="BQ199" s="178"/>
      <c r="BR199" s="178"/>
      <c r="BS199" s="178"/>
      <c r="BT199" s="178"/>
      <c r="BU199" s="178"/>
      <c r="BV199" s="178"/>
      <c r="BW199" s="178"/>
      <c r="BX199" s="178"/>
      <c r="BY199" s="178"/>
      <c r="BZ199" s="178"/>
      <c r="CA199" s="178"/>
      <c r="CB199" s="179"/>
      <c r="CC199" s="178"/>
      <c r="CD199" s="224"/>
      <c r="CE199" s="224"/>
      <c r="CF199" s="178"/>
      <c r="CG199" s="178"/>
      <c r="CH199" s="178"/>
      <c r="CI199" s="178"/>
      <c r="CJ199" s="178"/>
      <c r="CK199" s="601"/>
      <c r="CL199" s="12"/>
      <c r="CM199" s="566"/>
      <c r="CN199" s="566"/>
      <c r="CO199" s="29"/>
      <c r="CP199" s="12"/>
      <c r="CQ199" s="566"/>
      <c r="CR199" s="12"/>
      <c r="CS199" s="566"/>
      <c r="CT199" s="12"/>
      <c r="CU199" s="12"/>
      <c r="CV199" s="12"/>
      <c r="CW199" s="12"/>
      <c r="CX199" s="12"/>
      <c r="CY199" s="566"/>
      <c r="CZ199" s="566"/>
      <c r="DA199" s="12"/>
      <c r="DB199" s="12"/>
      <c r="DC199" s="566"/>
      <c r="DD199" s="566"/>
      <c r="DE199" s="566"/>
      <c r="DF199" s="12"/>
      <c r="DG199" s="566"/>
      <c r="DH199" s="12"/>
      <c r="DI199" s="12"/>
      <c r="DJ199" s="12"/>
      <c r="DK199" s="12"/>
      <c r="DL199" s="231"/>
      <c r="DM199" s="12"/>
      <c r="DN199" s="566"/>
      <c r="DO199" s="566"/>
      <c r="DP199" s="29"/>
      <c r="DQ199" s="566"/>
      <c r="DR199" s="566"/>
      <c r="DS199" s="12"/>
      <c r="DT199" s="566"/>
      <c r="DU199" s="566"/>
      <c r="DV199" s="12"/>
      <c r="DW199" s="566"/>
      <c r="DX199" s="566"/>
      <c r="DY199" s="12"/>
      <c r="DZ199" s="566"/>
      <c r="EA199" s="566"/>
      <c r="EB199" s="12"/>
      <c r="EC199" s="566"/>
      <c r="ED199" s="566"/>
      <c r="EE199" s="12"/>
      <c r="EF199" s="566"/>
      <c r="EG199" s="566"/>
      <c r="EH199" s="12"/>
      <c r="EI199" s="566"/>
      <c r="EJ199" s="566"/>
      <c r="EK199" s="566"/>
      <c r="EL199" s="12"/>
      <c r="EM199" s="12"/>
      <c r="EN199" s="12"/>
      <c r="EO199" s="12"/>
      <c r="EP199" s="12"/>
      <c r="EQ199" s="12"/>
      <c r="ER199" s="12"/>
      <c r="ES199" s="12"/>
      <c r="ET199" s="12"/>
      <c r="EU199" s="12"/>
      <c r="EV199" s="337"/>
      <c r="EW199" s="12"/>
      <c r="EX199" s="12"/>
      <c r="EY199" s="12"/>
      <c r="EZ199" s="12"/>
      <c r="FA199" s="593"/>
      <c r="FB199" s="593"/>
      <c r="FC199" s="593"/>
      <c r="FD199" s="593"/>
      <c r="FE199" s="593"/>
      <c r="FF199" s="593"/>
      <c r="FH199" s="586"/>
      <c r="FI199" s="586"/>
      <c r="FK199" s="12"/>
      <c r="FL199" s="12"/>
      <c r="FM199" s="12"/>
      <c r="FN199" s="12"/>
      <c r="FO199" s="12"/>
      <c r="FP199" s="12"/>
      <c r="FQ199" s="12"/>
      <c r="FR199" s="12"/>
      <c r="FS199" s="12"/>
      <c r="FT199" s="12"/>
      <c r="FU199" s="12"/>
      <c r="FV199" s="12"/>
      <c r="FW199" s="12"/>
      <c r="FX199" s="12"/>
      <c r="FY199" s="12"/>
      <c r="FZ199" s="12"/>
      <c r="GA199" s="12"/>
      <c r="GB199" s="12"/>
      <c r="GC199" s="12"/>
      <c r="GD199" s="12"/>
      <c r="GE199" s="12"/>
      <c r="GF199" s="178"/>
      <c r="GG199" s="618"/>
      <c r="GH199" s="12"/>
      <c r="GI199" s="12"/>
      <c r="GJ199" s="12"/>
      <c r="GK199" s="12"/>
      <c r="GL199" s="12"/>
      <c r="GM199" s="12"/>
      <c r="GN199" s="12"/>
      <c r="GO199" s="12"/>
      <c r="GP199" s="12"/>
      <c r="GQ199" s="12"/>
      <c r="GR199" s="12"/>
      <c r="GS199" s="12"/>
      <c r="GT199" s="12"/>
      <c r="GU199" s="12"/>
      <c r="GV199" s="12"/>
      <c r="GW199" s="12"/>
      <c r="GX199" s="12"/>
      <c r="GY199" s="12"/>
      <c r="GZ199" s="12"/>
      <c r="HA199" s="12"/>
      <c r="HB199" s="645"/>
      <c r="HC199" s="12"/>
      <c r="HD199" s="12"/>
      <c r="HE199" s="12"/>
      <c r="HF199" s="12"/>
      <c r="HG199" s="12"/>
      <c r="HH199" s="12"/>
      <c r="HI199" s="12"/>
      <c r="HJ199" s="12"/>
      <c r="HK199" s="12"/>
      <c r="HL199" s="12"/>
      <c r="HM199" s="12"/>
      <c r="HN199" s="12"/>
      <c r="HO199" s="12"/>
      <c r="HP199" s="12"/>
      <c r="HQ199" s="12"/>
      <c r="HR199" s="12"/>
      <c r="HS199" s="12"/>
      <c r="HT199" s="12"/>
      <c r="HU199" s="12"/>
      <c r="HV199" s="12"/>
      <c r="HW199" s="12"/>
      <c r="HX199" s="12"/>
      <c r="HY199" s="12"/>
      <c r="HZ199" s="12"/>
      <c r="IA199" s="12"/>
      <c r="IB199" s="12"/>
      <c r="IC199" s="12"/>
      <c r="ID199" s="12"/>
      <c r="IE199" s="12"/>
      <c r="IF199" s="12"/>
      <c r="IG199" s="12"/>
      <c r="IH199" s="12"/>
      <c r="II199" s="12"/>
      <c r="IJ199" s="12"/>
      <c r="IK199" s="12"/>
      <c r="IL199" s="12"/>
      <c r="IM199" s="12"/>
      <c r="IN199" s="12"/>
      <c r="IO199" s="12"/>
      <c r="IP199" s="12"/>
      <c r="IQ199" s="12"/>
      <c r="IR199" s="12"/>
      <c r="IS199" s="12"/>
      <c r="IT199" s="12"/>
      <c r="IU199" s="12"/>
      <c r="IV199" s="12"/>
      <c r="IW199" s="12"/>
      <c r="IX199" s="12"/>
      <c r="IY199" s="12"/>
      <c r="IZ199" s="12"/>
      <c r="JA199" s="12"/>
      <c r="JB199" s="12"/>
      <c r="JC199" s="12"/>
      <c r="JD199" s="12"/>
      <c r="JE199" s="12"/>
      <c r="JF199" s="12"/>
      <c r="JG199" s="12"/>
      <c r="JH199" s="12"/>
      <c r="JI199" s="12"/>
    </row>
    <row r="200" spans="1:269" s="39" customFormat="1">
      <c r="A200" s="341"/>
      <c r="B200" s="149" t="s">
        <v>56</v>
      </c>
      <c r="C200" s="149" t="s">
        <v>57</v>
      </c>
      <c r="D200" s="12"/>
      <c r="E200" s="12"/>
      <c r="F200" s="12"/>
      <c r="G200" s="261"/>
      <c r="H200" s="28"/>
      <c r="I200" s="28"/>
      <c r="J200" s="28"/>
      <c r="K200" s="312"/>
      <c r="L200" s="197"/>
      <c r="M200" s="197"/>
      <c r="N200" s="197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44"/>
      <c r="AU200" s="28"/>
      <c r="AV200" s="12"/>
      <c r="AW200" s="12"/>
      <c r="AX200" s="12"/>
      <c r="AY200" s="12"/>
      <c r="AZ200" s="12"/>
      <c r="BA200" s="12"/>
      <c r="BB200" s="12"/>
      <c r="BC200" s="178"/>
      <c r="BD200" s="178"/>
      <c r="BE200" s="178"/>
      <c r="BF200" s="178"/>
      <c r="BG200" s="178"/>
      <c r="BH200" s="178"/>
      <c r="BI200" s="178"/>
      <c r="BJ200" s="178"/>
      <c r="BK200" s="178"/>
      <c r="BL200" s="178"/>
      <c r="BM200" s="178"/>
      <c r="BN200" s="178"/>
      <c r="BO200" s="178"/>
      <c r="BP200" s="178"/>
      <c r="BQ200" s="178"/>
      <c r="BR200" s="178"/>
      <c r="BS200" s="178"/>
      <c r="BT200" s="178"/>
      <c r="BU200" s="178"/>
      <c r="BV200" s="178"/>
      <c r="BW200" s="178"/>
      <c r="BX200" s="178"/>
      <c r="BY200" s="178"/>
      <c r="BZ200" s="178"/>
      <c r="CA200" s="178"/>
      <c r="CB200" s="179"/>
      <c r="CC200" s="178"/>
      <c r="CD200" s="224"/>
      <c r="CE200" s="224"/>
      <c r="CF200" s="178"/>
      <c r="CG200" s="178"/>
      <c r="CH200" s="178"/>
      <c r="CI200" s="178"/>
      <c r="CJ200" s="178"/>
      <c r="CK200" s="601"/>
      <c r="CL200" s="12"/>
      <c r="CM200" s="566"/>
      <c r="CN200" s="566"/>
      <c r="CO200" s="29"/>
      <c r="CP200" s="12"/>
      <c r="CQ200" s="566"/>
      <c r="CR200" s="12"/>
      <c r="CS200" s="566"/>
      <c r="CT200" s="12"/>
      <c r="CU200" s="12"/>
      <c r="CV200" s="12"/>
      <c r="CW200" s="12"/>
      <c r="CX200" s="12"/>
      <c r="CY200" s="566"/>
      <c r="CZ200" s="566"/>
      <c r="DA200" s="12"/>
      <c r="DB200" s="12"/>
      <c r="DC200" s="566"/>
      <c r="DD200" s="566"/>
      <c r="DE200" s="566"/>
      <c r="DF200" s="12"/>
      <c r="DG200" s="566"/>
      <c r="DH200" s="12"/>
      <c r="DI200" s="12"/>
      <c r="DJ200" s="12"/>
      <c r="DK200" s="12"/>
      <c r="DL200" s="231"/>
      <c r="DM200" s="12"/>
      <c r="DN200" s="566"/>
      <c r="DO200" s="566"/>
      <c r="DP200" s="29"/>
      <c r="DQ200" s="566"/>
      <c r="DR200" s="566"/>
      <c r="DS200" s="12"/>
      <c r="DT200" s="566"/>
      <c r="DU200" s="566"/>
      <c r="DV200" s="12"/>
      <c r="DW200" s="566"/>
      <c r="DX200" s="566"/>
      <c r="DY200" s="12"/>
      <c r="DZ200" s="566"/>
      <c r="EA200" s="566"/>
      <c r="EB200" s="12"/>
      <c r="EC200" s="566"/>
      <c r="ED200" s="566"/>
      <c r="EE200" s="12"/>
      <c r="EF200" s="566"/>
      <c r="EG200" s="566"/>
      <c r="EH200" s="12"/>
      <c r="EI200" s="566"/>
      <c r="EJ200" s="566"/>
      <c r="EK200" s="566"/>
      <c r="EL200" s="12"/>
      <c r="EM200" s="12"/>
      <c r="EN200" s="12"/>
      <c r="EO200" s="12"/>
      <c r="EP200" s="12"/>
      <c r="EQ200" s="12"/>
      <c r="ER200" s="12"/>
      <c r="ES200" s="12"/>
      <c r="ET200" s="12"/>
      <c r="EU200" s="12"/>
      <c r="EV200" s="337"/>
      <c r="EW200" s="12"/>
      <c r="EX200" s="12"/>
      <c r="EY200" s="12"/>
      <c r="EZ200" s="12"/>
      <c r="FA200" s="593"/>
      <c r="FB200" s="593"/>
      <c r="FC200" s="593"/>
      <c r="FD200" s="593"/>
      <c r="FE200" s="593"/>
      <c r="FF200" s="593"/>
      <c r="FH200" s="586"/>
      <c r="FI200" s="586"/>
      <c r="FK200" s="12"/>
      <c r="FL200" s="12"/>
      <c r="FM200" s="12"/>
      <c r="FN200" s="12"/>
      <c r="FO200" s="12"/>
      <c r="FP200" s="12"/>
      <c r="FQ200" s="12"/>
      <c r="FR200" s="12"/>
      <c r="FS200" s="12"/>
      <c r="FT200" s="12"/>
      <c r="FU200" s="12"/>
      <c r="FV200" s="12"/>
      <c r="FW200" s="12"/>
      <c r="FX200" s="12"/>
      <c r="FY200" s="12"/>
      <c r="FZ200" s="12"/>
      <c r="GA200" s="12"/>
      <c r="GB200" s="12"/>
      <c r="GC200" s="12"/>
      <c r="GD200" s="12"/>
      <c r="GE200" s="12"/>
      <c r="GF200" s="178"/>
      <c r="GG200" s="618"/>
      <c r="GH200" s="12"/>
      <c r="GI200" s="12"/>
      <c r="GJ200" s="12"/>
      <c r="GK200" s="12"/>
      <c r="GL200" s="12"/>
      <c r="GM200" s="12"/>
      <c r="GN200" s="12"/>
      <c r="GO200" s="12"/>
      <c r="GP200" s="12"/>
      <c r="GQ200" s="12"/>
      <c r="GR200" s="12"/>
      <c r="GS200" s="12"/>
      <c r="GT200" s="12"/>
      <c r="GU200" s="12"/>
      <c r="GV200" s="12"/>
      <c r="GW200" s="12"/>
      <c r="GX200" s="12"/>
      <c r="GY200" s="12"/>
      <c r="GZ200" s="12"/>
      <c r="HA200" s="12"/>
      <c r="HB200" s="645"/>
      <c r="HC200" s="12"/>
      <c r="HD200" s="12"/>
      <c r="HE200" s="12"/>
      <c r="HF200" s="12"/>
      <c r="HG200" s="12"/>
      <c r="HH200" s="12"/>
      <c r="HI200" s="12"/>
      <c r="HJ200" s="12"/>
      <c r="HK200" s="12"/>
      <c r="HL200" s="12"/>
      <c r="HM200" s="12"/>
      <c r="HN200" s="12"/>
      <c r="HO200" s="12"/>
      <c r="HP200" s="12"/>
      <c r="HQ200" s="12"/>
      <c r="HR200" s="12"/>
      <c r="HS200" s="12"/>
      <c r="HT200" s="12"/>
      <c r="HU200" s="12"/>
      <c r="HV200" s="12"/>
      <c r="HW200" s="12"/>
      <c r="HX200" s="12"/>
      <c r="HY200" s="12"/>
      <c r="HZ200" s="12"/>
      <c r="IA200" s="12"/>
      <c r="IB200" s="12"/>
      <c r="IC200" s="12"/>
      <c r="ID200" s="12"/>
      <c r="IE200" s="12"/>
      <c r="IF200" s="12"/>
      <c r="IG200" s="12"/>
      <c r="IH200" s="12"/>
      <c r="II200" s="12"/>
      <c r="IJ200" s="12"/>
      <c r="IK200" s="12"/>
      <c r="IL200" s="12"/>
      <c r="IM200" s="12"/>
      <c r="IN200" s="12"/>
      <c r="IO200" s="12"/>
      <c r="IP200" s="12"/>
      <c r="IQ200" s="12"/>
      <c r="IR200" s="12"/>
      <c r="IS200" s="12"/>
      <c r="IT200" s="12"/>
      <c r="IU200" s="12"/>
      <c r="IV200" s="12"/>
      <c r="IW200" s="12"/>
      <c r="IX200" s="12"/>
      <c r="IY200" s="12"/>
      <c r="IZ200" s="12"/>
      <c r="JA200" s="12"/>
      <c r="JB200" s="12"/>
      <c r="JC200" s="12"/>
      <c r="JD200" s="12"/>
      <c r="JE200" s="12"/>
      <c r="JF200" s="12"/>
      <c r="JG200" s="12"/>
      <c r="JH200" s="12"/>
      <c r="JI200" s="12"/>
    </row>
    <row r="201" spans="1:269" s="39" customFormat="1">
      <c r="A201" s="341" t="s">
        <v>46</v>
      </c>
      <c r="B201" s="12">
        <f>COUNTIF(Ville,"*Entre-Deux*")</f>
        <v>6</v>
      </c>
      <c r="C201" s="12">
        <f t="shared" ref="C201:C210" si="288">SUMPRODUCT((Ville=A201)*(Nlgts))</f>
        <v>127</v>
      </c>
      <c r="D201" s="12"/>
      <c r="E201" s="12"/>
      <c r="F201" s="12"/>
      <c r="G201" s="261"/>
      <c r="H201" s="28"/>
      <c r="I201" s="28"/>
      <c r="J201" s="28"/>
      <c r="K201" s="312"/>
      <c r="L201" s="197"/>
      <c r="M201" s="197"/>
      <c r="N201" s="197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44"/>
      <c r="AU201" s="28"/>
      <c r="AV201" s="12"/>
      <c r="AW201" s="12"/>
      <c r="AX201" s="12"/>
      <c r="AY201" s="12"/>
      <c r="AZ201" s="12"/>
      <c r="BA201" s="12"/>
      <c r="BB201" s="12"/>
      <c r="BC201" s="178"/>
      <c r="BD201" s="178"/>
      <c r="BE201" s="178"/>
      <c r="BF201" s="178"/>
      <c r="BG201" s="178"/>
      <c r="BH201" s="178"/>
      <c r="BI201" s="178"/>
      <c r="BJ201" s="178"/>
      <c r="BK201" s="178"/>
      <c r="BL201" s="178"/>
      <c r="BM201" s="178"/>
      <c r="BN201" s="178"/>
      <c r="BO201" s="178"/>
      <c r="BP201" s="178"/>
      <c r="BQ201" s="178"/>
      <c r="BR201" s="178"/>
      <c r="BS201" s="178"/>
      <c r="BT201" s="178"/>
      <c r="BU201" s="178"/>
      <c r="BV201" s="178"/>
      <c r="BW201" s="178"/>
      <c r="BX201" s="178"/>
      <c r="BY201" s="178"/>
      <c r="BZ201" s="178"/>
      <c r="CA201" s="178"/>
      <c r="CB201" s="179"/>
      <c r="CC201" s="178"/>
      <c r="CD201" s="224"/>
      <c r="CE201" s="224"/>
      <c r="CF201" s="178"/>
      <c r="CG201" s="178"/>
      <c r="CH201" s="178"/>
      <c r="CI201" s="178"/>
      <c r="CJ201" s="178"/>
      <c r="CK201" s="601"/>
      <c r="CL201" s="12"/>
      <c r="CM201" s="566"/>
      <c r="CN201" s="566"/>
      <c r="CO201" s="29"/>
      <c r="CP201" s="12"/>
      <c r="CQ201" s="566"/>
      <c r="CR201" s="12"/>
      <c r="CS201" s="566"/>
      <c r="CT201" s="12"/>
      <c r="CU201" s="12"/>
      <c r="CV201" s="12"/>
      <c r="CW201" s="12"/>
      <c r="CX201" s="12"/>
      <c r="CY201" s="566"/>
      <c r="CZ201" s="566"/>
      <c r="DA201" s="12"/>
      <c r="DB201" s="12"/>
      <c r="DC201" s="566"/>
      <c r="DD201" s="566"/>
      <c r="DE201" s="566"/>
      <c r="DF201" s="12"/>
      <c r="DG201" s="566"/>
      <c r="DH201" s="12"/>
      <c r="DI201" s="12"/>
      <c r="DJ201" s="12"/>
      <c r="DK201" s="12"/>
      <c r="DL201" s="231"/>
      <c r="DM201" s="12"/>
      <c r="DN201" s="566"/>
      <c r="DO201" s="566"/>
      <c r="DP201" s="29"/>
      <c r="DQ201" s="566"/>
      <c r="DR201" s="566"/>
      <c r="DS201" s="12"/>
      <c r="DT201" s="566"/>
      <c r="DU201" s="566"/>
      <c r="DV201" s="12"/>
      <c r="DW201" s="566"/>
      <c r="DX201" s="566"/>
      <c r="DY201" s="12"/>
      <c r="DZ201" s="566"/>
      <c r="EA201" s="566"/>
      <c r="EB201" s="12"/>
      <c r="EC201" s="566"/>
      <c r="ED201" s="566"/>
      <c r="EE201" s="12"/>
      <c r="EF201" s="566"/>
      <c r="EG201" s="566"/>
      <c r="EH201" s="12"/>
      <c r="EI201" s="566"/>
      <c r="EJ201" s="566"/>
      <c r="EK201" s="566"/>
      <c r="EL201" s="12"/>
      <c r="EM201" s="12"/>
      <c r="EN201" s="12"/>
      <c r="EO201" s="12"/>
      <c r="EP201" s="12"/>
      <c r="EQ201" s="12"/>
      <c r="ER201" s="12"/>
      <c r="ES201" s="12"/>
      <c r="ET201" s="12"/>
      <c r="EU201" s="12"/>
      <c r="EV201" s="337"/>
      <c r="EW201" s="12"/>
      <c r="EX201" s="12"/>
      <c r="EY201" s="12"/>
      <c r="EZ201" s="12"/>
      <c r="FA201" s="593"/>
      <c r="FB201" s="593"/>
      <c r="FC201" s="593"/>
      <c r="FD201" s="593"/>
      <c r="FE201" s="593"/>
      <c r="FF201" s="593"/>
      <c r="FH201" s="586"/>
      <c r="FI201" s="586"/>
      <c r="FK201" s="12"/>
      <c r="FL201" s="12"/>
      <c r="FM201" s="12"/>
      <c r="FN201" s="12"/>
      <c r="FO201" s="12"/>
      <c r="FP201" s="12"/>
      <c r="FQ201" s="12"/>
      <c r="FR201" s="12"/>
      <c r="FS201" s="12"/>
      <c r="FT201" s="12"/>
      <c r="FU201" s="12"/>
      <c r="FV201" s="12"/>
      <c r="FW201" s="12"/>
      <c r="FX201" s="12"/>
      <c r="FY201" s="12"/>
      <c r="FZ201" s="12"/>
      <c r="GA201" s="12"/>
      <c r="GB201" s="12"/>
      <c r="GC201" s="12"/>
      <c r="GD201" s="12"/>
      <c r="GE201" s="12"/>
      <c r="GF201" s="178"/>
      <c r="GG201" s="618"/>
      <c r="GH201" s="12"/>
      <c r="GI201" s="12"/>
      <c r="GJ201" s="12"/>
      <c r="GK201" s="12"/>
      <c r="GL201" s="12"/>
      <c r="GM201" s="12"/>
      <c r="GN201" s="12"/>
      <c r="GO201" s="12"/>
      <c r="GP201" s="12"/>
      <c r="GQ201" s="12"/>
      <c r="GR201" s="12"/>
      <c r="GS201" s="12"/>
      <c r="GT201" s="12"/>
      <c r="GU201" s="12"/>
      <c r="GV201" s="12"/>
      <c r="GW201" s="12"/>
      <c r="GX201" s="12"/>
      <c r="GY201" s="12"/>
      <c r="GZ201" s="12"/>
      <c r="HA201" s="12"/>
      <c r="HB201" s="645"/>
      <c r="HC201" s="12"/>
      <c r="HD201" s="12"/>
      <c r="HE201" s="12"/>
      <c r="HF201" s="12"/>
      <c r="HG201" s="12"/>
      <c r="HH201" s="12"/>
      <c r="HI201" s="12"/>
      <c r="HJ201" s="12"/>
      <c r="HK201" s="12"/>
      <c r="HL201" s="12"/>
      <c r="HM201" s="12"/>
      <c r="HN201" s="12"/>
      <c r="HO201" s="12"/>
      <c r="HP201" s="12"/>
      <c r="HQ201" s="12"/>
      <c r="HR201" s="12"/>
      <c r="HS201" s="12"/>
      <c r="HT201" s="12"/>
      <c r="HU201" s="12"/>
      <c r="HV201" s="12"/>
      <c r="HW201" s="12"/>
      <c r="HX201" s="12"/>
      <c r="HY201" s="12"/>
      <c r="HZ201" s="12"/>
      <c r="IA201" s="12"/>
      <c r="IB201" s="12"/>
      <c r="IC201" s="12"/>
      <c r="ID201" s="12"/>
      <c r="IE201" s="12"/>
      <c r="IF201" s="12"/>
      <c r="IG201" s="12"/>
      <c r="IH201" s="12"/>
      <c r="II201" s="12"/>
      <c r="IJ201" s="12"/>
      <c r="IK201" s="12"/>
      <c r="IL201" s="12"/>
      <c r="IM201" s="12"/>
      <c r="IN201" s="12"/>
      <c r="IO201" s="12"/>
      <c r="IP201" s="12"/>
      <c r="IQ201" s="12"/>
      <c r="IR201" s="12"/>
      <c r="IS201" s="12"/>
      <c r="IT201" s="12"/>
      <c r="IU201" s="12"/>
      <c r="IV201" s="12"/>
      <c r="IW201" s="12"/>
      <c r="IX201" s="12"/>
      <c r="IY201" s="12"/>
      <c r="IZ201" s="12"/>
      <c r="JA201" s="12"/>
      <c r="JB201" s="12"/>
      <c r="JC201" s="12"/>
      <c r="JD201" s="12"/>
      <c r="JE201" s="12"/>
      <c r="JF201" s="12"/>
      <c r="JG201" s="12"/>
      <c r="JH201" s="12"/>
      <c r="JI201" s="12"/>
    </row>
    <row r="202" spans="1:269" s="39" customFormat="1">
      <c r="A202" s="341" t="s">
        <v>40</v>
      </c>
      <c r="B202" s="12">
        <f>COUNTIF(Ville,"*Etang-Salé*")</f>
        <v>10</v>
      </c>
      <c r="C202" s="12">
        <f t="shared" si="288"/>
        <v>267</v>
      </c>
      <c r="D202" s="12"/>
      <c r="E202" s="12"/>
      <c r="F202" s="12"/>
      <c r="G202" s="12"/>
      <c r="H202" s="12"/>
      <c r="I202" s="12"/>
      <c r="J202" s="12"/>
      <c r="K202" s="312"/>
      <c r="L202" s="197"/>
      <c r="M202" s="197"/>
      <c r="N202" s="197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44"/>
      <c r="AU202" s="28"/>
      <c r="AV202" s="12"/>
      <c r="AW202" s="12"/>
      <c r="AX202" s="12"/>
      <c r="AY202" s="12"/>
      <c r="AZ202" s="12"/>
      <c r="BA202" s="12"/>
      <c r="BB202" s="12"/>
      <c r="BC202" s="178"/>
      <c r="BD202" s="178"/>
      <c r="BE202" s="178"/>
      <c r="BF202" s="178"/>
      <c r="BG202" s="178"/>
      <c r="BH202" s="178"/>
      <c r="BI202" s="178"/>
      <c r="BJ202" s="178"/>
      <c r="BK202" s="178"/>
      <c r="BL202" s="178"/>
      <c r="BM202" s="178"/>
      <c r="BN202" s="178"/>
      <c r="BO202" s="178"/>
      <c r="BP202" s="178"/>
      <c r="BQ202" s="178"/>
      <c r="BR202" s="178"/>
      <c r="BS202" s="178"/>
      <c r="BT202" s="178"/>
      <c r="BU202" s="178"/>
      <c r="BV202" s="178"/>
      <c r="BW202" s="178"/>
      <c r="BX202" s="178"/>
      <c r="BY202" s="178"/>
      <c r="BZ202" s="178"/>
      <c r="CA202" s="178"/>
      <c r="CB202" s="179"/>
      <c r="CC202" s="178"/>
      <c r="CD202" s="224"/>
      <c r="CE202" s="224"/>
      <c r="CF202" s="178"/>
      <c r="CG202" s="178"/>
      <c r="CH202" s="178"/>
      <c r="CI202" s="178"/>
      <c r="CJ202" s="178"/>
      <c r="CK202" s="601"/>
      <c r="CL202" s="12"/>
      <c r="CM202" s="566"/>
      <c r="CN202" s="566"/>
      <c r="CO202" s="29"/>
      <c r="CP202" s="12"/>
      <c r="CQ202" s="566"/>
      <c r="CR202" s="12"/>
      <c r="CS202" s="566"/>
      <c r="CT202" s="12"/>
      <c r="CU202" s="12"/>
      <c r="CV202" s="12"/>
      <c r="CW202" s="12"/>
      <c r="CX202" s="12"/>
      <c r="CY202" s="566"/>
      <c r="CZ202" s="566"/>
      <c r="DA202" s="12"/>
      <c r="DB202" s="12"/>
      <c r="DC202" s="566"/>
      <c r="DD202" s="566"/>
      <c r="DE202" s="566"/>
      <c r="DF202" s="12"/>
      <c r="DG202" s="566"/>
      <c r="DH202" s="12"/>
      <c r="DI202" s="12"/>
      <c r="DJ202" s="12"/>
      <c r="DK202" s="12"/>
      <c r="DL202" s="231"/>
      <c r="DM202" s="12"/>
      <c r="DN202" s="566"/>
      <c r="DO202" s="566"/>
      <c r="DP202" s="29"/>
      <c r="DQ202" s="566"/>
      <c r="DR202" s="566"/>
      <c r="DS202" s="12"/>
      <c r="DT202" s="566"/>
      <c r="DU202" s="566"/>
      <c r="DV202" s="12"/>
      <c r="DW202" s="566"/>
      <c r="DX202" s="566"/>
      <c r="DY202" s="12"/>
      <c r="DZ202" s="566"/>
      <c r="EA202" s="566"/>
      <c r="EB202" s="12"/>
      <c r="EC202" s="566"/>
      <c r="ED202" s="566"/>
      <c r="EE202" s="12"/>
      <c r="EF202" s="566"/>
      <c r="EG202" s="566"/>
      <c r="EH202" s="12"/>
      <c r="EI202" s="566"/>
      <c r="EJ202" s="566"/>
      <c r="EK202" s="566"/>
      <c r="EL202" s="12"/>
      <c r="EM202" s="12"/>
      <c r="EN202" s="12"/>
      <c r="EO202" s="12"/>
      <c r="EP202" s="12"/>
      <c r="EQ202" s="12"/>
      <c r="ER202" s="12"/>
      <c r="ES202" s="12"/>
      <c r="ET202" s="12"/>
      <c r="EU202" s="12"/>
      <c r="EV202" s="337"/>
      <c r="EW202" s="12"/>
      <c r="EX202" s="12"/>
      <c r="EY202" s="12"/>
      <c r="EZ202" s="12"/>
      <c r="FA202" s="593"/>
      <c r="FB202" s="593"/>
      <c r="FC202" s="593"/>
      <c r="FD202" s="593"/>
      <c r="FE202" s="593"/>
      <c r="FF202" s="593"/>
      <c r="FH202" s="586"/>
      <c r="FI202" s="586"/>
      <c r="FK202" s="12"/>
      <c r="FL202" s="12"/>
      <c r="FM202" s="12"/>
      <c r="FN202" s="12"/>
      <c r="FO202" s="12"/>
      <c r="FP202" s="12"/>
      <c r="FQ202" s="12"/>
      <c r="FR202" s="12"/>
      <c r="FS202" s="12"/>
      <c r="FT202" s="12"/>
      <c r="FU202" s="12"/>
      <c r="FV202" s="12"/>
      <c r="FW202" s="12"/>
      <c r="FX202" s="12"/>
      <c r="FY202" s="12"/>
      <c r="FZ202" s="12"/>
      <c r="GA202" s="12"/>
      <c r="GB202" s="12"/>
      <c r="GC202" s="12"/>
      <c r="GD202" s="12"/>
      <c r="GE202" s="12"/>
      <c r="GF202" s="178"/>
      <c r="GG202" s="618"/>
      <c r="GH202" s="12"/>
      <c r="GI202" s="12"/>
      <c r="GJ202" s="12"/>
      <c r="GK202" s="12"/>
      <c r="GL202" s="12"/>
      <c r="GM202" s="12"/>
      <c r="GN202" s="12"/>
      <c r="GO202" s="12"/>
      <c r="GP202" s="12"/>
      <c r="GQ202" s="12"/>
      <c r="GR202" s="12"/>
      <c r="GS202" s="12"/>
      <c r="GT202" s="12"/>
      <c r="GU202" s="12"/>
      <c r="GV202" s="12"/>
      <c r="GW202" s="12"/>
      <c r="GX202" s="12"/>
      <c r="GY202" s="12"/>
      <c r="GZ202" s="12"/>
      <c r="HA202" s="12"/>
      <c r="HB202" s="645"/>
      <c r="HC202" s="12"/>
      <c r="HD202" s="12"/>
      <c r="HE202" s="12"/>
      <c r="HF202" s="12"/>
      <c r="HG202" s="12"/>
      <c r="HH202" s="12"/>
      <c r="HI202" s="12"/>
      <c r="HJ202" s="12"/>
      <c r="HK202" s="12"/>
      <c r="HL202" s="12"/>
      <c r="HM202" s="12"/>
      <c r="HN202" s="12"/>
      <c r="HO202" s="12"/>
      <c r="HP202" s="12"/>
      <c r="HQ202" s="12"/>
      <c r="HR202" s="12"/>
      <c r="HS202" s="12"/>
      <c r="HT202" s="12"/>
      <c r="HU202" s="12"/>
      <c r="HV202" s="12"/>
      <c r="HW202" s="12"/>
      <c r="HX202" s="12"/>
      <c r="HY202" s="12"/>
      <c r="HZ202" s="12"/>
      <c r="IA202" s="12"/>
      <c r="IB202" s="12"/>
      <c r="IC202" s="12"/>
      <c r="ID202" s="12"/>
      <c r="IE202" s="12"/>
      <c r="IF202" s="12"/>
      <c r="IG202" s="12"/>
      <c r="IH202" s="12"/>
      <c r="II202" s="12"/>
      <c r="IJ202" s="12"/>
      <c r="IK202" s="12"/>
      <c r="IL202" s="12"/>
      <c r="IM202" s="12"/>
      <c r="IN202" s="12"/>
      <c r="IO202" s="12"/>
      <c r="IP202" s="12"/>
      <c r="IQ202" s="12"/>
      <c r="IR202" s="12"/>
      <c r="IS202" s="12"/>
      <c r="IT202" s="12"/>
      <c r="IU202" s="12"/>
      <c r="IV202" s="12"/>
      <c r="IW202" s="12"/>
      <c r="IX202" s="12"/>
      <c r="IY202" s="12"/>
      <c r="IZ202" s="12"/>
      <c r="JA202" s="12"/>
      <c r="JB202" s="12"/>
      <c r="JC202" s="12"/>
      <c r="JD202" s="12"/>
      <c r="JE202" s="12"/>
      <c r="JF202" s="12"/>
      <c r="JG202" s="12"/>
      <c r="JH202" s="12"/>
      <c r="JI202" s="12"/>
    </row>
    <row r="203" spans="1:269" s="39" customFormat="1">
      <c r="A203" s="341" t="s">
        <v>79</v>
      </c>
      <c r="B203" s="12">
        <f>COUNTIF(Ville,"*Petite-Ile*")</f>
        <v>4</v>
      </c>
      <c r="C203" s="12">
        <f t="shared" si="288"/>
        <v>92</v>
      </c>
      <c r="D203" s="12"/>
      <c r="E203" s="12"/>
      <c r="F203" s="12"/>
      <c r="G203" s="12"/>
      <c r="H203" s="12"/>
      <c r="I203" s="12"/>
      <c r="J203" s="12"/>
      <c r="K203" s="312"/>
      <c r="L203" s="197"/>
      <c r="M203" s="197"/>
      <c r="N203" s="197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44"/>
      <c r="AU203" s="28"/>
      <c r="AV203" s="12"/>
      <c r="AW203" s="12"/>
      <c r="AX203" s="12"/>
      <c r="AY203" s="12"/>
      <c r="AZ203" s="12"/>
      <c r="BA203" s="12"/>
      <c r="BB203" s="12"/>
      <c r="BC203" s="178"/>
      <c r="BD203" s="178"/>
      <c r="BE203" s="178"/>
      <c r="BF203" s="178"/>
      <c r="BG203" s="178"/>
      <c r="BH203" s="178"/>
      <c r="BI203" s="178"/>
      <c r="BJ203" s="178"/>
      <c r="BK203" s="178"/>
      <c r="BL203" s="178"/>
      <c r="BM203" s="178"/>
      <c r="BN203" s="178"/>
      <c r="BO203" s="178"/>
      <c r="BP203" s="178"/>
      <c r="BQ203" s="178"/>
      <c r="BR203" s="178"/>
      <c r="BS203" s="178"/>
      <c r="BT203" s="178"/>
      <c r="BU203" s="178"/>
      <c r="BV203" s="178"/>
      <c r="BW203" s="178"/>
      <c r="BX203" s="178"/>
      <c r="BY203" s="178"/>
      <c r="BZ203" s="178"/>
      <c r="CA203" s="178"/>
      <c r="CB203" s="179"/>
      <c r="CC203" s="178"/>
      <c r="CD203" s="224"/>
      <c r="CE203" s="224"/>
      <c r="CF203" s="178"/>
      <c r="CG203" s="178"/>
      <c r="CH203" s="178"/>
      <c r="CI203" s="178"/>
      <c r="CJ203" s="178"/>
      <c r="CK203" s="601"/>
      <c r="CL203" s="12"/>
      <c r="CM203" s="566"/>
      <c r="CN203" s="566"/>
      <c r="CO203" s="29"/>
      <c r="CP203" s="12"/>
      <c r="CQ203" s="566"/>
      <c r="CR203" s="12"/>
      <c r="CS203" s="566"/>
      <c r="CT203" s="12"/>
      <c r="CU203" s="12"/>
      <c r="CV203" s="12"/>
      <c r="CW203" s="12"/>
      <c r="CX203" s="12"/>
      <c r="CY203" s="566"/>
      <c r="CZ203" s="566"/>
      <c r="DA203" s="12"/>
      <c r="DB203" s="12"/>
      <c r="DC203" s="566"/>
      <c r="DD203" s="566"/>
      <c r="DE203" s="566"/>
      <c r="DF203" s="12"/>
      <c r="DG203" s="566"/>
      <c r="DH203" s="12"/>
      <c r="DI203" s="12"/>
      <c r="DJ203" s="12"/>
      <c r="DK203" s="12"/>
      <c r="DL203" s="231"/>
      <c r="DM203" s="12"/>
      <c r="DN203" s="566"/>
      <c r="DO203" s="566"/>
      <c r="DP203" s="29"/>
      <c r="DQ203" s="566"/>
      <c r="DR203" s="566"/>
      <c r="DS203" s="12"/>
      <c r="DT203" s="566"/>
      <c r="DU203" s="566"/>
      <c r="DV203" s="12"/>
      <c r="DW203" s="566"/>
      <c r="DX203" s="566"/>
      <c r="DY203" s="12"/>
      <c r="DZ203" s="566"/>
      <c r="EA203" s="566"/>
      <c r="EB203" s="12"/>
      <c r="EC203" s="566"/>
      <c r="ED203" s="566"/>
      <c r="EE203" s="12"/>
      <c r="EF203" s="566"/>
      <c r="EG203" s="566"/>
      <c r="EH203" s="12"/>
      <c r="EI203" s="566"/>
      <c r="EJ203" s="566"/>
      <c r="EK203" s="566"/>
      <c r="EL203" s="12"/>
      <c r="EM203" s="12"/>
      <c r="EN203" s="12"/>
      <c r="EO203" s="12"/>
      <c r="EP203" s="12"/>
      <c r="EQ203" s="12"/>
      <c r="ER203" s="12"/>
      <c r="ES203" s="12"/>
      <c r="ET203" s="12"/>
      <c r="EU203" s="12"/>
      <c r="EV203" s="337"/>
      <c r="EW203" s="12"/>
      <c r="EX203" s="12"/>
      <c r="EY203" s="12"/>
      <c r="EZ203" s="12"/>
      <c r="FA203" s="593"/>
      <c r="FB203" s="593"/>
      <c r="FC203" s="593"/>
      <c r="FD203" s="593"/>
      <c r="FE203" s="593"/>
      <c r="FF203" s="593"/>
      <c r="FH203" s="586"/>
      <c r="FI203" s="586"/>
      <c r="FK203" s="12"/>
      <c r="FL203" s="12"/>
      <c r="FM203" s="12"/>
      <c r="FN203" s="12"/>
      <c r="FO203" s="12"/>
      <c r="FP203" s="12"/>
      <c r="FQ203" s="12"/>
      <c r="FR203" s="12"/>
      <c r="FS203" s="12"/>
      <c r="FT203" s="12"/>
      <c r="FU203" s="12"/>
      <c r="FV203" s="12"/>
      <c r="FW203" s="12"/>
      <c r="FX203" s="12"/>
      <c r="FY203" s="12"/>
      <c r="FZ203" s="12"/>
      <c r="GA203" s="12"/>
      <c r="GB203" s="12"/>
      <c r="GC203" s="12"/>
      <c r="GD203" s="12"/>
      <c r="GE203" s="12"/>
      <c r="GF203" s="178"/>
      <c r="GG203" s="618"/>
      <c r="GH203" s="12"/>
      <c r="GI203" s="12"/>
      <c r="GJ203" s="12"/>
      <c r="GK203" s="12"/>
      <c r="GL203" s="12"/>
      <c r="GM203" s="12"/>
      <c r="GN203" s="12"/>
      <c r="GO203" s="12"/>
      <c r="GP203" s="12"/>
      <c r="GQ203" s="12"/>
      <c r="GR203" s="12"/>
      <c r="GS203" s="12"/>
      <c r="GT203" s="12"/>
      <c r="GU203" s="12"/>
      <c r="GV203" s="12"/>
      <c r="GW203" s="12"/>
      <c r="GX203" s="12"/>
      <c r="GY203" s="12"/>
      <c r="GZ203" s="12"/>
      <c r="HA203" s="12"/>
      <c r="HB203" s="645"/>
      <c r="HC203" s="12"/>
      <c r="HD203" s="12"/>
      <c r="HE203" s="12"/>
      <c r="HF203" s="12"/>
      <c r="HG203" s="12"/>
      <c r="HH203" s="12"/>
      <c r="HI203" s="12"/>
      <c r="HJ203" s="12"/>
      <c r="HK203" s="12"/>
      <c r="HL203" s="12"/>
      <c r="HM203" s="12"/>
      <c r="HN203" s="12"/>
      <c r="HO203" s="12"/>
      <c r="HP203" s="12"/>
      <c r="HQ203" s="12"/>
      <c r="HR203" s="12"/>
      <c r="HS203" s="12"/>
      <c r="HT203" s="12"/>
      <c r="HU203" s="12"/>
      <c r="HV203" s="12"/>
      <c r="HW203" s="12"/>
      <c r="HX203" s="12"/>
      <c r="HY203" s="12"/>
      <c r="HZ203" s="12"/>
      <c r="IA203" s="12"/>
      <c r="IB203" s="12"/>
      <c r="IC203" s="12"/>
      <c r="ID203" s="12"/>
      <c r="IE203" s="12"/>
      <c r="IF203" s="12"/>
      <c r="IG203" s="12"/>
      <c r="IH203" s="12"/>
      <c r="II203" s="12"/>
      <c r="IJ203" s="12"/>
      <c r="IK203" s="12"/>
      <c r="IL203" s="12"/>
      <c r="IM203" s="12"/>
      <c r="IN203" s="12"/>
      <c r="IO203" s="12"/>
      <c r="IP203" s="12"/>
      <c r="IQ203" s="12"/>
      <c r="IR203" s="12"/>
      <c r="IS203" s="12"/>
      <c r="IT203" s="12"/>
      <c r="IU203" s="12"/>
      <c r="IV203" s="12"/>
      <c r="IW203" s="12"/>
      <c r="IX203" s="12"/>
      <c r="IY203" s="12"/>
      <c r="IZ203" s="12"/>
      <c r="JA203" s="12"/>
      <c r="JB203" s="12"/>
      <c r="JC203" s="12"/>
      <c r="JD203" s="12"/>
      <c r="JE203" s="12"/>
      <c r="JF203" s="12"/>
      <c r="JG203" s="12"/>
      <c r="JH203" s="12"/>
      <c r="JI203" s="12"/>
    </row>
    <row r="204" spans="1:269" s="39" customFormat="1">
      <c r="A204" s="341" t="s">
        <v>28</v>
      </c>
      <c r="B204" s="12">
        <f>COUNTIF(Ville,"*St Joseph*")</f>
        <v>15</v>
      </c>
      <c r="C204" s="12">
        <f t="shared" si="288"/>
        <v>417</v>
      </c>
      <c r="D204" s="12"/>
      <c r="E204" s="12"/>
      <c r="F204" s="12"/>
      <c r="G204" s="12"/>
      <c r="H204" s="12"/>
      <c r="I204" s="12"/>
      <c r="J204" s="12"/>
      <c r="K204" s="312"/>
      <c r="L204" s="197"/>
      <c r="M204" s="197"/>
      <c r="N204" s="197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44"/>
      <c r="AU204" s="28"/>
      <c r="AV204" s="12"/>
      <c r="AW204" s="12"/>
      <c r="AX204" s="12"/>
      <c r="AY204" s="12"/>
      <c r="AZ204" s="12"/>
      <c r="BA204" s="12"/>
      <c r="BB204" s="12"/>
      <c r="BC204" s="178"/>
      <c r="BD204" s="178"/>
      <c r="BE204" s="178"/>
      <c r="BF204" s="178"/>
      <c r="BG204" s="178"/>
      <c r="BH204" s="178"/>
      <c r="BI204" s="178"/>
      <c r="BJ204" s="178"/>
      <c r="BK204" s="178"/>
      <c r="BL204" s="178"/>
      <c r="BM204" s="178"/>
      <c r="BN204" s="178"/>
      <c r="BO204" s="178"/>
      <c r="BP204" s="178"/>
      <c r="BQ204" s="178"/>
      <c r="BR204" s="178"/>
      <c r="BS204" s="178"/>
      <c r="BT204" s="178"/>
      <c r="BU204" s="178"/>
      <c r="BV204" s="178"/>
      <c r="BW204" s="178"/>
      <c r="BX204" s="178"/>
      <c r="BY204" s="178"/>
      <c r="BZ204" s="178"/>
      <c r="CA204" s="178"/>
      <c r="CB204" s="179"/>
      <c r="CC204" s="178"/>
      <c r="CD204" s="224"/>
      <c r="CE204" s="224"/>
      <c r="CF204" s="178"/>
      <c r="CG204" s="178"/>
      <c r="CH204" s="178"/>
      <c r="CI204" s="178"/>
      <c r="CJ204" s="178"/>
      <c r="CK204" s="601"/>
      <c r="CL204" s="12"/>
      <c r="CM204" s="566"/>
      <c r="CN204" s="566"/>
      <c r="CO204" s="29"/>
      <c r="CP204" s="12"/>
      <c r="CQ204" s="566"/>
      <c r="CR204" s="12"/>
      <c r="CS204" s="566"/>
      <c r="CT204" s="12"/>
      <c r="CU204" s="12"/>
      <c r="CV204" s="12"/>
      <c r="CW204" s="12"/>
      <c r="CX204" s="12"/>
      <c r="CY204" s="566"/>
      <c r="CZ204" s="566"/>
      <c r="DA204" s="12"/>
      <c r="DB204" s="12"/>
      <c r="DC204" s="566"/>
      <c r="DD204" s="566"/>
      <c r="DE204" s="566"/>
      <c r="DF204" s="12"/>
      <c r="DG204" s="566"/>
      <c r="DH204" s="12"/>
      <c r="DI204" s="12"/>
      <c r="DJ204" s="12"/>
      <c r="DK204" s="12"/>
      <c r="DL204" s="231"/>
      <c r="DM204" s="12"/>
      <c r="DN204" s="566"/>
      <c r="DO204" s="566"/>
      <c r="DP204" s="29"/>
      <c r="DQ204" s="566"/>
      <c r="DR204" s="566"/>
      <c r="DS204" s="12"/>
      <c r="DT204" s="566"/>
      <c r="DU204" s="566"/>
      <c r="DV204" s="12"/>
      <c r="DW204" s="566"/>
      <c r="DX204" s="566"/>
      <c r="DY204" s="12"/>
      <c r="DZ204" s="566"/>
      <c r="EA204" s="566"/>
      <c r="EB204" s="12"/>
      <c r="EC204" s="566"/>
      <c r="ED204" s="566"/>
      <c r="EE204" s="12"/>
      <c r="EF204" s="566"/>
      <c r="EG204" s="566"/>
      <c r="EH204" s="12"/>
      <c r="EI204" s="566"/>
      <c r="EJ204" s="566"/>
      <c r="EK204" s="566"/>
      <c r="EL204" s="12"/>
      <c r="EM204" s="12"/>
      <c r="EN204" s="12"/>
      <c r="EO204" s="12"/>
      <c r="EP204" s="12"/>
      <c r="EQ204" s="12"/>
      <c r="ER204" s="12"/>
      <c r="ES204" s="12"/>
      <c r="ET204" s="12"/>
      <c r="EU204" s="12"/>
      <c r="EV204" s="337"/>
      <c r="EW204" s="12"/>
      <c r="EX204" s="12"/>
      <c r="EY204" s="12"/>
      <c r="EZ204" s="12"/>
      <c r="FA204" s="593"/>
      <c r="FB204" s="593"/>
      <c r="FC204" s="593"/>
      <c r="FD204" s="593"/>
      <c r="FE204" s="593"/>
      <c r="FF204" s="593"/>
      <c r="FH204" s="586"/>
      <c r="FI204" s="586"/>
      <c r="FK204" s="12"/>
      <c r="FL204" s="12"/>
      <c r="FM204" s="12"/>
      <c r="FN204" s="12"/>
      <c r="FO204" s="12"/>
      <c r="FP204" s="12"/>
      <c r="FQ204" s="12"/>
      <c r="FR204" s="12"/>
      <c r="FS204" s="12"/>
      <c r="FT204" s="12"/>
      <c r="FU204" s="12"/>
      <c r="FV204" s="12"/>
      <c r="FW204" s="12"/>
      <c r="FX204" s="12"/>
      <c r="FY204" s="12"/>
      <c r="FZ204" s="12"/>
      <c r="GA204" s="12"/>
      <c r="GB204" s="12"/>
      <c r="GC204" s="12"/>
      <c r="GD204" s="12"/>
      <c r="GE204" s="12"/>
      <c r="GF204" s="178"/>
      <c r="GG204" s="618"/>
      <c r="GH204" s="12"/>
      <c r="GI204" s="12"/>
      <c r="GJ204" s="12"/>
      <c r="GK204" s="12"/>
      <c r="GL204" s="12"/>
      <c r="GM204" s="12"/>
      <c r="GN204" s="12"/>
      <c r="GO204" s="12"/>
      <c r="GP204" s="12"/>
      <c r="GQ204" s="12"/>
      <c r="GR204" s="12"/>
      <c r="GS204" s="12"/>
      <c r="GT204" s="12"/>
      <c r="GU204" s="12"/>
      <c r="GV204" s="12"/>
      <c r="GW204" s="12"/>
      <c r="GX204" s="12"/>
      <c r="GY204" s="12"/>
      <c r="GZ204" s="12"/>
      <c r="HA204" s="12"/>
      <c r="HB204" s="645"/>
      <c r="HC204" s="12"/>
      <c r="HD204" s="12"/>
      <c r="HE204" s="12"/>
      <c r="HF204" s="12"/>
      <c r="HG204" s="12"/>
      <c r="HH204" s="12"/>
      <c r="HI204" s="12"/>
      <c r="HJ204" s="12"/>
      <c r="HK204" s="12"/>
      <c r="HL204" s="12"/>
      <c r="HM204" s="12"/>
      <c r="HN204" s="12"/>
      <c r="HO204" s="12"/>
      <c r="HP204" s="12"/>
      <c r="HQ204" s="12"/>
      <c r="HR204" s="12"/>
      <c r="HS204" s="12"/>
      <c r="HT204" s="12"/>
      <c r="HU204" s="12"/>
      <c r="HV204" s="12"/>
      <c r="HW204" s="12"/>
      <c r="HX204" s="12"/>
      <c r="HY204" s="12"/>
      <c r="HZ204" s="12"/>
      <c r="IA204" s="12"/>
      <c r="IB204" s="12"/>
      <c r="IC204" s="12"/>
      <c r="ID204" s="12"/>
      <c r="IE204" s="12"/>
      <c r="IF204" s="12"/>
      <c r="IG204" s="12"/>
      <c r="IH204" s="12"/>
      <c r="II204" s="12"/>
      <c r="IJ204" s="12"/>
      <c r="IK204" s="12"/>
      <c r="IL204" s="12"/>
      <c r="IM204" s="12"/>
      <c r="IN204" s="12"/>
      <c r="IO204" s="12"/>
      <c r="IP204" s="12"/>
      <c r="IQ204" s="12"/>
      <c r="IR204" s="12"/>
      <c r="IS204" s="12"/>
      <c r="IT204" s="12"/>
      <c r="IU204" s="12"/>
      <c r="IV204" s="12"/>
      <c r="IW204" s="12"/>
      <c r="IX204" s="12"/>
      <c r="IY204" s="12"/>
      <c r="IZ204" s="12"/>
      <c r="JA204" s="12"/>
      <c r="JB204" s="12"/>
      <c r="JC204" s="12"/>
      <c r="JD204" s="12"/>
      <c r="JE204" s="12"/>
      <c r="JF204" s="12"/>
      <c r="JG204" s="12"/>
      <c r="JH204" s="12"/>
      <c r="JI204" s="12"/>
    </row>
    <row r="205" spans="1:269" s="39" customFormat="1">
      <c r="A205" s="341" t="s">
        <v>34</v>
      </c>
      <c r="B205" s="12">
        <f>COUNTIF(Ville,"*St Leu*")</f>
        <v>11</v>
      </c>
      <c r="C205" s="12">
        <f t="shared" si="288"/>
        <v>311</v>
      </c>
      <c r="D205" s="12"/>
      <c r="E205" s="12"/>
      <c r="F205" s="12"/>
      <c r="G205" s="12"/>
      <c r="H205" s="12"/>
      <c r="I205" s="12"/>
      <c r="J205" s="12"/>
      <c r="K205" s="312"/>
      <c r="L205" s="197"/>
      <c r="M205" s="197"/>
      <c r="N205" s="197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44"/>
      <c r="AU205" s="28"/>
      <c r="AV205" s="12"/>
      <c r="AW205" s="12"/>
      <c r="AX205" s="12"/>
      <c r="AY205" s="12"/>
      <c r="AZ205" s="12"/>
      <c r="BA205" s="12"/>
      <c r="BB205" s="12"/>
      <c r="BC205" s="178"/>
      <c r="BD205" s="178"/>
      <c r="BE205" s="178"/>
      <c r="BF205" s="178"/>
      <c r="BG205" s="178"/>
      <c r="BH205" s="178"/>
      <c r="BI205" s="178"/>
      <c r="BJ205" s="178"/>
      <c r="BK205" s="178"/>
      <c r="BL205" s="178"/>
      <c r="BM205" s="178"/>
      <c r="BN205" s="178"/>
      <c r="BO205" s="178"/>
      <c r="BP205" s="178"/>
      <c r="BQ205" s="178"/>
      <c r="BR205" s="178"/>
      <c r="BS205" s="178"/>
      <c r="BT205" s="178"/>
      <c r="BU205" s="178"/>
      <c r="BV205" s="178"/>
      <c r="BW205" s="178"/>
      <c r="BX205" s="178"/>
      <c r="BY205" s="178"/>
      <c r="BZ205" s="178"/>
      <c r="CA205" s="178"/>
      <c r="CB205" s="179"/>
      <c r="CC205" s="178"/>
      <c r="CD205" s="224"/>
      <c r="CE205" s="224"/>
      <c r="CF205" s="178"/>
      <c r="CG205" s="178"/>
      <c r="CH205" s="178"/>
      <c r="CI205" s="178"/>
      <c r="CJ205" s="178"/>
      <c r="CK205" s="601"/>
      <c r="CL205" s="12"/>
      <c r="CM205" s="566"/>
      <c r="CN205" s="566"/>
      <c r="CO205" s="29"/>
      <c r="CP205" s="12"/>
      <c r="CQ205" s="566"/>
      <c r="CR205" s="12"/>
      <c r="CS205" s="566"/>
      <c r="CT205" s="12"/>
      <c r="CU205" s="12"/>
      <c r="CV205" s="12"/>
      <c r="CW205" s="12"/>
      <c r="CX205" s="12"/>
      <c r="CY205" s="566"/>
      <c r="CZ205" s="566"/>
      <c r="DA205" s="12"/>
      <c r="DB205" s="12"/>
      <c r="DC205" s="566"/>
      <c r="DD205" s="566"/>
      <c r="DE205" s="566"/>
      <c r="DF205" s="12"/>
      <c r="DG205" s="566"/>
      <c r="DH205" s="12"/>
      <c r="DI205" s="12"/>
      <c r="DJ205" s="12"/>
      <c r="DK205" s="12"/>
      <c r="DL205" s="231"/>
      <c r="DM205" s="12"/>
      <c r="DN205" s="566"/>
      <c r="DO205" s="566"/>
      <c r="DP205" s="29"/>
      <c r="DQ205" s="566"/>
      <c r="DR205" s="566"/>
      <c r="DS205" s="12"/>
      <c r="DT205" s="566"/>
      <c r="DU205" s="566"/>
      <c r="DV205" s="12"/>
      <c r="DW205" s="566"/>
      <c r="DX205" s="566"/>
      <c r="DY205" s="12"/>
      <c r="DZ205" s="566"/>
      <c r="EA205" s="566"/>
      <c r="EB205" s="12"/>
      <c r="EC205" s="566"/>
      <c r="ED205" s="566"/>
      <c r="EE205" s="12"/>
      <c r="EF205" s="566"/>
      <c r="EG205" s="566"/>
      <c r="EH205" s="12"/>
      <c r="EI205" s="566"/>
      <c r="EJ205" s="566"/>
      <c r="EK205" s="566"/>
      <c r="EL205" s="12"/>
      <c r="EM205" s="12"/>
      <c r="EN205" s="12"/>
      <c r="EO205" s="12"/>
      <c r="EP205" s="12"/>
      <c r="EQ205" s="12"/>
      <c r="ER205" s="12"/>
      <c r="ES205" s="12"/>
      <c r="ET205" s="12"/>
      <c r="EU205" s="12"/>
      <c r="EV205" s="337"/>
      <c r="EW205" s="12"/>
      <c r="EX205" s="12"/>
      <c r="EY205" s="12"/>
      <c r="EZ205" s="12"/>
      <c r="FA205" s="593"/>
      <c r="FB205" s="593"/>
      <c r="FC205" s="593"/>
      <c r="FD205" s="593"/>
      <c r="FE205" s="593"/>
      <c r="FF205" s="593"/>
      <c r="FH205" s="586"/>
      <c r="FI205" s="586"/>
      <c r="FK205" s="12"/>
      <c r="FL205" s="12"/>
      <c r="FM205" s="12"/>
      <c r="FN205" s="12"/>
      <c r="FO205" s="12"/>
      <c r="FP205" s="12"/>
      <c r="FQ205" s="12"/>
      <c r="FR205" s="12"/>
      <c r="FS205" s="12"/>
      <c r="FT205" s="12"/>
      <c r="FU205" s="12"/>
      <c r="FV205" s="12"/>
      <c r="FW205" s="12"/>
      <c r="FX205" s="12"/>
      <c r="FY205" s="12"/>
      <c r="FZ205" s="12"/>
      <c r="GA205" s="12"/>
      <c r="GB205" s="12"/>
      <c r="GC205" s="12"/>
      <c r="GD205" s="12"/>
      <c r="GE205" s="12"/>
      <c r="GF205" s="178"/>
      <c r="GG205" s="618"/>
      <c r="GH205" s="12"/>
      <c r="GI205" s="12"/>
      <c r="GJ205" s="12"/>
      <c r="GK205" s="12"/>
      <c r="GL205" s="12"/>
      <c r="GM205" s="12"/>
      <c r="GN205" s="12"/>
      <c r="GO205" s="12"/>
      <c r="GP205" s="12"/>
      <c r="GQ205" s="12"/>
      <c r="GR205" s="12"/>
      <c r="GS205" s="12"/>
      <c r="GT205" s="12"/>
      <c r="GU205" s="12"/>
      <c r="GV205" s="12"/>
      <c r="GW205" s="12"/>
      <c r="GX205" s="12"/>
      <c r="GY205" s="12"/>
      <c r="GZ205" s="12"/>
      <c r="HA205" s="12"/>
      <c r="HB205" s="645"/>
      <c r="HC205" s="12"/>
      <c r="HD205" s="12"/>
      <c r="HE205" s="12"/>
      <c r="HF205" s="12"/>
      <c r="HG205" s="12"/>
      <c r="HH205" s="12"/>
      <c r="HI205" s="12"/>
      <c r="HJ205" s="12"/>
      <c r="HK205" s="12"/>
      <c r="HL205" s="12"/>
      <c r="HM205" s="12"/>
      <c r="HN205" s="12"/>
      <c r="HO205" s="12"/>
      <c r="HP205" s="12"/>
      <c r="HQ205" s="12"/>
      <c r="HR205" s="12"/>
      <c r="HS205" s="12"/>
      <c r="HT205" s="12"/>
      <c r="HU205" s="12"/>
      <c r="HV205" s="12"/>
      <c r="HW205" s="12"/>
      <c r="HX205" s="12"/>
      <c r="HY205" s="12"/>
      <c r="HZ205" s="12"/>
      <c r="IA205" s="12"/>
      <c r="IB205" s="12"/>
      <c r="IC205" s="12"/>
      <c r="ID205" s="12"/>
      <c r="IE205" s="12"/>
      <c r="IF205" s="12"/>
      <c r="IG205" s="12"/>
      <c r="IH205" s="12"/>
      <c r="II205" s="12"/>
      <c r="IJ205" s="12"/>
      <c r="IK205" s="12"/>
      <c r="IL205" s="12"/>
      <c r="IM205" s="12"/>
      <c r="IN205" s="12"/>
      <c r="IO205" s="12"/>
      <c r="IP205" s="12"/>
      <c r="IQ205" s="12"/>
      <c r="IR205" s="12"/>
      <c r="IS205" s="12"/>
      <c r="IT205" s="12"/>
      <c r="IU205" s="12"/>
      <c r="IV205" s="12"/>
      <c r="IW205" s="12"/>
      <c r="IX205" s="12"/>
      <c r="IY205" s="12"/>
      <c r="IZ205" s="12"/>
      <c r="JA205" s="12"/>
      <c r="JB205" s="12"/>
      <c r="JC205" s="12"/>
      <c r="JD205" s="12"/>
      <c r="JE205" s="12"/>
      <c r="JF205" s="12"/>
      <c r="JG205" s="12"/>
      <c r="JH205" s="12"/>
      <c r="JI205" s="12"/>
    </row>
    <row r="206" spans="1:269" s="39" customFormat="1">
      <c r="A206" s="341" t="s">
        <v>48</v>
      </c>
      <c r="B206" s="12">
        <f>COUNTIF(Ville,"*St Paul*")</f>
        <v>3</v>
      </c>
      <c r="C206" s="12">
        <f t="shared" si="288"/>
        <v>128</v>
      </c>
      <c r="D206" s="12"/>
      <c r="E206" s="12"/>
      <c r="F206" s="12"/>
      <c r="G206" s="12"/>
      <c r="H206" s="12"/>
      <c r="I206" s="12"/>
      <c r="J206" s="12"/>
      <c r="K206" s="312"/>
      <c r="L206" s="197"/>
      <c r="M206" s="197"/>
      <c r="N206" s="197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44"/>
      <c r="AU206" s="28"/>
      <c r="AV206" s="12"/>
      <c r="AW206" s="12"/>
      <c r="AX206" s="12"/>
      <c r="AY206" s="12"/>
      <c r="AZ206" s="12"/>
      <c r="BA206" s="12"/>
      <c r="BB206" s="12"/>
      <c r="BC206" s="178"/>
      <c r="BD206" s="178"/>
      <c r="BE206" s="178"/>
      <c r="BF206" s="178"/>
      <c r="BG206" s="178"/>
      <c r="BH206" s="178"/>
      <c r="BI206" s="178"/>
      <c r="BJ206" s="178"/>
      <c r="BK206" s="178"/>
      <c r="BL206" s="178"/>
      <c r="BM206" s="178"/>
      <c r="BN206" s="178"/>
      <c r="BO206" s="178"/>
      <c r="BP206" s="178"/>
      <c r="BQ206" s="178"/>
      <c r="BR206" s="178"/>
      <c r="BS206" s="178"/>
      <c r="BT206" s="178"/>
      <c r="BU206" s="178"/>
      <c r="BV206" s="178"/>
      <c r="BW206" s="178"/>
      <c r="BX206" s="178"/>
      <c r="BY206" s="178"/>
      <c r="BZ206" s="178"/>
      <c r="CA206" s="178"/>
      <c r="CB206" s="179"/>
      <c r="CC206" s="178"/>
      <c r="CD206" s="224"/>
      <c r="CE206" s="224"/>
      <c r="CF206" s="178"/>
      <c r="CG206" s="178"/>
      <c r="CH206" s="178"/>
      <c r="CI206" s="178"/>
      <c r="CJ206" s="178"/>
      <c r="CK206" s="601"/>
      <c r="CL206" s="12"/>
      <c r="CM206" s="566"/>
      <c r="CN206" s="566"/>
      <c r="CO206" s="29"/>
      <c r="CP206" s="12"/>
      <c r="CQ206" s="566"/>
      <c r="CR206" s="12"/>
      <c r="CS206" s="566"/>
      <c r="CT206" s="12"/>
      <c r="CU206" s="12"/>
      <c r="CV206" s="12"/>
      <c r="CW206" s="12"/>
      <c r="CX206" s="12"/>
      <c r="CY206" s="566"/>
      <c r="CZ206" s="566"/>
      <c r="DA206" s="12"/>
      <c r="DB206" s="12"/>
      <c r="DC206" s="566"/>
      <c r="DD206" s="566"/>
      <c r="DE206" s="566"/>
      <c r="DF206" s="12"/>
      <c r="DG206" s="566"/>
      <c r="DH206" s="12"/>
      <c r="DI206" s="12"/>
      <c r="DJ206" s="12"/>
      <c r="DK206" s="12"/>
      <c r="DL206" s="231"/>
      <c r="DM206" s="12"/>
      <c r="DN206" s="566"/>
      <c r="DO206" s="566"/>
      <c r="DP206" s="29"/>
      <c r="DQ206" s="566"/>
      <c r="DR206" s="566"/>
      <c r="DS206" s="12"/>
      <c r="DT206" s="566"/>
      <c r="DU206" s="566"/>
      <c r="DV206" s="12"/>
      <c r="DW206" s="566"/>
      <c r="DX206" s="566"/>
      <c r="DY206" s="12"/>
      <c r="DZ206" s="566"/>
      <c r="EA206" s="566"/>
      <c r="EB206" s="12"/>
      <c r="EC206" s="566"/>
      <c r="ED206" s="566"/>
      <c r="EE206" s="12"/>
      <c r="EF206" s="566"/>
      <c r="EG206" s="566"/>
      <c r="EH206" s="12"/>
      <c r="EI206" s="566"/>
      <c r="EJ206" s="566"/>
      <c r="EK206" s="566"/>
      <c r="EL206" s="12"/>
      <c r="EM206" s="12"/>
      <c r="EN206" s="12"/>
      <c r="EO206" s="12"/>
      <c r="EP206" s="12"/>
      <c r="EQ206" s="12"/>
      <c r="ER206" s="12"/>
      <c r="ES206" s="12"/>
      <c r="ET206" s="12"/>
      <c r="EU206" s="12"/>
      <c r="EV206" s="337"/>
      <c r="EW206" s="12"/>
      <c r="EX206" s="12"/>
      <c r="EY206" s="12"/>
      <c r="EZ206" s="12"/>
      <c r="FA206" s="593"/>
      <c r="FB206" s="593"/>
      <c r="FC206" s="593"/>
      <c r="FD206" s="593"/>
      <c r="FE206" s="593"/>
      <c r="FF206" s="593"/>
      <c r="FH206" s="586"/>
      <c r="FI206" s="586"/>
      <c r="FK206" s="12"/>
      <c r="FL206" s="12"/>
      <c r="FM206" s="12"/>
      <c r="FN206" s="12"/>
      <c r="FO206" s="12"/>
      <c r="FP206" s="12"/>
      <c r="FQ206" s="12"/>
      <c r="FR206" s="12"/>
      <c r="FS206" s="12"/>
      <c r="FT206" s="12"/>
      <c r="FU206" s="12"/>
      <c r="FV206" s="12"/>
      <c r="FW206" s="12"/>
      <c r="FX206" s="12"/>
      <c r="FY206" s="12"/>
      <c r="FZ206" s="12"/>
      <c r="GA206" s="12"/>
      <c r="GB206" s="12"/>
      <c r="GC206" s="12"/>
      <c r="GD206" s="12"/>
      <c r="GE206" s="12"/>
      <c r="GF206" s="178"/>
      <c r="GG206" s="618"/>
      <c r="GH206" s="12"/>
      <c r="GI206" s="12"/>
      <c r="GJ206" s="12"/>
      <c r="GK206" s="12"/>
      <c r="GL206" s="12"/>
      <c r="GM206" s="12"/>
      <c r="GN206" s="12"/>
      <c r="GO206" s="12"/>
      <c r="GP206" s="12"/>
      <c r="GQ206" s="12"/>
      <c r="GR206" s="12"/>
      <c r="GS206" s="12"/>
      <c r="GT206" s="12"/>
      <c r="GU206" s="12"/>
      <c r="GV206" s="12"/>
      <c r="GW206" s="12"/>
      <c r="GX206" s="12"/>
      <c r="GY206" s="12"/>
      <c r="GZ206" s="12"/>
      <c r="HA206" s="12"/>
      <c r="HB206" s="645"/>
      <c r="HC206" s="12"/>
      <c r="HD206" s="12"/>
      <c r="HE206" s="12"/>
      <c r="HF206" s="12"/>
      <c r="HG206" s="12"/>
      <c r="HH206" s="12"/>
      <c r="HI206" s="12"/>
      <c r="HJ206" s="12"/>
      <c r="HK206" s="12"/>
      <c r="HL206" s="12"/>
      <c r="HM206" s="12"/>
      <c r="HN206" s="12"/>
      <c r="HO206" s="12"/>
      <c r="HP206" s="12"/>
      <c r="HQ206" s="12"/>
      <c r="HR206" s="12"/>
      <c r="HS206" s="12"/>
      <c r="HT206" s="12"/>
      <c r="HU206" s="12"/>
      <c r="HV206" s="12"/>
      <c r="HW206" s="12"/>
      <c r="HX206" s="12"/>
      <c r="HY206" s="12"/>
      <c r="HZ206" s="12"/>
      <c r="IA206" s="12"/>
      <c r="IB206" s="12"/>
      <c r="IC206" s="12"/>
      <c r="ID206" s="12"/>
      <c r="IE206" s="12"/>
      <c r="IF206" s="12"/>
      <c r="IG206" s="12"/>
      <c r="IH206" s="12"/>
      <c r="II206" s="12"/>
      <c r="IJ206" s="12"/>
      <c r="IK206" s="12"/>
      <c r="IL206" s="12"/>
      <c r="IM206" s="12"/>
      <c r="IN206" s="12"/>
      <c r="IO206" s="12"/>
      <c r="IP206" s="12"/>
      <c r="IQ206" s="12"/>
      <c r="IR206" s="12"/>
      <c r="IS206" s="12"/>
      <c r="IT206" s="12"/>
      <c r="IU206" s="12"/>
      <c r="IV206" s="12"/>
      <c r="IW206" s="12"/>
      <c r="IX206" s="12"/>
      <c r="IY206" s="12"/>
      <c r="IZ206" s="12"/>
      <c r="JA206" s="12"/>
      <c r="JB206" s="12"/>
      <c r="JC206" s="12"/>
      <c r="JD206" s="12"/>
      <c r="JE206" s="12"/>
      <c r="JF206" s="12"/>
      <c r="JG206" s="12"/>
      <c r="JH206" s="12"/>
      <c r="JI206" s="12"/>
    </row>
    <row r="207" spans="1:269" s="39" customFormat="1">
      <c r="A207" s="341" t="s">
        <v>31</v>
      </c>
      <c r="B207" s="12">
        <f>COUNTIF(Ville,"*St Philippe*")</f>
        <v>2</v>
      </c>
      <c r="C207" s="12">
        <f t="shared" si="288"/>
        <v>33</v>
      </c>
      <c r="D207" s="12"/>
      <c r="E207" s="12"/>
      <c r="F207" s="12"/>
      <c r="G207" s="12"/>
      <c r="H207" s="12"/>
      <c r="I207" s="12"/>
      <c r="J207" s="12"/>
      <c r="K207" s="312"/>
      <c r="L207" s="197"/>
      <c r="M207" s="197"/>
      <c r="N207" s="197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44"/>
      <c r="AU207" s="28"/>
      <c r="AV207" s="12"/>
      <c r="AW207" s="12"/>
      <c r="AX207" s="12"/>
      <c r="AY207" s="12"/>
      <c r="AZ207" s="12"/>
      <c r="BA207" s="12"/>
      <c r="BB207" s="12"/>
      <c r="BC207" s="178"/>
      <c r="BD207" s="178"/>
      <c r="BE207" s="178"/>
      <c r="BF207" s="178"/>
      <c r="BG207" s="178"/>
      <c r="BH207" s="178"/>
      <c r="BI207" s="178"/>
      <c r="BJ207" s="178"/>
      <c r="BK207" s="178"/>
      <c r="BL207" s="178"/>
      <c r="BM207" s="178"/>
      <c r="BN207" s="178"/>
      <c r="BO207" s="178"/>
      <c r="BP207" s="178"/>
      <c r="BQ207" s="178"/>
      <c r="BR207" s="178"/>
      <c r="BS207" s="178"/>
      <c r="BT207" s="178"/>
      <c r="BU207" s="178"/>
      <c r="BV207" s="178"/>
      <c r="BW207" s="178"/>
      <c r="BX207" s="178"/>
      <c r="BY207" s="178"/>
      <c r="BZ207" s="178"/>
      <c r="CA207" s="178"/>
      <c r="CB207" s="179"/>
      <c r="CC207" s="178"/>
      <c r="CD207" s="224"/>
      <c r="CE207" s="224"/>
      <c r="CF207" s="178"/>
      <c r="CG207" s="178"/>
      <c r="CH207" s="178"/>
      <c r="CI207" s="178"/>
      <c r="CJ207" s="178"/>
      <c r="CK207" s="601"/>
      <c r="CL207" s="12"/>
      <c r="CM207" s="566"/>
      <c r="CN207" s="566"/>
      <c r="CO207" s="29"/>
      <c r="CP207" s="12"/>
      <c r="CQ207" s="566"/>
      <c r="CR207" s="12"/>
      <c r="CS207" s="566"/>
      <c r="CT207" s="12"/>
      <c r="CU207" s="12"/>
      <c r="CV207" s="12"/>
      <c r="CW207" s="12"/>
      <c r="CX207" s="12"/>
      <c r="CY207" s="566"/>
      <c r="CZ207" s="566"/>
      <c r="DA207" s="12"/>
      <c r="DB207" s="12"/>
      <c r="DC207" s="566"/>
      <c r="DD207" s="566"/>
      <c r="DE207" s="566"/>
      <c r="DF207" s="12"/>
      <c r="DG207" s="566"/>
      <c r="DH207" s="12"/>
      <c r="DI207" s="12"/>
      <c r="DJ207" s="12"/>
      <c r="DK207" s="12"/>
      <c r="DL207" s="231"/>
      <c r="DM207" s="12"/>
      <c r="DN207" s="566"/>
      <c r="DO207" s="566"/>
      <c r="DP207" s="29"/>
      <c r="DQ207" s="566"/>
      <c r="DR207" s="566"/>
      <c r="DS207" s="12"/>
      <c r="DT207" s="566"/>
      <c r="DU207" s="566"/>
      <c r="DV207" s="12"/>
      <c r="DW207" s="566"/>
      <c r="DX207" s="566"/>
      <c r="DY207" s="12"/>
      <c r="DZ207" s="566"/>
      <c r="EA207" s="566"/>
      <c r="EB207" s="12"/>
      <c r="EC207" s="566"/>
      <c r="ED207" s="566"/>
      <c r="EE207" s="12"/>
      <c r="EF207" s="566"/>
      <c r="EG207" s="566"/>
      <c r="EH207" s="12"/>
      <c r="EI207" s="566"/>
      <c r="EJ207" s="566"/>
      <c r="EK207" s="566"/>
      <c r="EL207" s="12"/>
      <c r="EM207" s="12"/>
      <c r="EN207" s="12"/>
      <c r="EO207" s="12"/>
      <c r="EP207" s="12"/>
      <c r="EQ207" s="12"/>
      <c r="ER207" s="12"/>
      <c r="ES207" s="12"/>
      <c r="ET207" s="12"/>
      <c r="EU207" s="12"/>
      <c r="EV207" s="337"/>
      <c r="EW207" s="12"/>
      <c r="EX207" s="12"/>
      <c r="EY207" s="12"/>
      <c r="EZ207" s="12"/>
      <c r="FA207" s="593"/>
      <c r="FB207" s="593"/>
      <c r="FC207" s="593"/>
      <c r="FD207" s="593"/>
      <c r="FE207" s="593"/>
      <c r="FF207" s="593"/>
      <c r="FH207" s="586"/>
      <c r="FI207" s="586"/>
      <c r="FK207" s="12"/>
      <c r="FL207" s="12"/>
      <c r="FM207" s="12"/>
      <c r="FN207" s="12"/>
      <c r="FO207" s="12"/>
      <c r="FP207" s="12"/>
      <c r="FQ207" s="12"/>
      <c r="FR207" s="12"/>
      <c r="FS207" s="12"/>
      <c r="FT207" s="12"/>
      <c r="FU207" s="12"/>
      <c r="FV207" s="12"/>
      <c r="FW207" s="12"/>
      <c r="FX207" s="12"/>
      <c r="FY207" s="12"/>
      <c r="FZ207" s="12"/>
      <c r="GA207" s="12"/>
      <c r="GB207" s="12"/>
      <c r="GC207" s="12"/>
      <c r="GD207" s="12"/>
      <c r="GE207" s="12"/>
      <c r="GF207" s="178"/>
      <c r="GG207" s="618"/>
      <c r="GH207" s="12"/>
      <c r="GI207" s="12"/>
      <c r="GJ207" s="12"/>
      <c r="GK207" s="12"/>
      <c r="GL207" s="12"/>
      <c r="GM207" s="12"/>
      <c r="GN207" s="12"/>
      <c r="GO207" s="12"/>
      <c r="GP207" s="12"/>
      <c r="GQ207" s="12"/>
      <c r="GR207" s="12"/>
      <c r="GS207" s="12"/>
      <c r="GT207" s="12"/>
      <c r="GU207" s="12"/>
      <c r="GV207" s="12"/>
      <c r="GW207" s="12"/>
      <c r="GX207" s="12"/>
      <c r="GY207" s="12"/>
      <c r="GZ207" s="12"/>
      <c r="HA207" s="12"/>
      <c r="HB207" s="645"/>
      <c r="HC207" s="12"/>
      <c r="HD207" s="12"/>
      <c r="HE207" s="12"/>
      <c r="HF207" s="12"/>
      <c r="HG207" s="12"/>
      <c r="HH207" s="12"/>
      <c r="HI207" s="12"/>
      <c r="HJ207" s="12"/>
      <c r="HK207" s="12"/>
      <c r="HL207" s="12"/>
      <c r="HM207" s="12"/>
      <c r="HN207" s="12"/>
      <c r="HO207" s="12"/>
      <c r="HP207" s="12"/>
      <c r="HQ207" s="12"/>
      <c r="HR207" s="12"/>
      <c r="HS207" s="12"/>
      <c r="HT207" s="12"/>
      <c r="HU207" s="12"/>
      <c r="HV207" s="12"/>
      <c r="HW207" s="12"/>
      <c r="HX207" s="12"/>
      <c r="HY207" s="12"/>
      <c r="HZ207" s="12"/>
      <c r="IA207" s="12"/>
      <c r="IB207" s="12"/>
      <c r="IC207" s="12"/>
      <c r="ID207" s="12"/>
      <c r="IE207" s="12"/>
      <c r="IF207" s="12"/>
      <c r="IG207" s="12"/>
      <c r="IH207" s="12"/>
      <c r="II207" s="12"/>
      <c r="IJ207" s="12"/>
      <c r="IK207" s="12"/>
      <c r="IL207" s="12"/>
      <c r="IM207" s="12"/>
      <c r="IN207" s="12"/>
      <c r="IO207" s="12"/>
      <c r="IP207" s="12"/>
      <c r="IQ207" s="12"/>
      <c r="IR207" s="12"/>
      <c r="IS207" s="12"/>
      <c r="IT207" s="12"/>
      <c r="IU207" s="12"/>
      <c r="IV207" s="12"/>
      <c r="IW207" s="12"/>
      <c r="IX207" s="12"/>
      <c r="IY207" s="12"/>
      <c r="IZ207" s="12"/>
      <c r="JA207" s="12"/>
      <c r="JB207" s="12"/>
      <c r="JC207" s="12"/>
      <c r="JD207" s="12"/>
      <c r="JE207" s="12"/>
      <c r="JF207" s="12"/>
      <c r="JG207" s="12"/>
      <c r="JH207" s="12"/>
      <c r="JI207" s="12"/>
    </row>
    <row r="208" spans="1:269" s="39" customFormat="1">
      <c r="A208" s="341" t="s">
        <v>100</v>
      </c>
      <c r="B208" s="12">
        <f>COUNTIF(Ville,"*St Pierre*")</f>
        <v>4</v>
      </c>
      <c r="C208" s="12">
        <f t="shared" si="288"/>
        <v>293</v>
      </c>
      <c r="D208" s="12"/>
      <c r="E208" s="12"/>
      <c r="F208" s="12"/>
      <c r="G208" s="12"/>
      <c r="H208" s="12"/>
      <c r="I208" s="12"/>
      <c r="J208" s="12"/>
      <c r="K208" s="312"/>
      <c r="L208" s="197"/>
      <c r="M208" s="197"/>
      <c r="N208" s="197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44"/>
      <c r="AU208" s="28"/>
      <c r="AV208" s="12"/>
      <c r="AW208" s="12"/>
      <c r="AX208" s="12"/>
      <c r="AY208" s="12"/>
      <c r="AZ208" s="12"/>
      <c r="BA208" s="12"/>
      <c r="BB208" s="12"/>
      <c r="BC208" s="178"/>
      <c r="BD208" s="178"/>
      <c r="BE208" s="178"/>
      <c r="BF208" s="178"/>
      <c r="BG208" s="178"/>
      <c r="BH208" s="178"/>
      <c r="BI208" s="178"/>
      <c r="BJ208" s="178"/>
      <c r="BK208" s="178"/>
      <c r="BL208" s="178"/>
      <c r="BM208" s="178"/>
      <c r="BN208" s="178"/>
      <c r="BO208" s="178"/>
      <c r="BP208" s="178"/>
      <c r="BQ208" s="178"/>
      <c r="BR208" s="178"/>
      <c r="BS208" s="178"/>
      <c r="BT208" s="178"/>
      <c r="BU208" s="178"/>
      <c r="BV208" s="178"/>
      <c r="BW208" s="178"/>
      <c r="BX208" s="178"/>
      <c r="BY208" s="178"/>
      <c r="BZ208" s="178"/>
      <c r="CA208" s="178"/>
      <c r="CB208" s="179"/>
      <c r="CC208" s="178"/>
      <c r="CD208" s="224"/>
      <c r="CE208" s="224"/>
      <c r="CF208" s="178"/>
      <c r="CG208" s="178"/>
      <c r="CH208" s="178"/>
      <c r="CI208" s="178"/>
      <c r="CJ208" s="178"/>
      <c r="CK208" s="601"/>
      <c r="CL208" s="12"/>
      <c r="CM208" s="566"/>
      <c r="CN208" s="566"/>
      <c r="CO208" s="29"/>
      <c r="CP208" s="12"/>
      <c r="CQ208" s="566"/>
      <c r="CR208" s="12"/>
      <c r="CS208" s="566"/>
      <c r="CT208" s="12"/>
      <c r="CU208" s="12"/>
      <c r="CV208" s="12"/>
      <c r="CW208" s="12"/>
      <c r="CX208" s="12"/>
      <c r="CY208" s="566"/>
      <c r="CZ208" s="566"/>
      <c r="DA208" s="12"/>
      <c r="DB208" s="12"/>
      <c r="DC208" s="566"/>
      <c r="DD208" s="566"/>
      <c r="DE208" s="566"/>
      <c r="DF208" s="12"/>
      <c r="DG208" s="566"/>
      <c r="DH208" s="12"/>
      <c r="DI208" s="12"/>
      <c r="DJ208" s="12"/>
      <c r="DK208" s="12"/>
      <c r="DL208" s="231"/>
      <c r="DM208" s="12"/>
      <c r="DN208" s="566"/>
      <c r="DO208" s="566"/>
      <c r="DP208" s="29"/>
      <c r="DQ208" s="566"/>
      <c r="DR208" s="566"/>
      <c r="DS208" s="12"/>
      <c r="DT208" s="566"/>
      <c r="DU208" s="566"/>
      <c r="DV208" s="12"/>
      <c r="DW208" s="566"/>
      <c r="DX208" s="566"/>
      <c r="DY208" s="12"/>
      <c r="DZ208" s="566"/>
      <c r="EA208" s="566"/>
      <c r="EB208" s="12"/>
      <c r="EC208" s="566"/>
      <c r="ED208" s="566"/>
      <c r="EE208" s="12"/>
      <c r="EF208" s="566"/>
      <c r="EG208" s="566"/>
      <c r="EH208" s="12"/>
      <c r="EI208" s="566"/>
      <c r="EJ208" s="566"/>
      <c r="EK208" s="566"/>
      <c r="EL208" s="12"/>
      <c r="EM208" s="12"/>
      <c r="EN208" s="12"/>
      <c r="EO208" s="12"/>
      <c r="EP208" s="12"/>
      <c r="EQ208" s="12"/>
      <c r="ER208" s="12"/>
      <c r="ES208" s="12"/>
      <c r="ET208" s="12"/>
      <c r="EU208" s="12"/>
      <c r="EV208" s="337"/>
      <c r="EW208" s="12"/>
      <c r="EX208" s="12"/>
      <c r="EY208" s="12"/>
      <c r="EZ208" s="12"/>
      <c r="FA208" s="593"/>
      <c r="FB208" s="593"/>
      <c r="FC208" s="593"/>
      <c r="FD208" s="593"/>
      <c r="FE208" s="593"/>
      <c r="FF208" s="593"/>
      <c r="FH208" s="586"/>
      <c r="FI208" s="586"/>
      <c r="FK208" s="12"/>
      <c r="FL208" s="12"/>
      <c r="FM208" s="12"/>
      <c r="FN208" s="12"/>
      <c r="FO208" s="12"/>
      <c r="FP208" s="12"/>
      <c r="FQ208" s="12"/>
      <c r="FR208" s="12"/>
      <c r="FS208" s="12"/>
      <c r="FT208" s="12"/>
      <c r="FU208" s="12"/>
      <c r="FV208" s="12"/>
      <c r="FW208" s="12"/>
      <c r="FX208" s="12"/>
      <c r="FY208" s="12"/>
      <c r="FZ208" s="12"/>
      <c r="GA208" s="12"/>
      <c r="GB208" s="12"/>
      <c r="GC208" s="12"/>
      <c r="GD208" s="12"/>
      <c r="GE208" s="12"/>
      <c r="GF208" s="178"/>
      <c r="GG208" s="618"/>
      <c r="GH208" s="12"/>
      <c r="GI208" s="12"/>
      <c r="GJ208" s="12"/>
      <c r="GK208" s="12"/>
      <c r="GL208" s="12"/>
      <c r="GM208" s="12"/>
      <c r="GN208" s="12"/>
      <c r="GO208" s="12"/>
      <c r="GP208" s="12"/>
      <c r="GQ208" s="12"/>
      <c r="GR208" s="12"/>
      <c r="GS208" s="12"/>
      <c r="GT208" s="12"/>
      <c r="GU208" s="12"/>
      <c r="GV208" s="12"/>
      <c r="GW208" s="12"/>
      <c r="GX208" s="12"/>
      <c r="GY208" s="12"/>
      <c r="GZ208" s="12"/>
      <c r="HA208" s="12"/>
      <c r="HB208" s="645"/>
      <c r="HC208" s="12"/>
      <c r="HD208" s="12"/>
      <c r="HE208" s="12"/>
      <c r="HF208" s="12"/>
      <c r="HG208" s="12"/>
      <c r="HH208" s="12"/>
      <c r="HI208" s="12"/>
      <c r="HJ208" s="12"/>
      <c r="HK208" s="12"/>
      <c r="HL208" s="12"/>
      <c r="HM208" s="12"/>
      <c r="HN208" s="12"/>
      <c r="HO208" s="12"/>
      <c r="HP208" s="12"/>
      <c r="HQ208" s="12"/>
      <c r="HR208" s="12"/>
      <c r="HS208" s="12"/>
      <c r="HT208" s="12"/>
      <c r="HU208" s="12"/>
      <c r="HV208" s="12"/>
      <c r="HW208" s="12"/>
      <c r="HX208" s="12"/>
      <c r="HY208" s="12"/>
      <c r="HZ208" s="12"/>
      <c r="IA208" s="12"/>
      <c r="IB208" s="12"/>
      <c r="IC208" s="12"/>
      <c r="ID208" s="12"/>
      <c r="IE208" s="12"/>
      <c r="IF208" s="12"/>
      <c r="IG208" s="12"/>
      <c r="IH208" s="12"/>
      <c r="II208" s="12"/>
      <c r="IJ208" s="12"/>
      <c r="IK208" s="12"/>
      <c r="IL208" s="12"/>
      <c r="IM208" s="12"/>
      <c r="IN208" s="12"/>
      <c r="IO208" s="12"/>
      <c r="IP208" s="12"/>
      <c r="IQ208" s="12"/>
      <c r="IR208" s="12"/>
      <c r="IS208" s="12"/>
      <c r="IT208" s="12"/>
      <c r="IU208" s="12"/>
      <c r="IV208" s="12"/>
      <c r="IW208" s="12"/>
      <c r="IX208" s="12"/>
      <c r="IY208" s="12"/>
      <c r="IZ208" s="12"/>
      <c r="JA208" s="12"/>
      <c r="JB208" s="12"/>
      <c r="JC208" s="12"/>
      <c r="JD208" s="12"/>
      <c r="JE208" s="12"/>
      <c r="JF208" s="12"/>
      <c r="JG208" s="12"/>
      <c r="JH208" s="12"/>
      <c r="JI208" s="12"/>
    </row>
    <row r="209" spans="1:269" s="39" customFormat="1">
      <c r="A209" s="341" t="s">
        <v>35</v>
      </c>
      <c r="B209" s="12">
        <f>COUNTIF(Ville,"*Tampon*")</f>
        <v>42</v>
      </c>
      <c r="C209" s="12">
        <f t="shared" si="288"/>
        <v>1938</v>
      </c>
      <c r="D209" s="12"/>
      <c r="E209" s="12"/>
      <c r="F209" s="12"/>
      <c r="G209" s="12"/>
      <c r="H209" s="12"/>
      <c r="I209" s="12"/>
      <c r="J209" s="12"/>
      <c r="K209" s="312"/>
      <c r="L209" s="197"/>
      <c r="M209" s="197"/>
      <c r="N209" s="197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44"/>
      <c r="AU209" s="28"/>
      <c r="AV209" s="12"/>
      <c r="AW209" s="12"/>
      <c r="AX209" s="12"/>
      <c r="AY209" s="12"/>
      <c r="AZ209" s="12"/>
      <c r="BA209" s="12"/>
      <c r="BB209" s="12"/>
      <c r="BC209" s="178"/>
      <c r="BD209" s="178"/>
      <c r="BE209" s="178"/>
      <c r="BF209" s="178"/>
      <c r="BG209" s="178"/>
      <c r="BH209" s="178"/>
      <c r="BI209" s="178"/>
      <c r="BJ209" s="178"/>
      <c r="BK209" s="178"/>
      <c r="BL209" s="178"/>
      <c r="BM209" s="178"/>
      <c r="BN209" s="178"/>
      <c r="BO209" s="178"/>
      <c r="BP209" s="178"/>
      <c r="BQ209" s="178"/>
      <c r="BR209" s="178"/>
      <c r="BS209" s="178"/>
      <c r="BT209" s="178"/>
      <c r="BU209" s="178"/>
      <c r="BV209" s="178"/>
      <c r="BW209" s="178"/>
      <c r="BX209" s="178"/>
      <c r="BY209" s="178"/>
      <c r="BZ209" s="178"/>
      <c r="CA209" s="178"/>
      <c r="CB209" s="179"/>
      <c r="CC209" s="178"/>
      <c r="CD209" s="224"/>
      <c r="CE209" s="224"/>
      <c r="CF209" s="178"/>
      <c r="CG209" s="178"/>
      <c r="CH209" s="178"/>
      <c r="CI209" s="178"/>
      <c r="CJ209" s="178"/>
      <c r="CK209" s="601"/>
      <c r="CL209" s="12"/>
      <c r="CM209" s="566"/>
      <c r="CN209" s="566"/>
      <c r="CO209" s="29"/>
      <c r="CP209" s="12"/>
      <c r="CQ209" s="566"/>
      <c r="CR209" s="12"/>
      <c r="CS209" s="566"/>
      <c r="CT209" s="12"/>
      <c r="CU209" s="12"/>
      <c r="CV209" s="12"/>
      <c r="CW209" s="12"/>
      <c r="CX209" s="12"/>
      <c r="CY209" s="566"/>
      <c r="CZ209" s="566"/>
      <c r="DA209" s="12"/>
      <c r="DB209" s="12"/>
      <c r="DC209" s="566"/>
      <c r="DD209" s="566"/>
      <c r="DE209" s="566"/>
      <c r="DF209" s="12"/>
      <c r="DG209" s="566"/>
      <c r="DH209" s="12"/>
      <c r="DI209" s="12"/>
      <c r="DJ209" s="12"/>
      <c r="DK209" s="12"/>
      <c r="DL209" s="231"/>
      <c r="DM209" s="12"/>
      <c r="DN209" s="566"/>
      <c r="DO209" s="566"/>
      <c r="DP209" s="29"/>
      <c r="DQ209" s="566"/>
      <c r="DR209" s="566"/>
      <c r="DS209" s="12"/>
      <c r="DT209" s="566"/>
      <c r="DU209" s="566"/>
      <c r="DV209" s="12"/>
      <c r="DW209" s="566"/>
      <c r="DX209" s="566"/>
      <c r="DY209" s="12"/>
      <c r="DZ209" s="566"/>
      <c r="EA209" s="566"/>
      <c r="EB209" s="12"/>
      <c r="EC209" s="566"/>
      <c r="ED209" s="566"/>
      <c r="EE209" s="12"/>
      <c r="EF209" s="566"/>
      <c r="EG209" s="566"/>
      <c r="EH209" s="12"/>
      <c r="EI209" s="566"/>
      <c r="EJ209" s="566"/>
      <c r="EK209" s="566"/>
      <c r="EL209" s="12"/>
      <c r="EM209" s="12"/>
      <c r="EN209" s="12"/>
      <c r="EO209" s="12"/>
      <c r="EP209" s="12"/>
      <c r="EQ209" s="12"/>
      <c r="ER209" s="12"/>
      <c r="ES209" s="12"/>
      <c r="ET209" s="12"/>
      <c r="EU209" s="12"/>
      <c r="EV209" s="337"/>
      <c r="EW209" s="12"/>
      <c r="EX209" s="12"/>
      <c r="EY209" s="12"/>
      <c r="EZ209" s="12"/>
      <c r="FA209" s="593"/>
      <c r="FB209" s="593"/>
      <c r="FC209" s="593"/>
      <c r="FD209" s="593"/>
      <c r="FE209" s="593"/>
      <c r="FF209" s="593"/>
      <c r="FH209" s="586"/>
      <c r="FI209" s="586"/>
      <c r="FK209" s="12"/>
      <c r="FL209" s="12"/>
      <c r="FM209" s="12"/>
      <c r="FN209" s="12"/>
      <c r="FO209" s="12"/>
      <c r="FP209" s="12"/>
      <c r="FQ209" s="12"/>
      <c r="FR209" s="12"/>
      <c r="FS209" s="12"/>
      <c r="FT209" s="12"/>
      <c r="FU209" s="12"/>
      <c r="FV209" s="12"/>
      <c r="FW209" s="12"/>
      <c r="FX209" s="12"/>
      <c r="FY209" s="12"/>
      <c r="FZ209" s="12"/>
      <c r="GA209" s="12"/>
      <c r="GB209" s="12"/>
      <c r="GC209" s="12"/>
      <c r="GD209" s="12"/>
      <c r="GE209" s="12"/>
      <c r="GF209" s="178"/>
      <c r="GG209" s="618"/>
      <c r="GH209" s="12"/>
      <c r="GI209" s="12"/>
      <c r="GJ209" s="12"/>
      <c r="GK209" s="12"/>
      <c r="GL209" s="12"/>
      <c r="GM209" s="12"/>
      <c r="GN209" s="12"/>
      <c r="GO209" s="12"/>
      <c r="GP209" s="12"/>
      <c r="GQ209" s="12"/>
      <c r="GR209" s="12"/>
      <c r="GS209" s="12"/>
      <c r="GT209" s="12"/>
      <c r="GU209" s="12"/>
      <c r="GV209" s="12"/>
      <c r="GW209" s="12"/>
      <c r="GX209" s="12"/>
      <c r="GY209" s="12"/>
      <c r="GZ209" s="12"/>
      <c r="HA209" s="12"/>
      <c r="HB209" s="645"/>
      <c r="HC209" s="12"/>
      <c r="HD209" s="12"/>
      <c r="HE209" s="12"/>
      <c r="HF209" s="12"/>
      <c r="HG209" s="12"/>
      <c r="HH209" s="12"/>
      <c r="HI209" s="12"/>
      <c r="HJ209" s="12"/>
      <c r="HK209" s="12"/>
      <c r="HL209" s="12"/>
      <c r="HM209" s="12"/>
      <c r="HN209" s="12"/>
      <c r="HO209" s="12"/>
      <c r="HP209" s="12"/>
      <c r="HQ209" s="12"/>
      <c r="HR209" s="12"/>
      <c r="HS209" s="12"/>
      <c r="HT209" s="12"/>
      <c r="HU209" s="12"/>
      <c r="HV209" s="12"/>
      <c r="HW209" s="12"/>
      <c r="HX209" s="12"/>
      <c r="HY209" s="12"/>
      <c r="HZ209" s="12"/>
      <c r="IA209" s="12"/>
      <c r="IB209" s="12"/>
      <c r="IC209" s="12"/>
      <c r="ID209" s="12"/>
      <c r="IE209" s="12"/>
      <c r="IF209" s="12"/>
      <c r="IG209" s="12"/>
      <c r="IH209" s="12"/>
      <c r="II209" s="12"/>
      <c r="IJ209" s="12"/>
      <c r="IK209" s="12"/>
      <c r="IL209" s="12"/>
      <c r="IM209" s="12"/>
      <c r="IN209" s="12"/>
      <c r="IO209" s="12"/>
      <c r="IP209" s="12"/>
      <c r="IQ209" s="12"/>
      <c r="IR209" s="12"/>
      <c r="IS209" s="12"/>
      <c r="IT209" s="12"/>
      <c r="IU209" s="12"/>
      <c r="IV209" s="12"/>
      <c r="IW209" s="12"/>
      <c r="IX209" s="12"/>
      <c r="IY209" s="12"/>
      <c r="IZ209" s="12"/>
      <c r="JA209" s="12"/>
      <c r="JB209" s="12"/>
      <c r="JC209" s="12"/>
      <c r="JD209" s="12"/>
      <c r="JE209" s="12"/>
      <c r="JF209" s="12"/>
      <c r="JG209" s="12"/>
      <c r="JH209" s="12"/>
      <c r="JI209" s="12"/>
    </row>
    <row r="210" spans="1:269" s="39" customFormat="1">
      <c r="A210" s="341" t="s">
        <v>41</v>
      </c>
      <c r="B210" s="12">
        <f>COUNTIF(Ville,"*Trois Bassins*")</f>
        <v>2</v>
      </c>
      <c r="C210" s="12">
        <f t="shared" si="288"/>
        <v>84</v>
      </c>
      <c r="D210" s="12"/>
      <c r="E210" s="12"/>
      <c r="F210" s="12"/>
      <c r="G210" s="12"/>
      <c r="H210" s="12"/>
      <c r="I210" s="12"/>
      <c r="J210" s="12"/>
      <c r="K210" s="312"/>
      <c r="L210" s="197"/>
      <c r="M210" s="197"/>
      <c r="N210" s="197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44"/>
      <c r="AU210" s="28"/>
      <c r="AV210" s="12"/>
      <c r="AW210" s="12"/>
      <c r="AX210" s="12"/>
      <c r="AY210" s="12"/>
      <c r="AZ210" s="12"/>
      <c r="BA210" s="12"/>
      <c r="BB210" s="12"/>
      <c r="BC210" s="178"/>
      <c r="BD210" s="178"/>
      <c r="BE210" s="178"/>
      <c r="BF210" s="178"/>
      <c r="BG210" s="178"/>
      <c r="BH210" s="178"/>
      <c r="BI210" s="178"/>
      <c r="BJ210" s="178"/>
      <c r="BK210" s="178"/>
      <c r="BL210" s="178"/>
      <c r="BM210" s="178"/>
      <c r="BN210" s="178"/>
      <c r="BO210" s="178"/>
      <c r="BP210" s="178"/>
      <c r="BQ210" s="178"/>
      <c r="BR210" s="178"/>
      <c r="BS210" s="178"/>
      <c r="BT210" s="178"/>
      <c r="BU210" s="178"/>
      <c r="BV210" s="178"/>
      <c r="BW210" s="178"/>
      <c r="BX210" s="178"/>
      <c r="BY210" s="178"/>
      <c r="BZ210" s="178"/>
      <c r="CA210" s="178"/>
      <c r="CB210" s="179"/>
      <c r="CC210" s="178"/>
      <c r="CD210" s="224"/>
      <c r="CE210" s="224"/>
      <c r="CF210" s="178"/>
      <c r="CG210" s="178"/>
      <c r="CH210" s="178"/>
      <c r="CI210" s="178"/>
      <c r="CJ210" s="178"/>
      <c r="CK210" s="601"/>
      <c r="CL210" s="12"/>
      <c r="CM210" s="566"/>
      <c r="CN210" s="566"/>
      <c r="CO210" s="29"/>
      <c r="CP210" s="12"/>
      <c r="CQ210" s="566"/>
      <c r="CR210" s="12"/>
      <c r="CS210" s="566"/>
      <c r="CT210" s="12"/>
      <c r="CU210" s="12"/>
      <c r="CV210" s="12"/>
      <c r="CW210" s="12"/>
      <c r="CX210" s="12"/>
      <c r="CY210" s="566"/>
      <c r="CZ210" s="566"/>
      <c r="DA210" s="12"/>
      <c r="DB210" s="12"/>
      <c r="DC210" s="566"/>
      <c r="DD210" s="566"/>
      <c r="DE210" s="566"/>
      <c r="DF210" s="12"/>
      <c r="DG210" s="566"/>
      <c r="DH210" s="12"/>
      <c r="DI210" s="12"/>
      <c r="DJ210" s="12"/>
      <c r="DK210" s="12"/>
      <c r="DL210" s="231"/>
      <c r="DM210" s="12"/>
      <c r="DN210" s="566"/>
      <c r="DO210" s="566"/>
      <c r="DP210" s="29"/>
      <c r="DQ210" s="566"/>
      <c r="DR210" s="566"/>
      <c r="DS210" s="12"/>
      <c r="DT210" s="566"/>
      <c r="DU210" s="566"/>
      <c r="DV210" s="12"/>
      <c r="DW210" s="566"/>
      <c r="DX210" s="566"/>
      <c r="DY210" s="12"/>
      <c r="DZ210" s="566"/>
      <c r="EA210" s="566"/>
      <c r="EB210" s="12"/>
      <c r="EC210" s="566"/>
      <c r="ED210" s="566"/>
      <c r="EE210" s="12"/>
      <c r="EF210" s="566"/>
      <c r="EG210" s="566"/>
      <c r="EH210" s="12"/>
      <c r="EI210" s="566"/>
      <c r="EJ210" s="566"/>
      <c r="EK210" s="566"/>
      <c r="EL210" s="12"/>
      <c r="EM210" s="12"/>
      <c r="EN210" s="12"/>
      <c r="EO210" s="12"/>
      <c r="EP210" s="12"/>
      <c r="EQ210" s="12"/>
      <c r="ER210" s="12"/>
      <c r="ES210" s="12"/>
      <c r="ET210" s="12"/>
      <c r="EU210" s="12"/>
      <c r="EV210" s="337"/>
      <c r="EW210" s="12"/>
      <c r="EX210" s="12"/>
      <c r="EY210" s="12"/>
      <c r="EZ210" s="12"/>
      <c r="FA210" s="593"/>
      <c r="FB210" s="593"/>
      <c r="FC210" s="593"/>
      <c r="FD210" s="593"/>
      <c r="FE210" s="593"/>
      <c r="FF210" s="593"/>
      <c r="FH210" s="586"/>
      <c r="FI210" s="586"/>
      <c r="FK210" s="12"/>
      <c r="FL210" s="12"/>
      <c r="FM210" s="12"/>
      <c r="FN210" s="12"/>
      <c r="FO210" s="12"/>
      <c r="FP210" s="12"/>
      <c r="FQ210" s="12"/>
      <c r="FR210" s="12"/>
      <c r="FS210" s="12"/>
      <c r="FT210" s="12"/>
      <c r="FU210" s="12"/>
      <c r="FV210" s="12"/>
      <c r="FW210" s="12"/>
      <c r="FX210" s="12"/>
      <c r="FY210" s="12"/>
      <c r="FZ210" s="12"/>
      <c r="GA210" s="12"/>
      <c r="GB210" s="12"/>
      <c r="GC210" s="12"/>
      <c r="GD210" s="12"/>
      <c r="GE210" s="12"/>
      <c r="GF210" s="178"/>
      <c r="GG210" s="618"/>
      <c r="GH210" s="12"/>
      <c r="GI210" s="12"/>
      <c r="GJ210" s="12"/>
      <c r="GK210" s="12"/>
      <c r="GL210" s="12"/>
      <c r="GM210" s="12"/>
      <c r="GN210" s="12"/>
      <c r="GO210" s="12"/>
      <c r="GP210" s="12"/>
      <c r="GQ210" s="12"/>
      <c r="GR210" s="12"/>
      <c r="GS210" s="12"/>
      <c r="GT210" s="12"/>
      <c r="GU210" s="12"/>
      <c r="GV210" s="12"/>
      <c r="GW210" s="12"/>
      <c r="GX210" s="12"/>
      <c r="GY210" s="12"/>
      <c r="GZ210" s="12"/>
      <c r="HA210" s="12"/>
      <c r="HB210" s="645"/>
      <c r="HC210" s="12"/>
      <c r="HD210" s="12"/>
      <c r="HE210" s="12"/>
      <c r="HF210" s="12"/>
      <c r="HG210" s="12"/>
      <c r="HH210" s="12"/>
      <c r="HI210" s="12"/>
      <c r="HJ210" s="12"/>
      <c r="HK210" s="12"/>
      <c r="HL210" s="12"/>
      <c r="HM210" s="12"/>
      <c r="HN210" s="12"/>
      <c r="HO210" s="12"/>
      <c r="HP210" s="12"/>
      <c r="HQ210" s="12"/>
      <c r="HR210" s="12"/>
      <c r="HS210" s="12"/>
      <c r="HT210" s="12"/>
      <c r="HU210" s="12"/>
      <c r="HV210" s="12"/>
      <c r="HW210" s="12"/>
      <c r="HX210" s="12"/>
      <c r="HY210" s="12"/>
      <c r="HZ210" s="12"/>
      <c r="IA210" s="12"/>
      <c r="IB210" s="12"/>
      <c r="IC210" s="12"/>
      <c r="ID210" s="12"/>
      <c r="IE210" s="12"/>
      <c r="IF210" s="12"/>
      <c r="IG210" s="12"/>
      <c r="IH210" s="12"/>
      <c r="II210" s="12"/>
      <c r="IJ210" s="12"/>
      <c r="IK210" s="12"/>
      <c r="IL210" s="12"/>
      <c r="IM210" s="12"/>
      <c r="IN210" s="12"/>
      <c r="IO210" s="12"/>
      <c r="IP210" s="12"/>
      <c r="IQ210" s="12"/>
      <c r="IR210" s="12"/>
      <c r="IS210" s="12"/>
      <c r="IT210" s="12"/>
      <c r="IU210" s="12"/>
      <c r="IV210" s="12"/>
      <c r="IW210" s="12"/>
      <c r="IX210" s="12"/>
      <c r="IY210" s="12"/>
      <c r="IZ210" s="12"/>
      <c r="JA210" s="12"/>
      <c r="JB210" s="12"/>
      <c r="JC210" s="12"/>
      <c r="JD210" s="12"/>
      <c r="JE210" s="12"/>
      <c r="JF210" s="12"/>
      <c r="JG210" s="12"/>
      <c r="JH210" s="12"/>
      <c r="JI210" s="12"/>
    </row>
    <row r="211" spans="1:269" s="39" customFormat="1">
      <c r="A211" s="339"/>
      <c r="B211" s="29">
        <f>SUM(B201:B210)</f>
        <v>99</v>
      </c>
      <c r="C211" s="29">
        <f>SUM(C201:C210)</f>
        <v>3690</v>
      </c>
      <c r="D211" s="12"/>
      <c r="E211" s="12"/>
      <c r="F211" s="12"/>
      <c r="G211" s="12"/>
      <c r="H211" s="12"/>
      <c r="I211" s="12"/>
      <c r="J211" s="12"/>
      <c r="K211" s="312"/>
      <c r="L211" s="197"/>
      <c r="M211" s="197"/>
      <c r="N211" s="197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44"/>
      <c r="AU211" s="28"/>
      <c r="AV211" s="12"/>
      <c r="AW211" s="12"/>
      <c r="AX211" s="12"/>
      <c r="AY211" s="12"/>
      <c r="AZ211" s="12"/>
      <c r="BA211" s="12"/>
      <c r="BB211" s="12"/>
      <c r="BC211" s="178"/>
      <c r="BD211" s="178"/>
      <c r="BE211" s="178"/>
      <c r="BF211" s="178"/>
      <c r="BG211" s="178"/>
      <c r="BH211" s="178"/>
      <c r="BI211" s="178"/>
      <c r="BJ211" s="178"/>
      <c r="BK211" s="178"/>
      <c r="BL211" s="178"/>
      <c r="BM211" s="178"/>
      <c r="BN211" s="178"/>
      <c r="BO211" s="178"/>
      <c r="BP211" s="178"/>
      <c r="BQ211" s="178"/>
      <c r="BR211" s="178"/>
      <c r="BS211" s="178"/>
      <c r="BT211" s="178"/>
      <c r="BU211" s="178"/>
      <c r="BV211" s="178"/>
      <c r="BW211" s="178"/>
      <c r="BX211" s="178"/>
      <c r="BY211" s="178"/>
      <c r="BZ211" s="178"/>
      <c r="CA211" s="178"/>
      <c r="CB211" s="179"/>
      <c r="CC211" s="178"/>
      <c r="CD211" s="224"/>
      <c r="CE211" s="224"/>
      <c r="CF211" s="178"/>
      <c r="CG211" s="178"/>
      <c r="CH211" s="178"/>
      <c r="CI211" s="178"/>
      <c r="CJ211" s="178"/>
      <c r="CK211" s="601"/>
      <c r="CL211" s="12"/>
      <c r="CM211" s="566"/>
      <c r="CN211" s="566"/>
      <c r="CO211" s="29"/>
      <c r="CP211" s="12"/>
      <c r="CQ211" s="566"/>
      <c r="CR211" s="12"/>
      <c r="CS211" s="566"/>
      <c r="CT211" s="12"/>
      <c r="CU211" s="12"/>
      <c r="CV211" s="12"/>
      <c r="CW211" s="12"/>
      <c r="CX211" s="12"/>
      <c r="CY211" s="566"/>
      <c r="CZ211" s="566"/>
      <c r="DA211" s="12"/>
      <c r="DB211" s="12"/>
      <c r="DC211" s="566"/>
      <c r="DD211" s="566"/>
      <c r="DE211" s="566"/>
      <c r="DF211" s="12"/>
      <c r="DG211" s="566"/>
      <c r="DH211" s="12"/>
      <c r="DI211" s="12"/>
      <c r="DJ211" s="12"/>
      <c r="DK211" s="12"/>
      <c r="DL211" s="231"/>
      <c r="DM211" s="12"/>
      <c r="DN211" s="566"/>
      <c r="DO211" s="566"/>
      <c r="DP211" s="29"/>
      <c r="DQ211" s="566"/>
      <c r="DR211" s="566"/>
      <c r="DS211" s="12"/>
      <c r="DT211" s="566"/>
      <c r="DU211" s="566"/>
      <c r="DV211" s="12"/>
      <c r="DW211" s="566"/>
      <c r="DX211" s="566"/>
      <c r="DY211" s="12"/>
      <c r="DZ211" s="566"/>
      <c r="EA211" s="566"/>
      <c r="EB211" s="12"/>
      <c r="EC211" s="566"/>
      <c r="ED211" s="566"/>
      <c r="EE211" s="12"/>
      <c r="EF211" s="566"/>
      <c r="EG211" s="566"/>
      <c r="EH211" s="12"/>
      <c r="EI211" s="566"/>
      <c r="EJ211" s="566"/>
      <c r="EK211" s="566"/>
      <c r="EL211" s="12"/>
      <c r="EM211" s="12"/>
      <c r="EN211" s="12"/>
      <c r="EO211" s="12"/>
      <c r="EP211" s="12"/>
      <c r="EQ211" s="12"/>
      <c r="ER211" s="12"/>
      <c r="ES211" s="12"/>
      <c r="ET211" s="12"/>
      <c r="EU211" s="12"/>
      <c r="EV211" s="337"/>
      <c r="EW211" s="12"/>
      <c r="EX211" s="12"/>
      <c r="EY211" s="12"/>
      <c r="EZ211" s="12"/>
      <c r="FA211" s="593"/>
      <c r="FB211" s="593"/>
      <c r="FC211" s="593"/>
      <c r="FD211" s="593"/>
      <c r="FE211" s="593"/>
      <c r="FF211" s="593"/>
      <c r="FH211" s="586"/>
      <c r="FI211" s="586"/>
      <c r="FK211" s="12"/>
      <c r="FL211" s="12"/>
      <c r="FM211" s="12"/>
      <c r="FN211" s="12"/>
      <c r="FO211" s="12"/>
      <c r="FP211" s="12"/>
      <c r="FQ211" s="12"/>
      <c r="FR211" s="12"/>
      <c r="FS211" s="12"/>
      <c r="FT211" s="12"/>
      <c r="FU211" s="12"/>
      <c r="FV211" s="12"/>
      <c r="FW211" s="12"/>
      <c r="FX211" s="12"/>
      <c r="FY211" s="12"/>
      <c r="FZ211" s="12"/>
      <c r="GA211" s="12"/>
      <c r="GB211" s="12"/>
      <c r="GC211" s="12"/>
      <c r="GD211" s="12"/>
      <c r="GE211" s="12"/>
      <c r="GF211" s="178"/>
      <c r="GG211" s="618"/>
      <c r="GH211" s="12"/>
      <c r="GI211" s="12"/>
      <c r="GJ211" s="12"/>
      <c r="GK211" s="12"/>
      <c r="GL211" s="12"/>
      <c r="GM211" s="12"/>
      <c r="GN211" s="12"/>
      <c r="GO211" s="12"/>
      <c r="GP211" s="12"/>
      <c r="GQ211" s="12"/>
      <c r="GR211" s="12"/>
      <c r="GS211" s="12"/>
      <c r="GT211" s="12"/>
      <c r="GU211" s="12"/>
      <c r="GV211" s="12"/>
      <c r="GW211" s="12"/>
      <c r="GX211" s="12"/>
      <c r="GY211" s="12"/>
      <c r="GZ211" s="12"/>
      <c r="HA211" s="12"/>
      <c r="HB211" s="645"/>
      <c r="HC211" s="12"/>
      <c r="HD211" s="12"/>
      <c r="HE211" s="12"/>
      <c r="HF211" s="12"/>
      <c r="HG211" s="12"/>
      <c r="HH211" s="12"/>
      <c r="HI211" s="12"/>
      <c r="HJ211" s="12"/>
      <c r="HK211" s="12"/>
      <c r="HL211" s="12"/>
      <c r="HM211" s="12"/>
      <c r="HN211" s="12"/>
      <c r="HO211" s="12"/>
      <c r="HP211" s="12"/>
      <c r="HQ211" s="12"/>
      <c r="HR211" s="12"/>
      <c r="HS211" s="12"/>
      <c r="HT211" s="12"/>
      <c r="HU211" s="12"/>
      <c r="HV211" s="12"/>
      <c r="HW211" s="12"/>
      <c r="HX211" s="12"/>
      <c r="HY211" s="12"/>
      <c r="HZ211" s="12"/>
      <c r="IA211" s="12"/>
      <c r="IB211" s="12"/>
      <c r="IC211" s="12"/>
      <c r="ID211" s="12"/>
      <c r="IE211" s="12"/>
      <c r="IF211" s="12"/>
      <c r="IG211" s="12"/>
      <c r="IH211" s="12"/>
      <c r="II211" s="12"/>
      <c r="IJ211" s="12"/>
      <c r="IK211" s="12"/>
      <c r="IL211" s="12"/>
      <c r="IM211" s="12"/>
      <c r="IN211" s="12"/>
      <c r="IO211" s="12"/>
      <c r="IP211" s="12"/>
      <c r="IQ211" s="12"/>
      <c r="IR211" s="12"/>
      <c r="IS211" s="12"/>
      <c r="IT211" s="12"/>
      <c r="IU211" s="12"/>
      <c r="IV211" s="12"/>
      <c r="IW211" s="12"/>
      <c r="IX211" s="12"/>
      <c r="IY211" s="12"/>
      <c r="IZ211" s="12"/>
      <c r="JA211" s="12"/>
      <c r="JB211" s="12"/>
      <c r="JC211" s="12"/>
      <c r="JD211" s="12"/>
      <c r="JE211" s="12"/>
      <c r="JF211" s="12"/>
      <c r="JG211" s="12"/>
      <c r="JH211" s="12"/>
      <c r="JI211" s="12"/>
    </row>
    <row r="212" spans="1:269" s="39" customFormat="1">
      <c r="A212" s="339"/>
      <c r="B212" s="12"/>
      <c r="C212" s="12"/>
      <c r="D212" s="12"/>
      <c r="E212" s="12"/>
      <c r="F212" s="12"/>
      <c r="G212" s="12"/>
      <c r="H212" s="12"/>
      <c r="I212" s="12"/>
      <c r="J212" s="12"/>
      <c r="K212" s="312"/>
      <c r="L212" s="197"/>
      <c r="M212" s="197"/>
      <c r="N212" s="197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44"/>
      <c r="AU212" s="28"/>
      <c r="AV212" s="12"/>
      <c r="AW212" s="12"/>
      <c r="AX212" s="12"/>
      <c r="AY212" s="12"/>
      <c r="AZ212" s="12"/>
      <c r="BA212" s="12"/>
      <c r="BB212" s="12"/>
      <c r="BC212" s="178"/>
      <c r="BD212" s="178"/>
      <c r="BE212" s="178"/>
      <c r="BF212" s="178"/>
      <c r="BG212" s="178"/>
      <c r="BH212" s="178"/>
      <c r="BI212" s="178"/>
      <c r="BJ212" s="178"/>
      <c r="BK212" s="178"/>
      <c r="BL212" s="178"/>
      <c r="BM212" s="178"/>
      <c r="BN212" s="178"/>
      <c r="BO212" s="178"/>
      <c r="BP212" s="178"/>
      <c r="BQ212" s="178"/>
      <c r="BR212" s="178"/>
      <c r="BS212" s="178"/>
      <c r="BT212" s="178"/>
      <c r="BU212" s="178"/>
      <c r="BV212" s="178"/>
      <c r="BW212" s="178"/>
      <c r="BX212" s="178"/>
      <c r="BY212" s="178"/>
      <c r="BZ212" s="178"/>
      <c r="CA212" s="178"/>
      <c r="CB212" s="179"/>
      <c r="CC212" s="178"/>
      <c r="CD212" s="224"/>
      <c r="CE212" s="224"/>
      <c r="CF212" s="178"/>
      <c r="CG212" s="178"/>
      <c r="CH212" s="178"/>
      <c r="CI212" s="178"/>
      <c r="CJ212" s="178"/>
      <c r="CK212" s="601"/>
      <c r="CL212" s="12"/>
      <c r="CM212" s="566"/>
      <c r="CN212" s="566"/>
      <c r="CO212" s="29"/>
      <c r="CP212" s="12"/>
      <c r="CQ212" s="566"/>
      <c r="CR212" s="12"/>
      <c r="CS212" s="566"/>
      <c r="CT212" s="12"/>
      <c r="CU212" s="12"/>
      <c r="CV212" s="12"/>
      <c r="CW212" s="12"/>
      <c r="CX212" s="12"/>
      <c r="CY212" s="566"/>
      <c r="CZ212" s="566"/>
      <c r="DA212" s="12"/>
      <c r="DB212" s="12"/>
      <c r="DC212" s="566"/>
      <c r="DD212" s="566"/>
      <c r="DE212" s="566"/>
      <c r="DF212" s="12"/>
      <c r="DG212" s="566"/>
      <c r="DH212" s="12"/>
      <c r="DI212" s="12"/>
      <c r="DJ212" s="12"/>
      <c r="DK212" s="12"/>
      <c r="DL212" s="231"/>
      <c r="DM212" s="12"/>
      <c r="DN212" s="566"/>
      <c r="DO212" s="566"/>
      <c r="DP212" s="29"/>
      <c r="DQ212" s="566"/>
      <c r="DR212" s="566"/>
      <c r="DS212" s="12"/>
      <c r="DT212" s="566"/>
      <c r="DU212" s="566"/>
      <c r="DV212" s="12"/>
      <c r="DW212" s="566"/>
      <c r="DX212" s="566"/>
      <c r="DY212" s="12"/>
      <c r="DZ212" s="566"/>
      <c r="EA212" s="566"/>
      <c r="EB212" s="12"/>
      <c r="EC212" s="566"/>
      <c r="ED212" s="566"/>
      <c r="EE212" s="12"/>
      <c r="EF212" s="566"/>
      <c r="EG212" s="566"/>
      <c r="EH212" s="12"/>
      <c r="EI212" s="566"/>
      <c r="EJ212" s="566"/>
      <c r="EK212" s="566"/>
      <c r="EL212" s="12"/>
      <c r="EM212" s="12"/>
      <c r="EN212" s="12"/>
      <c r="EO212" s="12"/>
      <c r="EP212" s="12"/>
      <c r="EQ212" s="12"/>
      <c r="ER212" s="12"/>
      <c r="ES212" s="12"/>
      <c r="ET212" s="12"/>
      <c r="EU212" s="12"/>
      <c r="EV212" s="337"/>
      <c r="EW212" s="12"/>
      <c r="EX212" s="12"/>
      <c r="EY212" s="12"/>
      <c r="EZ212" s="12"/>
      <c r="FA212" s="593"/>
      <c r="FB212" s="593"/>
      <c r="FC212" s="593"/>
      <c r="FD212" s="593"/>
      <c r="FE212" s="593"/>
      <c r="FF212" s="593"/>
      <c r="FH212" s="586"/>
      <c r="FI212" s="586"/>
      <c r="FK212" s="12"/>
      <c r="FL212" s="12"/>
      <c r="FM212" s="12"/>
      <c r="FN212" s="12"/>
      <c r="FO212" s="12"/>
      <c r="FP212" s="12"/>
      <c r="FQ212" s="12"/>
      <c r="FR212" s="12"/>
      <c r="FS212" s="12"/>
      <c r="FT212" s="12"/>
      <c r="FU212" s="12"/>
      <c r="FV212" s="12"/>
      <c r="FW212" s="12"/>
      <c r="FX212" s="12"/>
      <c r="FY212" s="12"/>
      <c r="FZ212" s="12"/>
      <c r="GA212" s="12"/>
      <c r="GB212" s="12"/>
      <c r="GC212" s="12"/>
      <c r="GD212" s="12"/>
      <c r="GE212" s="12"/>
      <c r="GF212" s="178"/>
      <c r="GG212" s="618"/>
      <c r="GH212" s="12"/>
      <c r="GI212" s="12"/>
      <c r="GJ212" s="12"/>
      <c r="GK212" s="12"/>
      <c r="GL212" s="12"/>
      <c r="GM212" s="12"/>
      <c r="GN212" s="12"/>
      <c r="GO212" s="12"/>
      <c r="GP212" s="12"/>
      <c r="GQ212" s="12"/>
      <c r="GR212" s="12"/>
      <c r="GS212" s="12"/>
      <c r="GT212" s="12"/>
      <c r="GU212" s="12"/>
      <c r="GV212" s="12"/>
      <c r="GW212" s="12"/>
      <c r="GX212" s="12"/>
      <c r="GY212" s="12"/>
      <c r="GZ212" s="12"/>
      <c r="HA212" s="12"/>
      <c r="HB212" s="645"/>
      <c r="HC212" s="12"/>
      <c r="HD212" s="12"/>
      <c r="HE212" s="12"/>
      <c r="HF212" s="12"/>
      <c r="HG212" s="12"/>
      <c r="HH212" s="12"/>
      <c r="HI212" s="12"/>
      <c r="HJ212" s="12"/>
      <c r="HK212" s="12"/>
      <c r="HL212" s="12"/>
      <c r="HM212" s="12"/>
      <c r="HN212" s="12"/>
      <c r="HO212" s="12"/>
      <c r="HP212" s="12"/>
      <c r="HQ212" s="12"/>
      <c r="HR212" s="12"/>
      <c r="HS212" s="12"/>
      <c r="HT212" s="12"/>
      <c r="HU212" s="12"/>
      <c r="HV212" s="12"/>
      <c r="HW212" s="12"/>
      <c r="HX212" s="12"/>
      <c r="HY212" s="12"/>
      <c r="HZ212" s="12"/>
      <c r="IA212" s="12"/>
      <c r="IB212" s="12"/>
      <c r="IC212" s="12"/>
      <c r="ID212" s="12"/>
      <c r="IE212" s="12"/>
      <c r="IF212" s="12"/>
      <c r="IG212" s="12"/>
      <c r="IH212" s="12"/>
      <c r="II212" s="12"/>
      <c r="IJ212" s="12"/>
      <c r="IK212" s="12"/>
      <c r="IL212" s="12"/>
      <c r="IM212" s="12"/>
      <c r="IN212" s="12"/>
      <c r="IO212" s="12"/>
      <c r="IP212" s="12"/>
      <c r="IQ212" s="12"/>
      <c r="IR212" s="12"/>
      <c r="IS212" s="12"/>
      <c r="IT212" s="12"/>
      <c r="IU212" s="12"/>
      <c r="IV212" s="12"/>
      <c r="IW212" s="12"/>
      <c r="IX212" s="12"/>
      <c r="IY212" s="12"/>
      <c r="IZ212" s="12"/>
      <c r="JA212" s="12"/>
      <c r="JB212" s="12"/>
      <c r="JC212" s="12"/>
      <c r="JD212" s="12"/>
      <c r="JE212" s="12"/>
      <c r="JF212" s="12"/>
      <c r="JG212" s="12"/>
      <c r="JH212" s="12"/>
      <c r="JI212" s="12"/>
    </row>
    <row r="213" spans="1:269" s="39" customFormat="1" ht="15.75" thickBot="1">
      <c r="A213" s="339"/>
      <c r="B213" s="29">
        <v>2011</v>
      </c>
      <c r="C213" s="29">
        <v>2012</v>
      </c>
      <c r="D213" s="29">
        <v>2013</v>
      </c>
      <c r="E213" s="29">
        <v>2014</v>
      </c>
      <c r="F213" s="29">
        <v>2015</v>
      </c>
      <c r="G213" s="12"/>
      <c r="H213" s="12"/>
      <c r="I213" s="12"/>
      <c r="J213" s="12"/>
      <c r="K213" s="312"/>
      <c r="L213" s="197"/>
      <c r="M213" s="197"/>
      <c r="N213" s="197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44"/>
      <c r="AU213" s="28"/>
      <c r="AV213" s="12"/>
      <c r="AW213" s="12"/>
      <c r="AX213" s="12"/>
      <c r="AY213" s="12"/>
      <c r="AZ213" s="12"/>
      <c r="BA213" s="12"/>
      <c r="BB213" s="12"/>
      <c r="BC213" s="178"/>
      <c r="BD213" s="178"/>
      <c r="BE213" s="178"/>
      <c r="BF213" s="178"/>
      <c r="BG213" s="178"/>
      <c r="BH213" s="178"/>
      <c r="BI213" s="178"/>
      <c r="BJ213" s="178"/>
      <c r="BK213" s="178"/>
      <c r="BL213" s="178"/>
      <c r="BM213" s="178"/>
      <c r="BN213" s="178"/>
      <c r="BO213" s="178"/>
      <c r="BP213" s="178"/>
      <c r="BQ213" s="178"/>
      <c r="BR213" s="178"/>
      <c r="BS213" s="178"/>
      <c r="BT213" s="178"/>
      <c r="BU213" s="178"/>
      <c r="BV213" s="178"/>
      <c r="BW213" s="178"/>
      <c r="BX213" s="178"/>
      <c r="BY213" s="178"/>
      <c r="BZ213" s="178"/>
      <c r="CA213" s="178"/>
      <c r="CB213" s="179"/>
      <c r="CC213" s="178"/>
      <c r="CD213" s="224"/>
      <c r="CE213" s="224"/>
      <c r="CF213" s="178"/>
      <c r="CG213" s="178"/>
      <c r="CH213" s="178"/>
      <c r="CI213" s="178"/>
      <c r="CJ213" s="178"/>
      <c r="CK213" s="601"/>
      <c r="CL213" s="12"/>
      <c r="CM213" s="566"/>
      <c r="CN213" s="566"/>
      <c r="CO213" s="29"/>
      <c r="CP213" s="12"/>
      <c r="CQ213" s="566"/>
      <c r="CR213" s="12"/>
      <c r="CS213" s="566"/>
      <c r="CT213" s="12"/>
      <c r="CU213" s="12"/>
      <c r="CV213" s="12"/>
      <c r="CW213" s="12"/>
      <c r="CX213" s="12"/>
      <c r="CY213" s="566"/>
      <c r="CZ213" s="566"/>
      <c r="DA213" s="12"/>
      <c r="DB213" s="12"/>
      <c r="DC213" s="566"/>
      <c r="DD213" s="566"/>
      <c r="DE213" s="566"/>
      <c r="DF213" s="12"/>
      <c r="DG213" s="566"/>
      <c r="DH213" s="12"/>
      <c r="DI213" s="12"/>
      <c r="DJ213" s="12"/>
      <c r="DK213" s="12"/>
      <c r="DL213" s="231"/>
      <c r="DM213" s="12"/>
      <c r="DN213" s="566"/>
      <c r="DO213" s="566"/>
      <c r="DP213" s="29"/>
      <c r="DQ213" s="566"/>
      <c r="DR213" s="566"/>
      <c r="DS213" s="12"/>
      <c r="DT213" s="566"/>
      <c r="DU213" s="566"/>
      <c r="DV213" s="12"/>
      <c r="DW213" s="566"/>
      <c r="DX213" s="566"/>
      <c r="DY213" s="12"/>
      <c r="DZ213" s="566"/>
      <c r="EA213" s="566"/>
      <c r="EB213" s="12"/>
      <c r="EC213" s="566"/>
      <c r="ED213" s="566"/>
      <c r="EE213" s="12"/>
      <c r="EF213" s="566"/>
      <c r="EG213" s="566"/>
      <c r="EH213" s="12"/>
      <c r="EI213" s="566"/>
      <c r="EJ213" s="566"/>
      <c r="EK213" s="566"/>
      <c r="EL213" s="12"/>
      <c r="EM213" s="12"/>
      <c r="EN213" s="12"/>
      <c r="EO213" s="12"/>
      <c r="EP213" s="12"/>
      <c r="EQ213" s="12"/>
      <c r="ER213" s="12"/>
      <c r="ES213" s="12"/>
      <c r="ET213" s="12"/>
      <c r="EU213" s="12"/>
      <c r="EV213" s="337"/>
      <c r="EW213" s="12"/>
      <c r="EX213" s="12"/>
      <c r="EY213" s="12"/>
      <c r="EZ213" s="12"/>
      <c r="FA213" s="593"/>
      <c r="FB213" s="593"/>
      <c r="FC213" s="593"/>
      <c r="FD213" s="593"/>
      <c r="FE213" s="593"/>
      <c r="FF213" s="593"/>
      <c r="FH213" s="586"/>
      <c r="FI213" s="586"/>
      <c r="FK213" s="12"/>
      <c r="FL213" s="12"/>
      <c r="FM213" s="12"/>
      <c r="FN213" s="12"/>
      <c r="FO213" s="12"/>
      <c r="FP213" s="12"/>
      <c r="FQ213" s="12"/>
      <c r="FR213" s="12"/>
      <c r="FS213" s="12"/>
      <c r="FT213" s="12"/>
      <c r="FU213" s="12"/>
      <c r="FV213" s="12"/>
      <c r="FW213" s="12"/>
      <c r="FX213" s="12"/>
      <c r="FY213" s="12"/>
      <c r="FZ213" s="12"/>
      <c r="GA213" s="12"/>
      <c r="GB213" s="12"/>
      <c r="GC213" s="12"/>
      <c r="GD213" s="12"/>
      <c r="GE213" s="12"/>
      <c r="GF213" s="178"/>
      <c r="GG213" s="618"/>
      <c r="GH213" s="12"/>
      <c r="GI213" s="12"/>
      <c r="GJ213" s="12"/>
      <c r="GK213" s="12"/>
      <c r="GL213" s="12"/>
      <c r="GM213" s="12"/>
      <c r="GN213" s="12"/>
      <c r="GO213" s="12"/>
      <c r="GP213" s="12"/>
      <c r="GQ213" s="12"/>
      <c r="GR213" s="12"/>
      <c r="GS213" s="12"/>
      <c r="GT213" s="12"/>
      <c r="GU213" s="12"/>
      <c r="GV213" s="12"/>
      <c r="GW213" s="12"/>
      <c r="GX213" s="12"/>
      <c r="GY213" s="12"/>
      <c r="GZ213" s="12"/>
      <c r="HA213" s="12"/>
      <c r="HB213" s="645"/>
      <c r="HC213" s="12"/>
      <c r="HD213" s="12"/>
      <c r="HE213" s="12"/>
      <c r="HF213" s="12"/>
      <c r="HG213" s="12"/>
      <c r="HH213" s="12"/>
      <c r="HI213" s="12"/>
      <c r="HJ213" s="12"/>
      <c r="HK213" s="12"/>
      <c r="HL213" s="12"/>
      <c r="HM213" s="12"/>
      <c r="HN213" s="12"/>
      <c r="HO213" s="12"/>
      <c r="HP213" s="12"/>
      <c r="HQ213" s="12"/>
      <c r="HR213" s="12"/>
      <c r="HS213" s="12"/>
      <c r="HT213" s="12"/>
      <c r="HU213" s="12"/>
      <c r="HV213" s="12"/>
      <c r="HW213" s="12"/>
      <c r="HX213" s="12"/>
      <c r="HY213" s="12"/>
      <c r="HZ213" s="12"/>
      <c r="IA213" s="12"/>
      <c r="IB213" s="12"/>
      <c r="IC213" s="12"/>
      <c r="ID213" s="12"/>
      <c r="IE213" s="12"/>
      <c r="IF213" s="12"/>
      <c r="IG213" s="12"/>
      <c r="IH213" s="12"/>
      <c r="II213" s="12"/>
      <c r="IJ213" s="12"/>
      <c r="IK213" s="12"/>
      <c r="IL213" s="12"/>
      <c r="IM213" s="12"/>
      <c r="IN213" s="12"/>
      <c r="IO213" s="12"/>
      <c r="IP213" s="12"/>
      <c r="IQ213" s="12"/>
      <c r="IR213" s="12"/>
      <c r="IS213" s="12"/>
      <c r="IT213" s="12"/>
      <c r="IU213" s="12"/>
      <c r="IV213" s="12"/>
      <c r="IW213" s="12"/>
      <c r="IX213" s="12"/>
      <c r="IY213" s="12"/>
      <c r="IZ213" s="12"/>
      <c r="JA213" s="12"/>
      <c r="JB213" s="12"/>
      <c r="JC213" s="12"/>
      <c r="JD213" s="12"/>
      <c r="JE213" s="12"/>
      <c r="JF213" s="12"/>
      <c r="JG213" s="12"/>
      <c r="JH213" s="12"/>
      <c r="JI213" s="12"/>
    </row>
    <row r="214" spans="1:269" s="39" customFormat="1">
      <c r="A214" s="342" t="s">
        <v>65</v>
      </c>
      <c r="B214" s="151">
        <f t="shared" ref="B214:B219" si="289">SUMPRODUCT((Notaire=A214)*(Prog=$B$213))</f>
        <v>0</v>
      </c>
      <c r="C214" s="151">
        <f t="shared" ref="C214:C219" si="290">SUMPRODUCT((Notaire=A214)*(Prog=$C$213))</f>
        <v>0</v>
      </c>
      <c r="D214" s="151">
        <f t="shared" ref="D214:D219" si="291">SUMPRODUCT((Notaire=A214)*(Prog=$D$213))</f>
        <v>0</v>
      </c>
      <c r="E214" s="151">
        <f t="shared" ref="E214:E219" si="292">SUMPRODUCT((Notaire=A214)*(Prog=$E$213))</f>
        <v>2</v>
      </c>
      <c r="F214" s="151">
        <f t="shared" ref="F214:F219" si="293">SUMPRODUCT((Notaire=A214)*(Prog=$F$213))</f>
        <v>1</v>
      </c>
      <c r="G214" s="12"/>
      <c r="H214" s="12"/>
      <c r="I214" s="12"/>
      <c r="J214" s="12"/>
      <c r="K214" s="312"/>
      <c r="L214" s="197"/>
      <c r="M214" s="197"/>
      <c r="N214" s="197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44"/>
      <c r="AU214" s="28"/>
      <c r="AV214" s="12"/>
      <c r="AW214" s="12"/>
      <c r="AX214" s="12"/>
      <c r="AY214" s="12"/>
      <c r="AZ214" s="12"/>
      <c r="BA214" s="12"/>
      <c r="BB214" s="12"/>
      <c r="BC214" s="178"/>
      <c r="BD214" s="178"/>
      <c r="BE214" s="178"/>
      <c r="BF214" s="178"/>
      <c r="BG214" s="178"/>
      <c r="BH214" s="178"/>
      <c r="BI214" s="178"/>
      <c r="BJ214" s="178"/>
      <c r="BK214" s="178"/>
      <c r="BL214" s="178"/>
      <c r="BM214" s="178"/>
      <c r="BN214" s="178"/>
      <c r="BO214" s="178"/>
      <c r="BP214" s="178"/>
      <c r="BQ214" s="178"/>
      <c r="BR214" s="178"/>
      <c r="BS214" s="178"/>
      <c r="BT214" s="178"/>
      <c r="BU214" s="178"/>
      <c r="BV214" s="178"/>
      <c r="BW214" s="178"/>
      <c r="BX214" s="178"/>
      <c r="BY214" s="178"/>
      <c r="BZ214" s="178"/>
      <c r="CA214" s="178"/>
      <c r="CB214" s="179"/>
      <c r="CC214" s="178"/>
      <c r="CD214" s="224"/>
      <c r="CE214" s="224"/>
      <c r="CF214" s="178"/>
      <c r="CG214" s="178"/>
      <c r="CH214" s="178"/>
      <c r="CI214" s="178"/>
      <c r="CJ214" s="178"/>
      <c r="CK214" s="601"/>
      <c r="CL214" s="12"/>
      <c r="CM214" s="566"/>
      <c r="CN214" s="566"/>
      <c r="CO214" s="29"/>
      <c r="CP214" s="12"/>
      <c r="CQ214" s="566"/>
      <c r="CR214" s="12"/>
      <c r="CS214" s="566"/>
      <c r="CT214" s="12"/>
      <c r="CU214" s="12"/>
      <c r="CV214" s="12"/>
      <c r="CW214" s="12"/>
      <c r="CX214" s="12"/>
      <c r="CY214" s="566"/>
      <c r="CZ214" s="566"/>
      <c r="DA214" s="12"/>
      <c r="DB214" s="12"/>
      <c r="DC214" s="566"/>
      <c r="DD214" s="566"/>
      <c r="DE214" s="566"/>
      <c r="DF214" s="12"/>
      <c r="DG214" s="566"/>
      <c r="DH214" s="12"/>
      <c r="DI214" s="12"/>
      <c r="DJ214" s="12"/>
      <c r="DK214" s="12"/>
      <c r="DL214" s="231"/>
      <c r="DM214" s="12"/>
      <c r="DN214" s="566"/>
      <c r="DO214" s="566"/>
      <c r="DP214" s="29"/>
      <c r="DQ214" s="566"/>
      <c r="DR214" s="566"/>
      <c r="DS214" s="12"/>
      <c r="DT214" s="566"/>
      <c r="DU214" s="566"/>
      <c r="DV214" s="12"/>
      <c r="DW214" s="566"/>
      <c r="DX214" s="566"/>
      <c r="DY214" s="12"/>
      <c r="DZ214" s="566"/>
      <c r="EA214" s="566"/>
      <c r="EB214" s="12"/>
      <c r="EC214" s="566"/>
      <c r="ED214" s="566"/>
      <c r="EE214" s="12"/>
      <c r="EF214" s="566"/>
      <c r="EG214" s="566"/>
      <c r="EH214" s="12"/>
      <c r="EI214" s="566"/>
      <c r="EJ214" s="566"/>
      <c r="EK214" s="566"/>
      <c r="EL214" s="12"/>
      <c r="EM214" s="12"/>
      <c r="EN214" s="12"/>
      <c r="EO214" s="12"/>
      <c r="EP214" s="12"/>
      <c r="EQ214" s="12"/>
      <c r="ER214" s="12"/>
      <c r="ES214" s="12"/>
      <c r="ET214" s="12"/>
      <c r="EU214" s="12"/>
      <c r="EV214" s="337"/>
      <c r="EW214" s="12"/>
      <c r="EX214" s="12"/>
      <c r="EY214" s="12"/>
      <c r="EZ214" s="12"/>
      <c r="FA214" s="593"/>
      <c r="FB214" s="593"/>
      <c r="FC214" s="593"/>
      <c r="FD214" s="593"/>
      <c r="FE214" s="593"/>
      <c r="FF214" s="593"/>
      <c r="FH214" s="586"/>
      <c r="FI214" s="586"/>
      <c r="FK214" s="12"/>
      <c r="FL214" s="12"/>
      <c r="FM214" s="12"/>
      <c r="FN214" s="12"/>
      <c r="FO214" s="12"/>
      <c r="FP214" s="12"/>
      <c r="FQ214" s="12"/>
      <c r="FR214" s="12"/>
      <c r="FS214" s="12"/>
      <c r="FT214" s="12"/>
      <c r="FU214" s="12"/>
      <c r="FV214" s="12"/>
      <c r="FW214" s="12"/>
      <c r="FX214" s="12"/>
      <c r="FY214" s="12"/>
      <c r="FZ214" s="12"/>
      <c r="GA214" s="12"/>
      <c r="GB214" s="12"/>
      <c r="GC214" s="12"/>
      <c r="GD214" s="12"/>
      <c r="GE214" s="12"/>
      <c r="GF214" s="178"/>
      <c r="GG214" s="618"/>
      <c r="GH214" s="12"/>
      <c r="GI214" s="12"/>
      <c r="GJ214" s="12"/>
      <c r="GK214" s="12"/>
      <c r="GL214" s="12"/>
      <c r="GM214" s="12"/>
      <c r="GN214" s="12"/>
      <c r="GO214" s="12"/>
      <c r="GP214" s="12"/>
      <c r="GQ214" s="12"/>
      <c r="GR214" s="12"/>
      <c r="GS214" s="12"/>
      <c r="GT214" s="12"/>
      <c r="GU214" s="12"/>
      <c r="GV214" s="12"/>
      <c r="GW214" s="12"/>
      <c r="GX214" s="12"/>
      <c r="GY214" s="12"/>
      <c r="GZ214" s="12"/>
      <c r="HA214" s="12"/>
      <c r="HB214" s="645"/>
      <c r="HC214" s="12"/>
      <c r="HD214" s="12"/>
      <c r="HE214" s="12"/>
      <c r="HF214" s="12"/>
      <c r="HG214" s="12"/>
      <c r="HH214" s="12"/>
      <c r="HI214" s="12"/>
      <c r="HJ214" s="12"/>
      <c r="HK214" s="12"/>
      <c r="HL214" s="12"/>
      <c r="HM214" s="12"/>
      <c r="HN214" s="12"/>
      <c r="HO214" s="12"/>
      <c r="HP214" s="12"/>
      <c r="HQ214" s="12"/>
      <c r="HR214" s="12"/>
      <c r="HS214" s="12"/>
      <c r="HT214" s="12"/>
      <c r="HU214" s="12"/>
      <c r="HV214" s="12"/>
      <c r="HW214" s="12"/>
      <c r="HX214" s="12"/>
      <c r="HY214" s="12"/>
      <c r="HZ214" s="12"/>
      <c r="IA214" s="12"/>
      <c r="IB214" s="12"/>
      <c r="IC214" s="12"/>
      <c r="ID214" s="12"/>
      <c r="IE214" s="12"/>
      <c r="IF214" s="12"/>
      <c r="IG214" s="12"/>
      <c r="IH214" s="12"/>
      <c r="II214" s="12"/>
      <c r="IJ214" s="12"/>
      <c r="IK214" s="12"/>
      <c r="IL214" s="12"/>
      <c r="IM214" s="12"/>
      <c r="IN214" s="12"/>
      <c r="IO214" s="12"/>
      <c r="IP214" s="12"/>
      <c r="IQ214" s="12"/>
      <c r="IR214" s="12"/>
      <c r="IS214" s="12"/>
      <c r="IT214" s="12"/>
      <c r="IU214" s="12"/>
      <c r="IV214" s="12"/>
      <c r="IW214" s="12"/>
      <c r="IX214" s="12"/>
      <c r="IY214" s="12"/>
      <c r="IZ214" s="12"/>
      <c r="JA214" s="12"/>
      <c r="JB214" s="12"/>
      <c r="JC214" s="12"/>
      <c r="JD214" s="12"/>
      <c r="JE214" s="12"/>
      <c r="JF214" s="12"/>
      <c r="JG214" s="12"/>
      <c r="JH214" s="12"/>
      <c r="JI214" s="12"/>
    </row>
    <row r="215" spans="1:269" s="39" customFormat="1">
      <c r="A215" s="343" t="s">
        <v>179</v>
      </c>
      <c r="B215" s="152">
        <f t="shared" si="289"/>
        <v>1</v>
      </c>
      <c r="C215" s="152">
        <f t="shared" si="290"/>
        <v>0</v>
      </c>
      <c r="D215" s="152">
        <f t="shared" si="291"/>
        <v>0</v>
      </c>
      <c r="E215" s="152">
        <f t="shared" si="292"/>
        <v>0</v>
      </c>
      <c r="F215" s="152">
        <f t="shared" si="293"/>
        <v>0</v>
      </c>
      <c r="G215" s="12"/>
      <c r="H215" s="12"/>
      <c r="I215" s="12"/>
      <c r="J215" s="12"/>
      <c r="K215" s="312"/>
      <c r="L215" s="197"/>
      <c r="M215" s="197"/>
      <c r="N215" s="197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44"/>
      <c r="AU215" s="28"/>
      <c r="AV215" s="12"/>
      <c r="AW215" s="12"/>
      <c r="AX215" s="12"/>
      <c r="AY215" s="12"/>
      <c r="AZ215" s="12"/>
      <c r="BA215" s="12"/>
      <c r="BB215" s="12"/>
      <c r="BC215" s="178"/>
      <c r="BD215" s="178"/>
      <c r="BE215" s="178"/>
      <c r="BF215" s="178"/>
      <c r="BG215" s="178"/>
      <c r="BH215" s="178"/>
      <c r="BI215" s="178"/>
      <c r="BJ215" s="178"/>
      <c r="BK215" s="178"/>
      <c r="BL215" s="178"/>
      <c r="BM215" s="178"/>
      <c r="BN215" s="178"/>
      <c r="BO215" s="178"/>
      <c r="BP215" s="178"/>
      <c r="BQ215" s="178"/>
      <c r="BR215" s="178"/>
      <c r="BS215" s="178"/>
      <c r="BT215" s="178"/>
      <c r="BU215" s="178"/>
      <c r="BV215" s="178"/>
      <c r="BW215" s="178"/>
      <c r="BX215" s="178"/>
      <c r="BY215" s="178"/>
      <c r="BZ215" s="178"/>
      <c r="CA215" s="178"/>
      <c r="CB215" s="179"/>
      <c r="CC215" s="178"/>
      <c r="CD215" s="224"/>
      <c r="CE215" s="224"/>
      <c r="CF215" s="178"/>
      <c r="CG215" s="178"/>
      <c r="CH215" s="178"/>
      <c r="CI215" s="178"/>
      <c r="CJ215" s="178"/>
      <c r="CK215" s="601"/>
      <c r="CL215" s="12"/>
      <c r="CM215" s="566"/>
      <c r="CN215" s="566"/>
      <c r="CO215" s="29"/>
      <c r="CP215" s="12"/>
      <c r="CQ215" s="566"/>
      <c r="CR215" s="12"/>
      <c r="CS215" s="566"/>
      <c r="CT215" s="12"/>
      <c r="CU215" s="12"/>
      <c r="CV215" s="12"/>
      <c r="CW215" s="12"/>
      <c r="CX215" s="12"/>
      <c r="CY215" s="566"/>
      <c r="CZ215" s="566"/>
      <c r="DA215" s="12"/>
      <c r="DB215" s="12"/>
      <c r="DC215" s="566"/>
      <c r="DD215" s="566"/>
      <c r="DE215" s="566"/>
      <c r="DF215" s="12"/>
      <c r="DG215" s="566"/>
      <c r="DH215" s="12"/>
      <c r="DI215" s="12"/>
      <c r="DJ215" s="12"/>
      <c r="DK215" s="12"/>
      <c r="DL215" s="231"/>
      <c r="DM215" s="12"/>
      <c r="DN215" s="566"/>
      <c r="DO215" s="566"/>
      <c r="DP215" s="29"/>
      <c r="DQ215" s="566"/>
      <c r="DR215" s="566"/>
      <c r="DS215" s="12"/>
      <c r="DT215" s="566"/>
      <c r="DU215" s="566"/>
      <c r="DV215" s="12"/>
      <c r="DW215" s="566"/>
      <c r="DX215" s="566"/>
      <c r="DY215" s="12"/>
      <c r="DZ215" s="566"/>
      <c r="EA215" s="566"/>
      <c r="EB215" s="12"/>
      <c r="EC215" s="566"/>
      <c r="ED215" s="566"/>
      <c r="EE215" s="12"/>
      <c r="EF215" s="566"/>
      <c r="EG215" s="566"/>
      <c r="EH215" s="12"/>
      <c r="EI215" s="566"/>
      <c r="EJ215" s="566"/>
      <c r="EK215" s="566"/>
      <c r="EL215" s="12"/>
      <c r="EM215" s="12"/>
      <c r="EN215" s="12"/>
      <c r="EO215" s="12"/>
      <c r="EP215" s="12"/>
      <c r="EQ215" s="12"/>
      <c r="ER215" s="12"/>
      <c r="ES215" s="12"/>
      <c r="ET215" s="12"/>
      <c r="EU215" s="12"/>
      <c r="EV215" s="337"/>
      <c r="EW215" s="12"/>
      <c r="EX215" s="12"/>
      <c r="EY215" s="12"/>
      <c r="EZ215" s="12"/>
      <c r="FA215" s="593"/>
      <c r="FB215" s="593"/>
      <c r="FC215" s="593"/>
      <c r="FD215" s="593"/>
      <c r="FE215" s="593"/>
      <c r="FF215" s="593"/>
      <c r="FH215" s="586"/>
      <c r="FI215" s="586"/>
      <c r="FK215" s="12"/>
      <c r="FL215" s="12"/>
      <c r="FM215" s="12"/>
      <c r="FN215" s="12"/>
      <c r="FO215" s="12"/>
      <c r="FP215" s="12"/>
      <c r="FQ215" s="12"/>
      <c r="FR215" s="12"/>
      <c r="FS215" s="12"/>
      <c r="FT215" s="12"/>
      <c r="FU215" s="12"/>
      <c r="FV215" s="12"/>
      <c r="FW215" s="12"/>
      <c r="FX215" s="12"/>
      <c r="FY215" s="12"/>
      <c r="FZ215" s="12"/>
      <c r="GA215" s="12"/>
      <c r="GB215" s="12"/>
      <c r="GC215" s="12"/>
      <c r="GD215" s="12"/>
      <c r="GE215" s="12"/>
      <c r="GF215" s="178"/>
      <c r="GG215" s="618"/>
      <c r="GH215" s="12"/>
      <c r="GI215" s="12"/>
      <c r="GJ215" s="12"/>
      <c r="GK215" s="12"/>
      <c r="GL215" s="12"/>
      <c r="GM215" s="12"/>
      <c r="GN215" s="12"/>
      <c r="GO215" s="12"/>
      <c r="GP215" s="12"/>
      <c r="GQ215" s="12"/>
      <c r="GR215" s="12"/>
      <c r="GS215" s="12"/>
      <c r="GT215" s="12"/>
      <c r="GU215" s="12"/>
      <c r="GV215" s="12"/>
      <c r="GW215" s="12"/>
      <c r="GX215" s="12"/>
      <c r="GY215" s="12"/>
      <c r="GZ215" s="12"/>
      <c r="HA215" s="12"/>
      <c r="HB215" s="645"/>
      <c r="HC215" s="12"/>
      <c r="HD215" s="12"/>
      <c r="HE215" s="12"/>
      <c r="HF215" s="12"/>
      <c r="HG215" s="12"/>
      <c r="HH215" s="12"/>
      <c r="HI215" s="12"/>
      <c r="HJ215" s="12"/>
      <c r="HK215" s="12"/>
      <c r="HL215" s="12"/>
      <c r="HM215" s="12"/>
      <c r="HN215" s="12"/>
      <c r="HO215" s="12"/>
      <c r="HP215" s="12"/>
      <c r="HQ215" s="12"/>
      <c r="HR215" s="12"/>
      <c r="HS215" s="12"/>
      <c r="HT215" s="12"/>
      <c r="HU215" s="12"/>
      <c r="HV215" s="12"/>
      <c r="HW215" s="12"/>
      <c r="HX215" s="12"/>
      <c r="HY215" s="12"/>
      <c r="HZ215" s="12"/>
      <c r="IA215" s="12"/>
      <c r="IB215" s="12"/>
      <c r="IC215" s="12"/>
      <c r="ID215" s="12"/>
      <c r="IE215" s="12"/>
      <c r="IF215" s="12"/>
      <c r="IG215" s="12"/>
      <c r="IH215" s="12"/>
      <c r="II215" s="12"/>
      <c r="IJ215" s="12"/>
      <c r="IK215" s="12"/>
      <c r="IL215" s="12"/>
      <c r="IM215" s="12"/>
      <c r="IN215" s="12"/>
      <c r="IO215" s="12"/>
      <c r="IP215" s="12"/>
      <c r="IQ215" s="12"/>
      <c r="IR215" s="12"/>
      <c r="IS215" s="12"/>
      <c r="IT215" s="12"/>
      <c r="IU215" s="12"/>
      <c r="IV215" s="12"/>
      <c r="IW215" s="12"/>
      <c r="IX215" s="12"/>
      <c r="IY215" s="12"/>
      <c r="IZ215" s="12"/>
      <c r="JA215" s="12"/>
      <c r="JB215" s="12"/>
      <c r="JC215" s="12"/>
      <c r="JD215" s="12"/>
      <c r="JE215" s="12"/>
      <c r="JF215" s="12"/>
      <c r="JG215" s="12"/>
      <c r="JH215" s="12"/>
      <c r="JI215" s="12"/>
    </row>
    <row r="216" spans="1:269" s="39" customFormat="1">
      <c r="A216" s="343" t="s">
        <v>142</v>
      </c>
      <c r="B216" s="152">
        <f t="shared" si="289"/>
        <v>1</v>
      </c>
      <c r="C216" s="152">
        <f t="shared" si="290"/>
        <v>3</v>
      </c>
      <c r="D216" s="152">
        <f t="shared" si="291"/>
        <v>3</v>
      </c>
      <c r="E216" s="152">
        <f t="shared" si="292"/>
        <v>1</v>
      </c>
      <c r="F216" s="152">
        <f t="shared" si="293"/>
        <v>3</v>
      </c>
      <c r="G216" s="12"/>
      <c r="H216" s="12"/>
      <c r="I216" s="12"/>
      <c r="J216" s="12"/>
      <c r="K216" s="312"/>
      <c r="L216" s="197"/>
      <c r="M216" s="197"/>
      <c r="N216" s="197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44"/>
      <c r="AU216" s="28"/>
      <c r="AV216" s="12"/>
      <c r="AW216" s="12"/>
      <c r="AX216" s="12"/>
      <c r="AY216" s="12"/>
      <c r="AZ216" s="12"/>
      <c r="BA216" s="12"/>
      <c r="BB216" s="12"/>
      <c r="BC216" s="178"/>
      <c r="BD216" s="178"/>
      <c r="BE216" s="178"/>
      <c r="BF216" s="178"/>
      <c r="BG216" s="178"/>
      <c r="BH216" s="178"/>
      <c r="BI216" s="178"/>
      <c r="BJ216" s="178"/>
      <c r="BK216" s="178"/>
      <c r="BL216" s="178"/>
      <c r="BM216" s="178"/>
      <c r="BN216" s="178"/>
      <c r="BO216" s="178"/>
      <c r="BP216" s="178"/>
      <c r="BQ216" s="178"/>
      <c r="BR216" s="178"/>
      <c r="BS216" s="178"/>
      <c r="BT216" s="178"/>
      <c r="BU216" s="178"/>
      <c r="BV216" s="178"/>
      <c r="BW216" s="178"/>
      <c r="BX216" s="178"/>
      <c r="BY216" s="178"/>
      <c r="BZ216" s="178"/>
      <c r="CA216" s="178"/>
      <c r="CB216" s="179"/>
      <c r="CC216" s="178"/>
      <c r="CD216" s="224"/>
      <c r="CE216" s="224"/>
      <c r="CF216" s="178"/>
      <c r="CG216" s="178"/>
      <c r="CH216" s="178"/>
      <c r="CI216" s="178"/>
      <c r="CJ216" s="178"/>
      <c r="CK216" s="601"/>
      <c r="CL216" s="12"/>
      <c r="CM216" s="566"/>
      <c r="CN216" s="566"/>
      <c r="CO216" s="29"/>
      <c r="CP216" s="12"/>
      <c r="CQ216" s="566"/>
      <c r="CR216" s="12"/>
      <c r="CS216" s="566"/>
      <c r="CT216" s="12"/>
      <c r="CU216" s="12"/>
      <c r="CV216" s="12"/>
      <c r="CW216" s="12"/>
      <c r="CX216" s="12"/>
      <c r="CY216" s="566"/>
      <c r="CZ216" s="566"/>
      <c r="DA216" s="12"/>
      <c r="DB216" s="12"/>
      <c r="DC216" s="566"/>
      <c r="DD216" s="566"/>
      <c r="DE216" s="566"/>
      <c r="DF216" s="12"/>
      <c r="DG216" s="566"/>
      <c r="DH216" s="12"/>
      <c r="DI216" s="12"/>
      <c r="DJ216" s="12"/>
      <c r="DK216" s="12"/>
      <c r="DL216" s="231"/>
      <c r="DM216" s="12"/>
      <c r="DN216" s="566"/>
      <c r="DO216" s="566"/>
      <c r="DP216" s="29"/>
      <c r="DQ216" s="566"/>
      <c r="DR216" s="566"/>
      <c r="DS216" s="12"/>
      <c r="DT216" s="566"/>
      <c r="DU216" s="566"/>
      <c r="DV216" s="12"/>
      <c r="DW216" s="566"/>
      <c r="DX216" s="566"/>
      <c r="DY216" s="12"/>
      <c r="DZ216" s="566"/>
      <c r="EA216" s="566"/>
      <c r="EB216" s="12"/>
      <c r="EC216" s="566"/>
      <c r="ED216" s="566"/>
      <c r="EE216" s="12"/>
      <c r="EF216" s="566"/>
      <c r="EG216" s="566"/>
      <c r="EH216" s="12"/>
      <c r="EI216" s="566"/>
      <c r="EJ216" s="566"/>
      <c r="EK216" s="566"/>
      <c r="EL216" s="12"/>
      <c r="EM216" s="12"/>
      <c r="EN216" s="12"/>
      <c r="EO216" s="12"/>
      <c r="EP216" s="12"/>
      <c r="EQ216" s="12"/>
      <c r="ER216" s="12"/>
      <c r="ES216" s="12"/>
      <c r="ET216" s="12"/>
      <c r="EU216" s="12"/>
      <c r="EV216" s="337"/>
      <c r="EW216" s="12"/>
      <c r="EX216" s="12"/>
      <c r="EY216" s="12"/>
      <c r="EZ216" s="12"/>
      <c r="FA216" s="593"/>
      <c r="FB216" s="593"/>
      <c r="FC216" s="593"/>
      <c r="FD216" s="593"/>
      <c r="FE216" s="593"/>
      <c r="FF216" s="593"/>
      <c r="FH216" s="586"/>
      <c r="FI216" s="586"/>
      <c r="FK216" s="12"/>
      <c r="FL216" s="12"/>
      <c r="FM216" s="12"/>
      <c r="FN216" s="12"/>
      <c r="FO216" s="12"/>
      <c r="FP216" s="12"/>
      <c r="FQ216" s="12"/>
      <c r="FR216" s="12"/>
      <c r="FS216" s="12"/>
      <c r="FT216" s="12"/>
      <c r="FU216" s="12"/>
      <c r="FV216" s="12"/>
      <c r="FW216" s="12"/>
      <c r="FX216" s="12"/>
      <c r="FY216" s="12"/>
      <c r="FZ216" s="12"/>
      <c r="GA216" s="12"/>
      <c r="GB216" s="12"/>
      <c r="GC216" s="12"/>
      <c r="GD216" s="12"/>
      <c r="GE216" s="12"/>
      <c r="GF216" s="178"/>
      <c r="GG216" s="618"/>
      <c r="GH216" s="12"/>
      <c r="GI216" s="12"/>
      <c r="GJ216" s="12"/>
      <c r="GK216" s="12"/>
      <c r="GL216" s="12"/>
      <c r="GM216" s="12"/>
      <c r="GN216" s="12"/>
      <c r="GO216" s="12"/>
      <c r="GP216" s="12"/>
      <c r="GQ216" s="12"/>
      <c r="GR216" s="12"/>
      <c r="GS216" s="12"/>
      <c r="GT216" s="12"/>
      <c r="GU216" s="12"/>
      <c r="GV216" s="12"/>
      <c r="GW216" s="12"/>
      <c r="GX216" s="12"/>
      <c r="GY216" s="12"/>
      <c r="GZ216" s="12"/>
      <c r="HA216" s="12"/>
      <c r="HB216" s="645"/>
      <c r="HC216" s="12"/>
      <c r="HD216" s="12"/>
      <c r="HE216" s="12"/>
      <c r="HF216" s="12"/>
      <c r="HG216" s="12"/>
      <c r="HH216" s="12"/>
      <c r="HI216" s="12"/>
      <c r="HJ216" s="12"/>
      <c r="HK216" s="12"/>
      <c r="HL216" s="12"/>
      <c r="HM216" s="12"/>
      <c r="HN216" s="12"/>
      <c r="HO216" s="12"/>
      <c r="HP216" s="12"/>
      <c r="HQ216" s="12"/>
      <c r="HR216" s="12"/>
      <c r="HS216" s="12"/>
      <c r="HT216" s="12"/>
      <c r="HU216" s="12"/>
      <c r="HV216" s="12"/>
      <c r="HW216" s="12"/>
      <c r="HX216" s="12"/>
      <c r="HY216" s="12"/>
      <c r="HZ216" s="12"/>
      <c r="IA216" s="12"/>
      <c r="IB216" s="12"/>
      <c r="IC216" s="12"/>
      <c r="ID216" s="12"/>
      <c r="IE216" s="12"/>
      <c r="IF216" s="12"/>
      <c r="IG216" s="12"/>
      <c r="IH216" s="12"/>
      <c r="II216" s="12"/>
      <c r="IJ216" s="12"/>
      <c r="IK216" s="12"/>
      <c r="IL216" s="12"/>
      <c r="IM216" s="12"/>
      <c r="IN216" s="12"/>
      <c r="IO216" s="12"/>
      <c r="IP216" s="12"/>
      <c r="IQ216" s="12"/>
      <c r="IR216" s="12"/>
      <c r="IS216" s="12"/>
      <c r="IT216" s="12"/>
      <c r="IU216" s="12"/>
      <c r="IV216" s="12"/>
      <c r="IW216" s="12"/>
      <c r="IX216" s="12"/>
      <c r="IY216" s="12"/>
      <c r="IZ216" s="12"/>
      <c r="JA216" s="12"/>
      <c r="JB216" s="12"/>
      <c r="JC216" s="12"/>
      <c r="JD216" s="12"/>
      <c r="JE216" s="12"/>
      <c r="JF216" s="12"/>
      <c r="JG216" s="12"/>
      <c r="JH216" s="12"/>
      <c r="JI216" s="12"/>
    </row>
    <row r="217" spans="1:269" s="39" customFormat="1">
      <c r="A217" s="343" t="s">
        <v>136</v>
      </c>
      <c r="B217" s="152">
        <f t="shared" si="289"/>
        <v>1</v>
      </c>
      <c r="C217" s="152">
        <f t="shared" si="290"/>
        <v>1</v>
      </c>
      <c r="D217" s="152">
        <f t="shared" si="291"/>
        <v>2</v>
      </c>
      <c r="E217" s="152">
        <f t="shared" si="292"/>
        <v>1</v>
      </c>
      <c r="F217" s="152">
        <f t="shared" si="293"/>
        <v>0</v>
      </c>
      <c r="G217" s="12"/>
      <c r="H217" s="12"/>
      <c r="I217" s="12"/>
      <c r="J217" s="12"/>
      <c r="K217" s="312"/>
      <c r="L217" s="197"/>
      <c r="M217" s="197"/>
      <c r="N217" s="197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44"/>
      <c r="AU217" s="28"/>
      <c r="AV217" s="12"/>
      <c r="AW217" s="12"/>
      <c r="AX217" s="12"/>
      <c r="AY217" s="12"/>
      <c r="AZ217" s="12"/>
      <c r="BA217" s="12"/>
      <c r="BB217" s="12"/>
      <c r="BC217" s="178"/>
      <c r="BD217" s="178"/>
      <c r="BE217" s="178"/>
      <c r="BF217" s="178"/>
      <c r="BG217" s="178"/>
      <c r="BH217" s="178"/>
      <c r="BI217" s="178"/>
      <c r="BJ217" s="178"/>
      <c r="BK217" s="178"/>
      <c r="BL217" s="178"/>
      <c r="BM217" s="178"/>
      <c r="BN217" s="178"/>
      <c r="BO217" s="178"/>
      <c r="BP217" s="178"/>
      <c r="BQ217" s="178"/>
      <c r="BR217" s="178"/>
      <c r="BS217" s="178"/>
      <c r="BT217" s="178"/>
      <c r="BU217" s="178"/>
      <c r="BV217" s="178"/>
      <c r="BW217" s="178"/>
      <c r="BX217" s="178"/>
      <c r="BY217" s="178"/>
      <c r="BZ217" s="178"/>
      <c r="CA217" s="178"/>
      <c r="CB217" s="179"/>
      <c r="CC217" s="178"/>
      <c r="CD217" s="224"/>
      <c r="CE217" s="224"/>
      <c r="CF217" s="178"/>
      <c r="CG217" s="178"/>
      <c r="CH217" s="178"/>
      <c r="CI217" s="178"/>
      <c r="CJ217" s="178"/>
      <c r="CK217" s="601"/>
      <c r="CL217" s="12"/>
      <c r="CM217" s="566"/>
      <c r="CN217" s="566"/>
      <c r="CO217" s="29"/>
      <c r="CP217" s="12"/>
      <c r="CQ217" s="566"/>
      <c r="CR217" s="12"/>
      <c r="CS217" s="566"/>
      <c r="CT217" s="12"/>
      <c r="CU217" s="12"/>
      <c r="CV217" s="12"/>
      <c r="CW217" s="12"/>
      <c r="CX217" s="12"/>
      <c r="CY217" s="566"/>
      <c r="CZ217" s="566"/>
      <c r="DA217" s="12"/>
      <c r="DB217" s="12"/>
      <c r="DC217" s="566"/>
      <c r="DD217" s="566"/>
      <c r="DE217" s="566"/>
      <c r="DF217" s="12"/>
      <c r="DG217" s="566"/>
      <c r="DH217" s="12"/>
      <c r="DI217" s="12"/>
      <c r="DJ217" s="12"/>
      <c r="DK217" s="12"/>
      <c r="DL217" s="231"/>
      <c r="DM217" s="12"/>
      <c r="DN217" s="566"/>
      <c r="DO217" s="566"/>
      <c r="DP217" s="29"/>
      <c r="DQ217" s="566"/>
      <c r="DR217" s="566"/>
      <c r="DS217" s="12"/>
      <c r="DT217" s="566"/>
      <c r="DU217" s="566"/>
      <c r="DV217" s="12"/>
      <c r="DW217" s="566"/>
      <c r="DX217" s="566"/>
      <c r="DY217" s="12"/>
      <c r="DZ217" s="566"/>
      <c r="EA217" s="566"/>
      <c r="EB217" s="12"/>
      <c r="EC217" s="566"/>
      <c r="ED217" s="566"/>
      <c r="EE217" s="12"/>
      <c r="EF217" s="566"/>
      <c r="EG217" s="566"/>
      <c r="EH217" s="12"/>
      <c r="EI217" s="566"/>
      <c r="EJ217" s="566"/>
      <c r="EK217" s="566"/>
      <c r="EL217" s="12"/>
      <c r="EM217" s="12"/>
      <c r="EN217" s="12"/>
      <c r="EO217" s="12"/>
      <c r="EP217" s="12"/>
      <c r="EQ217" s="12"/>
      <c r="ER217" s="12"/>
      <c r="ES217" s="12"/>
      <c r="ET217" s="12"/>
      <c r="EU217" s="12"/>
      <c r="EV217" s="337"/>
      <c r="EW217" s="12"/>
      <c r="EX217" s="12"/>
      <c r="EY217" s="12"/>
      <c r="EZ217" s="12"/>
      <c r="FA217" s="593"/>
      <c r="FB217" s="593"/>
      <c r="FC217" s="593"/>
      <c r="FD217" s="593"/>
      <c r="FE217" s="593"/>
      <c r="FF217" s="593"/>
      <c r="FH217" s="586"/>
      <c r="FI217" s="586"/>
      <c r="FK217" s="12"/>
      <c r="FL217" s="12"/>
      <c r="FM217" s="12"/>
      <c r="FN217" s="12"/>
      <c r="FO217" s="12"/>
      <c r="FP217" s="12"/>
      <c r="FQ217" s="12"/>
      <c r="FR217" s="12"/>
      <c r="FS217" s="12"/>
      <c r="FT217" s="12"/>
      <c r="FU217" s="12"/>
      <c r="FV217" s="12"/>
      <c r="FW217" s="12"/>
      <c r="FX217" s="12"/>
      <c r="FY217" s="12"/>
      <c r="FZ217" s="12"/>
      <c r="GA217" s="12"/>
      <c r="GB217" s="12"/>
      <c r="GC217" s="12"/>
      <c r="GD217" s="12"/>
      <c r="GE217" s="12"/>
      <c r="GF217" s="178"/>
      <c r="GG217" s="618"/>
      <c r="GH217" s="12"/>
      <c r="GI217" s="12"/>
      <c r="GJ217" s="12"/>
      <c r="GK217" s="12"/>
      <c r="GL217" s="12"/>
      <c r="GM217" s="12"/>
      <c r="GN217" s="12"/>
      <c r="GO217" s="12"/>
      <c r="GP217" s="12"/>
      <c r="GQ217" s="12"/>
      <c r="GR217" s="12"/>
      <c r="GS217" s="12"/>
      <c r="GT217" s="12"/>
      <c r="GU217" s="12"/>
      <c r="GV217" s="12"/>
      <c r="GW217" s="12"/>
      <c r="GX217" s="12"/>
      <c r="GY217" s="12"/>
      <c r="GZ217" s="12"/>
      <c r="HA217" s="12"/>
      <c r="HB217" s="645"/>
      <c r="HC217" s="12"/>
      <c r="HD217" s="12"/>
      <c r="HE217" s="12"/>
      <c r="HF217" s="12"/>
      <c r="HG217" s="12"/>
      <c r="HH217" s="12"/>
      <c r="HI217" s="12"/>
      <c r="HJ217" s="12"/>
      <c r="HK217" s="12"/>
      <c r="HL217" s="12"/>
      <c r="HM217" s="12"/>
      <c r="HN217" s="12"/>
      <c r="HO217" s="12"/>
      <c r="HP217" s="12"/>
      <c r="HQ217" s="12"/>
      <c r="HR217" s="12"/>
      <c r="HS217" s="12"/>
      <c r="HT217" s="12"/>
      <c r="HU217" s="12"/>
      <c r="HV217" s="12"/>
      <c r="HW217" s="12"/>
      <c r="HX217" s="12"/>
      <c r="HY217" s="12"/>
      <c r="HZ217" s="12"/>
      <c r="IA217" s="12"/>
      <c r="IB217" s="12"/>
      <c r="IC217" s="12"/>
      <c r="ID217" s="12"/>
      <c r="IE217" s="12"/>
      <c r="IF217" s="12"/>
      <c r="IG217" s="12"/>
      <c r="IH217" s="12"/>
      <c r="II217" s="12"/>
      <c r="IJ217" s="12"/>
      <c r="IK217" s="12"/>
      <c r="IL217" s="12"/>
      <c r="IM217" s="12"/>
      <c r="IN217" s="12"/>
      <c r="IO217" s="12"/>
      <c r="IP217" s="12"/>
      <c r="IQ217" s="12"/>
      <c r="IR217" s="12"/>
      <c r="IS217" s="12"/>
      <c r="IT217" s="12"/>
      <c r="IU217" s="12"/>
      <c r="IV217" s="12"/>
      <c r="IW217" s="12"/>
      <c r="IX217" s="12"/>
      <c r="IY217" s="12"/>
      <c r="IZ217" s="12"/>
      <c r="JA217" s="12"/>
      <c r="JB217" s="12"/>
      <c r="JC217" s="12"/>
      <c r="JD217" s="12"/>
      <c r="JE217" s="12"/>
      <c r="JF217" s="12"/>
      <c r="JG217" s="12"/>
      <c r="JH217" s="12"/>
      <c r="JI217" s="12"/>
    </row>
    <row r="218" spans="1:269" s="39" customFormat="1">
      <c r="A218" s="343" t="s">
        <v>69</v>
      </c>
      <c r="B218" s="152">
        <f t="shared" si="289"/>
        <v>1</v>
      </c>
      <c r="C218" s="152">
        <f t="shared" si="290"/>
        <v>4</v>
      </c>
      <c r="D218" s="152">
        <f t="shared" si="291"/>
        <v>2</v>
      </c>
      <c r="E218" s="152">
        <f t="shared" si="292"/>
        <v>1</v>
      </c>
      <c r="F218" s="152">
        <f t="shared" si="293"/>
        <v>2</v>
      </c>
      <c r="G218" s="12"/>
      <c r="H218" s="12"/>
      <c r="I218" s="12"/>
      <c r="J218" s="12"/>
      <c r="K218" s="312"/>
      <c r="L218" s="197"/>
      <c r="M218" s="197"/>
      <c r="N218" s="197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44"/>
      <c r="AU218" s="28"/>
      <c r="AV218" s="12"/>
      <c r="AW218" s="12"/>
      <c r="AX218" s="12"/>
      <c r="AY218" s="12"/>
      <c r="AZ218" s="12"/>
      <c r="BA218" s="12"/>
      <c r="BB218" s="12"/>
      <c r="BC218" s="178"/>
      <c r="BD218" s="178"/>
      <c r="BE218" s="178"/>
      <c r="BF218" s="178"/>
      <c r="BG218" s="178"/>
      <c r="BH218" s="178"/>
      <c r="BI218" s="178"/>
      <c r="BJ218" s="178"/>
      <c r="BK218" s="178"/>
      <c r="BL218" s="178"/>
      <c r="BM218" s="178"/>
      <c r="BN218" s="178"/>
      <c r="BO218" s="178"/>
      <c r="BP218" s="178"/>
      <c r="BQ218" s="178"/>
      <c r="BR218" s="178"/>
      <c r="BS218" s="178"/>
      <c r="BT218" s="178"/>
      <c r="BU218" s="178"/>
      <c r="BV218" s="178"/>
      <c r="BW218" s="178"/>
      <c r="BX218" s="178"/>
      <c r="BY218" s="178"/>
      <c r="BZ218" s="178"/>
      <c r="CA218" s="178"/>
      <c r="CB218" s="179"/>
      <c r="CC218" s="178"/>
      <c r="CD218" s="224"/>
      <c r="CE218" s="224"/>
      <c r="CF218" s="178"/>
      <c r="CG218" s="178"/>
      <c r="CH218" s="178"/>
      <c r="CI218" s="178"/>
      <c r="CJ218" s="178"/>
      <c r="CK218" s="601"/>
      <c r="CL218" s="12"/>
      <c r="CM218" s="566"/>
      <c r="CN218" s="566"/>
      <c r="CO218" s="29"/>
      <c r="CP218" s="12"/>
      <c r="CQ218" s="566"/>
      <c r="CR218" s="12"/>
      <c r="CS218" s="566"/>
      <c r="CT218" s="12"/>
      <c r="CU218" s="12"/>
      <c r="CV218" s="12"/>
      <c r="CW218" s="12"/>
      <c r="CX218" s="12"/>
      <c r="CY218" s="566"/>
      <c r="CZ218" s="566"/>
      <c r="DA218" s="12"/>
      <c r="DB218" s="12"/>
      <c r="DC218" s="566"/>
      <c r="DD218" s="566"/>
      <c r="DE218" s="566"/>
      <c r="DF218" s="12"/>
      <c r="DG218" s="566"/>
      <c r="DH218" s="12"/>
      <c r="DI218" s="12"/>
      <c r="DJ218" s="12"/>
      <c r="DK218" s="12"/>
      <c r="DL218" s="231"/>
      <c r="DM218" s="12"/>
      <c r="DN218" s="566"/>
      <c r="DO218" s="566"/>
      <c r="DP218" s="29"/>
      <c r="DQ218" s="566"/>
      <c r="DR218" s="566"/>
      <c r="DS218" s="12"/>
      <c r="DT218" s="566"/>
      <c r="DU218" s="566"/>
      <c r="DV218" s="12"/>
      <c r="DW218" s="566"/>
      <c r="DX218" s="566"/>
      <c r="DY218" s="12"/>
      <c r="DZ218" s="566"/>
      <c r="EA218" s="566"/>
      <c r="EB218" s="12"/>
      <c r="EC218" s="566"/>
      <c r="ED218" s="566"/>
      <c r="EE218" s="12"/>
      <c r="EF218" s="566"/>
      <c r="EG218" s="566"/>
      <c r="EH218" s="12"/>
      <c r="EI218" s="566"/>
      <c r="EJ218" s="566"/>
      <c r="EK218" s="566"/>
      <c r="EL218" s="12"/>
      <c r="EM218" s="12"/>
      <c r="EN218" s="12"/>
      <c r="EO218" s="12"/>
      <c r="EP218" s="12"/>
      <c r="EQ218" s="12"/>
      <c r="ER218" s="12"/>
      <c r="ES218" s="12"/>
      <c r="ET218" s="12"/>
      <c r="EU218" s="12"/>
      <c r="EV218" s="337"/>
      <c r="EW218" s="12"/>
      <c r="EX218" s="12"/>
      <c r="EY218" s="12"/>
      <c r="EZ218" s="12"/>
      <c r="FA218" s="593"/>
      <c r="FB218" s="593"/>
      <c r="FC218" s="593"/>
      <c r="FD218" s="593"/>
      <c r="FE218" s="593"/>
      <c r="FF218" s="593"/>
      <c r="FH218" s="586"/>
      <c r="FI218" s="586"/>
      <c r="FK218" s="12"/>
      <c r="FL218" s="12"/>
      <c r="FM218" s="12"/>
      <c r="FN218" s="12"/>
      <c r="FO218" s="12"/>
      <c r="FP218" s="12"/>
      <c r="FQ218" s="12"/>
      <c r="FR218" s="12"/>
      <c r="FS218" s="12"/>
      <c r="FT218" s="12"/>
      <c r="FU218" s="12"/>
      <c r="FV218" s="12"/>
      <c r="FW218" s="12"/>
      <c r="FX218" s="12"/>
      <c r="FY218" s="12"/>
      <c r="FZ218" s="12"/>
      <c r="GA218" s="12"/>
      <c r="GB218" s="12"/>
      <c r="GC218" s="12"/>
      <c r="GD218" s="12"/>
      <c r="GE218" s="12"/>
      <c r="GF218" s="178"/>
      <c r="GG218" s="618"/>
      <c r="GH218" s="12"/>
      <c r="GI218" s="12"/>
      <c r="GJ218" s="12"/>
      <c r="GK218" s="12"/>
      <c r="GL218" s="12"/>
      <c r="GM218" s="12"/>
      <c r="GN218" s="12"/>
      <c r="GO218" s="12"/>
      <c r="GP218" s="12"/>
      <c r="GQ218" s="12"/>
      <c r="GR218" s="12"/>
      <c r="GS218" s="12"/>
      <c r="GT218" s="12"/>
      <c r="GU218" s="12"/>
      <c r="GV218" s="12"/>
      <c r="GW218" s="12"/>
      <c r="GX218" s="12"/>
      <c r="GY218" s="12"/>
      <c r="GZ218" s="12"/>
      <c r="HA218" s="12"/>
      <c r="HB218" s="645"/>
      <c r="HC218" s="12"/>
      <c r="HD218" s="12"/>
      <c r="HE218" s="12"/>
      <c r="HF218" s="12"/>
      <c r="HG218" s="12"/>
      <c r="HH218" s="12"/>
      <c r="HI218" s="12"/>
      <c r="HJ218" s="12"/>
      <c r="HK218" s="12"/>
      <c r="HL218" s="12"/>
      <c r="HM218" s="12"/>
      <c r="HN218" s="12"/>
      <c r="HO218" s="12"/>
      <c r="HP218" s="12"/>
      <c r="HQ218" s="12"/>
      <c r="HR218" s="12"/>
      <c r="HS218" s="12"/>
      <c r="HT218" s="12"/>
      <c r="HU218" s="12"/>
      <c r="HV218" s="12"/>
      <c r="HW218" s="12"/>
      <c r="HX218" s="12"/>
      <c r="HY218" s="12"/>
      <c r="HZ218" s="12"/>
      <c r="IA218" s="12"/>
      <c r="IB218" s="12"/>
      <c r="IC218" s="12"/>
      <c r="ID218" s="12"/>
      <c r="IE218" s="12"/>
      <c r="IF218" s="12"/>
      <c r="IG218" s="12"/>
      <c r="IH218" s="12"/>
      <c r="II218" s="12"/>
      <c r="IJ218" s="12"/>
      <c r="IK218" s="12"/>
      <c r="IL218" s="12"/>
      <c r="IM218" s="12"/>
      <c r="IN218" s="12"/>
      <c r="IO218" s="12"/>
      <c r="IP218" s="12"/>
      <c r="IQ218" s="12"/>
      <c r="IR218" s="12"/>
      <c r="IS218" s="12"/>
      <c r="IT218" s="12"/>
      <c r="IU218" s="12"/>
      <c r="IV218" s="12"/>
      <c r="IW218" s="12"/>
      <c r="IX218" s="12"/>
      <c r="IY218" s="12"/>
      <c r="IZ218" s="12"/>
      <c r="JA218" s="12"/>
      <c r="JB218" s="12"/>
      <c r="JC218" s="12"/>
      <c r="JD218" s="12"/>
      <c r="JE218" s="12"/>
      <c r="JF218" s="12"/>
      <c r="JG218" s="12"/>
      <c r="JH218" s="12"/>
      <c r="JI218" s="12"/>
    </row>
    <row r="219" spans="1:269" s="39" customFormat="1">
      <c r="A219" s="343" t="s">
        <v>147</v>
      </c>
      <c r="B219" s="152">
        <f t="shared" si="289"/>
        <v>0</v>
      </c>
      <c r="C219" s="152">
        <f t="shared" si="290"/>
        <v>3</v>
      </c>
      <c r="D219" s="152">
        <f t="shared" si="291"/>
        <v>3</v>
      </c>
      <c r="E219" s="152">
        <f t="shared" si="292"/>
        <v>1</v>
      </c>
      <c r="F219" s="152">
        <f t="shared" si="293"/>
        <v>0</v>
      </c>
      <c r="G219" s="12"/>
      <c r="H219" s="12"/>
      <c r="I219" s="12"/>
      <c r="J219" s="12"/>
      <c r="K219" s="312"/>
      <c r="L219" s="197"/>
      <c r="M219" s="197"/>
      <c r="N219" s="197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44"/>
      <c r="AU219" s="28"/>
      <c r="AV219" s="12"/>
      <c r="AW219" s="12"/>
      <c r="AX219" s="12"/>
      <c r="AY219" s="12"/>
      <c r="AZ219" s="12"/>
      <c r="BA219" s="12"/>
      <c r="BB219" s="12"/>
      <c r="BC219" s="178"/>
      <c r="BD219" s="178"/>
      <c r="BE219" s="178"/>
      <c r="BF219" s="178"/>
      <c r="BG219" s="178"/>
      <c r="BH219" s="178"/>
      <c r="BI219" s="178"/>
      <c r="BJ219" s="178"/>
      <c r="BK219" s="178"/>
      <c r="BL219" s="178"/>
      <c r="BM219" s="178"/>
      <c r="BN219" s="178"/>
      <c r="BO219" s="178"/>
      <c r="BP219" s="178"/>
      <c r="BQ219" s="178"/>
      <c r="BR219" s="178"/>
      <c r="BS219" s="178"/>
      <c r="BT219" s="178"/>
      <c r="BU219" s="178"/>
      <c r="BV219" s="178"/>
      <c r="BW219" s="178"/>
      <c r="BX219" s="178"/>
      <c r="BY219" s="178"/>
      <c r="BZ219" s="178"/>
      <c r="CA219" s="178"/>
      <c r="CB219" s="179"/>
      <c r="CC219" s="178"/>
      <c r="CD219" s="224"/>
      <c r="CE219" s="224"/>
      <c r="CF219" s="178"/>
      <c r="CG219" s="178"/>
      <c r="CH219" s="178"/>
      <c r="CI219" s="178"/>
      <c r="CJ219" s="178"/>
      <c r="CK219" s="601"/>
      <c r="CL219" s="12"/>
      <c r="CM219" s="566"/>
      <c r="CN219" s="566"/>
      <c r="CO219" s="29"/>
      <c r="CP219" s="12"/>
      <c r="CQ219" s="566"/>
      <c r="CR219" s="12"/>
      <c r="CS219" s="566"/>
      <c r="CT219" s="12"/>
      <c r="CU219" s="12"/>
      <c r="CV219" s="12"/>
      <c r="CW219" s="12"/>
      <c r="CX219" s="12"/>
      <c r="CY219" s="566"/>
      <c r="CZ219" s="566"/>
      <c r="DA219" s="12"/>
      <c r="DB219" s="12"/>
      <c r="DC219" s="566"/>
      <c r="DD219" s="566"/>
      <c r="DE219" s="566"/>
      <c r="DF219" s="12"/>
      <c r="DG219" s="566"/>
      <c r="DH219" s="12"/>
      <c r="DI219" s="12"/>
      <c r="DJ219" s="12"/>
      <c r="DK219" s="12"/>
      <c r="DL219" s="231"/>
      <c r="DM219" s="12"/>
      <c r="DN219" s="566"/>
      <c r="DO219" s="566"/>
      <c r="DP219" s="29"/>
      <c r="DQ219" s="566"/>
      <c r="DR219" s="566"/>
      <c r="DS219" s="12"/>
      <c r="DT219" s="566"/>
      <c r="DU219" s="566"/>
      <c r="DV219" s="12"/>
      <c r="DW219" s="566"/>
      <c r="DX219" s="566"/>
      <c r="DY219" s="12"/>
      <c r="DZ219" s="566"/>
      <c r="EA219" s="566"/>
      <c r="EB219" s="12"/>
      <c r="EC219" s="566"/>
      <c r="ED219" s="566"/>
      <c r="EE219" s="12"/>
      <c r="EF219" s="566"/>
      <c r="EG219" s="566"/>
      <c r="EH219" s="12"/>
      <c r="EI219" s="566"/>
      <c r="EJ219" s="566"/>
      <c r="EK219" s="566"/>
      <c r="EL219" s="12"/>
      <c r="EM219" s="12"/>
      <c r="EN219" s="12"/>
      <c r="EO219" s="12"/>
      <c r="EP219" s="12"/>
      <c r="EQ219" s="12"/>
      <c r="ER219" s="12"/>
      <c r="ES219" s="12"/>
      <c r="ET219" s="12"/>
      <c r="EU219" s="12"/>
      <c r="EV219" s="337"/>
      <c r="EW219" s="12"/>
      <c r="EX219" s="12"/>
      <c r="EY219" s="12"/>
      <c r="EZ219" s="12"/>
      <c r="FA219" s="593"/>
      <c r="FB219" s="593"/>
      <c r="FC219" s="593"/>
      <c r="FD219" s="593"/>
      <c r="FE219" s="593"/>
      <c r="FF219" s="593"/>
      <c r="FH219" s="586"/>
      <c r="FI219" s="586"/>
      <c r="FK219" s="12"/>
      <c r="FL219" s="12"/>
      <c r="FM219" s="12"/>
      <c r="FN219" s="12"/>
      <c r="FO219" s="12"/>
      <c r="FP219" s="12"/>
      <c r="FQ219" s="12"/>
      <c r="FR219" s="12"/>
      <c r="FS219" s="12"/>
      <c r="FT219" s="12"/>
      <c r="FU219" s="12"/>
      <c r="FV219" s="12"/>
      <c r="FW219" s="12"/>
      <c r="FX219" s="12"/>
      <c r="FY219" s="12"/>
      <c r="FZ219" s="12"/>
      <c r="GA219" s="12"/>
      <c r="GB219" s="12"/>
      <c r="GC219" s="12"/>
      <c r="GD219" s="12"/>
      <c r="GE219" s="12"/>
      <c r="GF219" s="178"/>
      <c r="GG219" s="618"/>
      <c r="GH219" s="12"/>
      <c r="GI219" s="12"/>
      <c r="GJ219" s="12"/>
      <c r="GK219" s="12"/>
      <c r="GL219" s="12"/>
      <c r="GM219" s="12"/>
      <c r="GN219" s="12"/>
      <c r="GO219" s="12"/>
      <c r="GP219" s="12"/>
      <c r="GQ219" s="12"/>
      <c r="GR219" s="12"/>
      <c r="GS219" s="12"/>
      <c r="GT219" s="12"/>
      <c r="GU219" s="12"/>
      <c r="GV219" s="12"/>
      <c r="GW219" s="12"/>
      <c r="GX219" s="12"/>
      <c r="GY219" s="12"/>
      <c r="GZ219" s="12"/>
      <c r="HA219" s="12"/>
      <c r="HB219" s="645"/>
      <c r="HC219" s="12"/>
      <c r="HD219" s="12"/>
      <c r="HE219" s="12"/>
      <c r="HF219" s="12"/>
      <c r="HG219" s="12"/>
      <c r="HH219" s="12"/>
      <c r="HI219" s="12"/>
      <c r="HJ219" s="12"/>
      <c r="HK219" s="12"/>
      <c r="HL219" s="12"/>
      <c r="HM219" s="12"/>
      <c r="HN219" s="12"/>
      <c r="HO219" s="12"/>
      <c r="HP219" s="12"/>
      <c r="HQ219" s="12"/>
      <c r="HR219" s="12"/>
      <c r="HS219" s="12"/>
      <c r="HT219" s="12"/>
      <c r="HU219" s="12"/>
      <c r="HV219" s="12"/>
      <c r="HW219" s="12"/>
      <c r="HX219" s="12"/>
      <c r="HY219" s="12"/>
      <c r="HZ219" s="12"/>
      <c r="IA219" s="12"/>
      <c r="IB219" s="12"/>
      <c r="IC219" s="12"/>
      <c r="ID219" s="12"/>
      <c r="IE219" s="12"/>
      <c r="IF219" s="12"/>
      <c r="IG219" s="12"/>
      <c r="IH219" s="12"/>
      <c r="II219" s="12"/>
      <c r="IJ219" s="12"/>
      <c r="IK219" s="12"/>
      <c r="IL219" s="12"/>
      <c r="IM219" s="12"/>
      <c r="IN219" s="12"/>
      <c r="IO219" s="12"/>
      <c r="IP219" s="12"/>
      <c r="IQ219" s="12"/>
      <c r="IR219" s="12"/>
      <c r="IS219" s="12"/>
      <c r="IT219" s="12"/>
      <c r="IU219" s="12"/>
      <c r="IV219" s="12"/>
      <c r="IW219" s="12"/>
      <c r="IX219" s="12"/>
      <c r="IY219" s="12"/>
      <c r="IZ219" s="12"/>
      <c r="JA219" s="12"/>
      <c r="JB219" s="12"/>
      <c r="JC219" s="12"/>
      <c r="JD219" s="12"/>
      <c r="JE219" s="12"/>
      <c r="JF219" s="12"/>
      <c r="JG219" s="12"/>
      <c r="JH219" s="12"/>
      <c r="JI219" s="12"/>
    </row>
    <row r="220" spans="1:269" s="39" customFormat="1">
      <c r="A220" s="339"/>
      <c r="B220" s="29">
        <f>SUBTOTAL(9,B214:B219)</f>
        <v>4</v>
      </c>
      <c r="C220" s="29">
        <f>SUM(C214:C219)</f>
        <v>11</v>
      </c>
      <c r="D220" s="29">
        <f>SUM(D214:D219)</f>
        <v>10</v>
      </c>
      <c r="E220" s="29">
        <f>SUM(E214:E219)</f>
        <v>6</v>
      </c>
      <c r="F220" s="29">
        <f>SUM(F214:F219)</f>
        <v>6</v>
      </c>
      <c r="G220" s="12"/>
      <c r="H220" s="12"/>
      <c r="I220" s="12"/>
      <c r="J220" s="12"/>
      <c r="K220" s="312"/>
      <c r="L220" s="197"/>
      <c r="M220" s="197"/>
      <c r="N220" s="197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44"/>
      <c r="AU220" s="28"/>
      <c r="AV220" s="12"/>
      <c r="AW220" s="12"/>
      <c r="AX220" s="12"/>
      <c r="AY220" s="12"/>
      <c r="AZ220" s="12"/>
      <c r="BA220" s="12"/>
      <c r="BB220" s="12"/>
      <c r="BC220" s="178"/>
      <c r="BD220" s="178"/>
      <c r="BE220" s="178"/>
      <c r="BF220" s="178"/>
      <c r="BG220" s="178"/>
      <c r="BH220" s="178"/>
      <c r="BI220" s="178"/>
      <c r="BJ220" s="178"/>
      <c r="BK220" s="178"/>
      <c r="BL220" s="178"/>
      <c r="BM220" s="178"/>
      <c r="BN220" s="178"/>
      <c r="BO220" s="178"/>
      <c r="BP220" s="178"/>
      <c r="BQ220" s="178"/>
      <c r="BR220" s="178"/>
      <c r="BS220" s="178"/>
      <c r="BT220" s="178"/>
      <c r="BU220" s="178"/>
      <c r="BV220" s="178"/>
      <c r="BW220" s="178"/>
      <c r="BX220" s="178"/>
      <c r="BY220" s="178"/>
      <c r="BZ220" s="178"/>
      <c r="CA220" s="178"/>
      <c r="CB220" s="179"/>
      <c r="CC220" s="178"/>
      <c r="CD220" s="224"/>
      <c r="CE220" s="224"/>
      <c r="CF220" s="178"/>
      <c r="CG220" s="178"/>
      <c r="CH220" s="178"/>
      <c r="CI220" s="178"/>
      <c r="CJ220" s="178"/>
      <c r="CK220" s="601"/>
      <c r="CL220" s="12"/>
      <c r="CM220" s="566"/>
      <c r="CN220" s="566"/>
      <c r="CO220" s="29"/>
      <c r="CP220" s="12"/>
      <c r="CQ220" s="566"/>
      <c r="CR220" s="12"/>
      <c r="CS220" s="566"/>
      <c r="CT220" s="12"/>
      <c r="CU220" s="12"/>
      <c r="CV220" s="12"/>
      <c r="CW220" s="12"/>
      <c r="CX220" s="12"/>
      <c r="CY220" s="566"/>
      <c r="CZ220" s="566"/>
      <c r="DA220" s="12"/>
      <c r="DB220" s="12"/>
      <c r="DC220" s="566"/>
      <c r="DD220" s="566"/>
      <c r="DE220" s="566"/>
      <c r="DF220" s="12"/>
      <c r="DG220" s="566"/>
      <c r="DH220" s="12"/>
      <c r="DI220" s="12"/>
      <c r="DJ220" s="12"/>
      <c r="DK220" s="12"/>
      <c r="DL220" s="231"/>
      <c r="DM220" s="12"/>
      <c r="DN220" s="566"/>
      <c r="DO220" s="566"/>
      <c r="DP220" s="29"/>
      <c r="DQ220" s="566"/>
      <c r="DR220" s="566"/>
      <c r="DS220" s="12"/>
      <c r="DT220" s="566"/>
      <c r="DU220" s="566"/>
      <c r="DV220" s="12"/>
      <c r="DW220" s="566"/>
      <c r="DX220" s="566"/>
      <c r="DY220" s="12"/>
      <c r="DZ220" s="566"/>
      <c r="EA220" s="566"/>
      <c r="EB220" s="12"/>
      <c r="EC220" s="566"/>
      <c r="ED220" s="566"/>
      <c r="EE220" s="12"/>
      <c r="EF220" s="566"/>
      <c r="EG220" s="566"/>
      <c r="EH220" s="12"/>
      <c r="EI220" s="566"/>
      <c r="EJ220" s="566"/>
      <c r="EK220" s="566"/>
      <c r="EL220" s="12"/>
      <c r="EM220" s="12"/>
      <c r="EN220" s="12"/>
      <c r="EO220" s="12"/>
      <c r="EP220" s="12"/>
      <c r="EQ220" s="12"/>
      <c r="ER220" s="12"/>
      <c r="ES220" s="12"/>
      <c r="ET220" s="12"/>
      <c r="EU220" s="12"/>
      <c r="EV220" s="337"/>
      <c r="EW220" s="12"/>
      <c r="EX220" s="12"/>
      <c r="EY220" s="12"/>
      <c r="EZ220" s="12"/>
      <c r="FA220" s="593"/>
      <c r="FB220" s="593"/>
      <c r="FC220" s="593"/>
      <c r="FD220" s="593"/>
      <c r="FE220" s="593"/>
      <c r="FF220" s="593"/>
      <c r="FH220" s="586"/>
      <c r="FI220" s="586"/>
      <c r="FK220" s="12"/>
      <c r="FL220" s="12"/>
      <c r="FM220" s="12"/>
      <c r="FN220" s="12"/>
      <c r="FO220" s="12"/>
      <c r="FP220" s="12"/>
      <c r="FQ220" s="12"/>
      <c r="FR220" s="12"/>
      <c r="FS220" s="12"/>
      <c r="FT220" s="12"/>
      <c r="FU220" s="12"/>
      <c r="FV220" s="12"/>
      <c r="FW220" s="12"/>
      <c r="FX220" s="12"/>
      <c r="FY220" s="12"/>
      <c r="FZ220" s="12"/>
      <c r="GA220" s="12"/>
      <c r="GB220" s="12"/>
      <c r="GC220" s="12"/>
      <c r="GD220" s="12"/>
      <c r="GE220" s="12"/>
      <c r="GF220" s="178"/>
      <c r="GG220" s="618"/>
      <c r="GH220" s="12"/>
      <c r="GI220" s="12"/>
      <c r="GJ220" s="12"/>
      <c r="GK220" s="12"/>
      <c r="GL220" s="12"/>
      <c r="GM220" s="12"/>
      <c r="GN220" s="12"/>
      <c r="GO220" s="12"/>
      <c r="GP220" s="12"/>
      <c r="GQ220" s="12"/>
      <c r="GR220" s="12"/>
      <c r="GS220" s="12"/>
      <c r="GT220" s="12"/>
      <c r="GU220" s="12"/>
      <c r="GV220" s="12"/>
      <c r="GW220" s="12"/>
      <c r="GX220" s="12"/>
      <c r="GY220" s="12"/>
      <c r="GZ220" s="12"/>
      <c r="HA220" s="12"/>
      <c r="HB220" s="645"/>
      <c r="HC220" s="12"/>
      <c r="HD220" s="12"/>
      <c r="HE220" s="12"/>
      <c r="HF220" s="12"/>
      <c r="HG220" s="12"/>
      <c r="HH220" s="12"/>
      <c r="HI220" s="12"/>
      <c r="HJ220" s="12"/>
      <c r="HK220" s="12"/>
      <c r="HL220" s="12"/>
      <c r="HM220" s="12"/>
      <c r="HN220" s="12"/>
      <c r="HO220" s="12"/>
      <c r="HP220" s="12"/>
      <c r="HQ220" s="12"/>
      <c r="HR220" s="12"/>
      <c r="HS220" s="12"/>
      <c r="HT220" s="12"/>
      <c r="HU220" s="12"/>
      <c r="HV220" s="12"/>
      <c r="HW220" s="12"/>
      <c r="HX220" s="12"/>
      <c r="HY220" s="12"/>
      <c r="HZ220" s="12"/>
      <c r="IA220" s="12"/>
      <c r="IB220" s="12"/>
      <c r="IC220" s="12"/>
      <c r="ID220" s="12"/>
      <c r="IE220" s="12"/>
      <c r="IF220" s="12"/>
      <c r="IG220" s="12"/>
      <c r="IH220" s="12"/>
      <c r="II220" s="12"/>
      <c r="IJ220" s="12"/>
      <c r="IK220" s="12"/>
      <c r="IL220" s="12"/>
      <c r="IM220" s="12"/>
      <c r="IN220" s="12"/>
      <c r="IO220" s="12"/>
      <c r="IP220" s="12"/>
      <c r="IQ220" s="12"/>
      <c r="IR220" s="12"/>
      <c r="IS220" s="12"/>
      <c r="IT220" s="12"/>
      <c r="IU220" s="12"/>
      <c r="IV220" s="12"/>
      <c r="IW220" s="12"/>
      <c r="IX220" s="12"/>
      <c r="IY220" s="12"/>
      <c r="IZ220" s="12"/>
      <c r="JA220" s="12"/>
      <c r="JB220" s="12"/>
      <c r="JC220" s="12"/>
      <c r="JD220" s="12"/>
      <c r="JE220" s="12"/>
      <c r="JF220" s="12"/>
      <c r="JG220" s="12"/>
      <c r="JH220" s="12"/>
      <c r="JI220" s="12"/>
    </row>
    <row r="221" spans="1:269" s="39" customFormat="1">
      <c r="A221" s="339"/>
      <c r="B221" s="12"/>
      <c r="C221" s="12"/>
      <c r="D221" s="12"/>
      <c r="E221" s="12"/>
      <c r="F221" s="12"/>
      <c r="G221" s="12"/>
      <c r="H221" s="12"/>
      <c r="I221" s="12"/>
      <c r="J221" s="12"/>
      <c r="K221" s="312"/>
      <c r="L221" s="197"/>
      <c r="M221" s="197"/>
      <c r="N221" s="197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44"/>
      <c r="AU221" s="28"/>
      <c r="AV221" s="12"/>
      <c r="AW221" s="12"/>
      <c r="AX221" s="12"/>
      <c r="AY221" s="12"/>
      <c r="AZ221" s="12"/>
      <c r="BA221" s="12"/>
      <c r="BB221" s="12"/>
      <c r="BC221" s="178"/>
      <c r="BD221" s="178"/>
      <c r="BE221" s="178"/>
      <c r="BF221" s="178"/>
      <c r="BG221" s="178"/>
      <c r="BH221" s="178"/>
      <c r="BI221" s="178"/>
      <c r="BJ221" s="178"/>
      <c r="BK221" s="178"/>
      <c r="BL221" s="178"/>
      <c r="BM221" s="178"/>
      <c r="BN221" s="178"/>
      <c r="BO221" s="178"/>
      <c r="BP221" s="178"/>
      <c r="BQ221" s="178"/>
      <c r="BR221" s="178"/>
      <c r="BS221" s="178"/>
      <c r="BT221" s="178"/>
      <c r="BU221" s="178"/>
      <c r="BV221" s="178"/>
      <c r="BW221" s="178"/>
      <c r="BX221" s="178"/>
      <c r="BY221" s="178"/>
      <c r="BZ221" s="178"/>
      <c r="CA221" s="178"/>
      <c r="CB221" s="179"/>
      <c r="CC221" s="178"/>
      <c r="CD221" s="224"/>
      <c r="CE221" s="224"/>
      <c r="CF221" s="178"/>
      <c r="CG221" s="178"/>
      <c r="CH221" s="178"/>
      <c r="CI221" s="178"/>
      <c r="CJ221" s="178"/>
      <c r="CK221" s="601"/>
      <c r="CL221" s="12"/>
      <c r="CM221" s="566"/>
      <c r="CN221" s="566"/>
      <c r="CO221" s="29"/>
      <c r="CP221" s="12"/>
      <c r="CQ221" s="566"/>
      <c r="CR221" s="12"/>
      <c r="CS221" s="566"/>
      <c r="CT221" s="12"/>
      <c r="CU221" s="12"/>
      <c r="CV221" s="12"/>
      <c r="CW221" s="12"/>
      <c r="CX221" s="12"/>
      <c r="CY221" s="566"/>
      <c r="CZ221" s="566"/>
      <c r="DA221" s="12"/>
      <c r="DB221" s="12"/>
      <c r="DC221" s="566"/>
      <c r="DD221" s="566"/>
      <c r="DE221" s="566"/>
      <c r="DF221" s="12"/>
      <c r="DG221" s="566"/>
      <c r="DH221" s="12"/>
      <c r="DI221" s="12"/>
      <c r="DJ221" s="12"/>
      <c r="DK221" s="12"/>
      <c r="DL221" s="231"/>
      <c r="DM221" s="12"/>
      <c r="DN221" s="566"/>
      <c r="DO221" s="566"/>
      <c r="DP221" s="29"/>
      <c r="DQ221" s="566"/>
      <c r="DR221" s="566"/>
      <c r="DS221" s="12"/>
      <c r="DT221" s="566"/>
      <c r="DU221" s="566"/>
      <c r="DV221" s="12"/>
      <c r="DW221" s="566"/>
      <c r="DX221" s="566"/>
      <c r="DY221" s="12"/>
      <c r="DZ221" s="566"/>
      <c r="EA221" s="566"/>
      <c r="EB221" s="12"/>
      <c r="EC221" s="566"/>
      <c r="ED221" s="566"/>
      <c r="EE221" s="12"/>
      <c r="EF221" s="566"/>
      <c r="EG221" s="566"/>
      <c r="EH221" s="12"/>
      <c r="EI221" s="566"/>
      <c r="EJ221" s="566"/>
      <c r="EK221" s="566"/>
      <c r="EL221" s="12"/>
      <c r="EM221" s="12"/>
      <c r="EN221" s="12"/>
      <c r="EO221" s="12"/>
      <c r="EP221" s="12"/>
      <c r="EQ221" s="12"/>
      <c r="ER221" s="12"/>
      <c r="ES221" s="12"/>
      <c r="ET221" s="12"/>
      <c r="EU221" s="12"/>
      <c r="EV221" s="337"/>
      <c r="EW221" s="12"/>
      <c r="EX221" s="12"/>
      <c r="EY221" s="12"/>
      <c r="EZ221" s="12"/>
      <c r="FA221" s="593"/>
      <c r="FB221" s="593"/>
      <c r="FC221" s="593"/>
      <c r="FD221" s="593"/>
      <c r="FE221" s="593"/>
      <c r="FF221" s="593"/>
      <c r="FH221" s="586"/>
      <c r="FI221" s="586"/>
      <c r="FK221" s="12"/>
      <c r="FL221" s="12"/>
      <c r="FM221" s="12"/>
      <c r="FN221" s="12"/>
      <c r="FO221" s="12"/>
      <c r="FP221" s="12"/>
      <c r="FQ221" s="12"/>
      <c r="FR221" s="12"/>
      <c r="FS221" s="12"/>
      <c r="FT221" s="12"/>
      <c r="FU221" s="12"/>
      <c r="FV221" s="12"/>
      <c r="FW221" s="12"/>
      <c r="FX221" s="12"/>
      <c r="FY221" s="12"/>
      <c r="FZ221" s="12"/>
      <c r="GA221" s="12"/>
      <c r="GB221" s="12"/>
      <c r="GC221" s="12"/>
      <c r="GD221" s="12"/>
      <c r="GE221" s="12"/>
      <c r="GF221" s="178"/>
      <c r="GG221" s="618"/>
      <c r="GH221" s="12"/>
      <c r="GI221" s="12"/>
      <c r="GJ221" s="12"/>
      <c r="GK221" s="12"/>
      <c r="GL221" s="12"/>
      <c r="GM221" s="12"/>
      <c r="GN221" s="12"/>
      <c r="GO221" s="12"/>
      <c r="GP221" s="12"/>
      <c r="GQ221" s="12"/>
      <c r="GR221" s="12"/>
      <c r="GS221" s="12"/>
      <c r="GT221" s="12"/>
      <c r="GU221" s="12"/>
      <c r="GV221" s="12"/>
      <c r="GW221" s="12"/>
      <c r="GX221" s="12"/>
      <c r="GY221" s="12"/>
      <c r="GZ221" s="12"/>
      <c r="HA221" s="12"/>
      <c r="HB221" s="645"/>
      <c r="HC221" s="12"/>
      <c r="HD221" s="12"/>
      <c r="HE221" s="12"/>
      <c r="HF221" s="12"/>
      <c r="HG221" s="12"/>
      <c r="HH221" s="12"/>
      <c r="HI221" s="12"/>
      <c r="HJ221" s="12"/>
      <c r="HK221" s="12"/>
      <c r="HL221" s="12"/>
      <c r="HM221" s="12"/>
      <c r="HN221" s="12"/>
      <c r="HO221" s="12"/>
      <c r="HP221" s="12"/>
      <c r="HQ221" s="12"/>
      <c r="HR221" s="12"/>
      <c r="HS221" s="12"/>
      <c r="HT221" s="12"/>
      <c r="HU221" s="12"/>
      <c r="HV221" s="12"/>
      <c r="HW221" s="12"/>
      <c r="HX221" s="12"/>
      <c r="HY221" s="12"/>
      <c r="HZ221" s="12"/>
      <c r="IA221" s="12"/>
      <c r="IB221" s="12"/>
      <c r="IC221" s="12"/>
      <c r="ID221" s="12"/>
      <c r="IE221" s="12"/>
      <c r="IF221" s="12"/>
      <c r="IG221" s="12"/>
      <c r="IH221" s="12"/>
      <c r="II221" s="12"/>
      <c r="IJ221" s="12"/>
      <c r="IK221" s="12"/>
      <c r="IL221" s="12"/>
      <c r="IM221" s="12"/>
      <c r="IN221" s="12"/>
      <c r="IO221" s="12"/>
      <c r="IP221" s="12"/>
      <c r="IQ221" s="12"/>
      <c r="IR221" s="12"/>
      <c r="IS221" s="12"/>
      <c r="IT221" s="12"/>
      <c r="IU221" s="12"/>
      <c r="IV221" s="12"/>
      <c r="IW221" s="12"/>
      <c r="IX221" s="12"/>
      <c r="IY221" s="12"/>
      <c r="IZ221" s="12"/>
      <c r="JA221" s="12"/>
      <c r="JB221" s="12"/>
      <c r="JC221" s="12"/>
      <c r="JD221" s="12"/>
      <c r="JE221" s="12"/>
      <c r="JF221" s="12"/>
      <c r="JG221" s="12"/>
      <c r="JH221" s="12"/>
      <c r="JI221" s="12"/>
    </row>
  </sheetData>
  <autoFilter ref="A1:JI107"/>
  <sortState ref="A39:A44">
    <sortCondition ref="A39"/>
  </sortState>
  <dataConsolidate/>
  <mergeCells count="6">
    <mergeCell ref="C155:D155"/>
    <mergeCell ref="M155:N155"/>
    <mergeCell ref="K155:L155"/>
    <mergeCell ref="I155:J155"/>
    <mergeCell ref="G155:H155"/>
    <mergeCell ref="E155:F155"/>
  </mergeCells>
  <conditionalFormatting sqref="DT60">
    <cfRule type="expression" dxfId="33" priority="79">
      <formula>$AH60&gt;TODAY()</formula>
    </cfRule>
  </conditionalFormatting>
  <conditionalFormatting sqref="DU60">
    <cfRule type="expression" dxfId="32" priority="78">
      <formula>$AJ60&gt;=TODAY()</formula>
    </cfRule>
  </conditionalFormatting>
  <conditionalFormatting sqref="DQ60">
    <cfRule type="expression" dxfId="31" priority="61">
      <formula>$AE60&gt;TODAY()</formula>
    </cfRule>
  </conditionalFormatting>
  <conditionalFormatting sqref="DR60">
    <cfRule type="expression" dxfId="30" priority="60">
      <formula>$AF60&gt;=TODAY()</formula>
    </cfRule>
  </conditionalFormatting>
  <conditionalFormatting sqref="CZ2:CZ107">
    <cfRule type="expression" dxfId="29" priority="373">
      <formula>$CZ2&gt;=TODAY()</formula>
    </cfRule>
  </conditionalFormatting>
  <conditionalFormatting sqref="CY2:CY107">
    <cfRule type="expression" dxfId="28" priority="374">
      <formula>$CY2&gt;=TODAY()</formula>
    </cfRule>
  </conditionalFormatting>
  <conditionalFormatting sqref="CV32 CV9 CW2:CW107">
    <cfRule type="expression" dxfId="27" priority="375">
      <formula>$CW2&gt;=TODAY()</formula>
    </cfRule>
  </conditionalFormatting>
  <conditionalFormatting sqref="CV2:CV8 CV33:CV107 CV10:CV31">
    <cfRule type="expression" dxfId="26" priority="378">
      <formula>$CV2&gt;=TODAY()</formula>
    </cfRule>
  </conditionalFormatting>
  <conditionalFormatting sqref="CT2:CT107">
    <cfRule type="expression" dxfId="25" priority="381">
      <formula>$CT2&gt;=TODAY()</formula>
    </cfRule>
  </conditionalFormatting>
  <conditionalFormatting sqref="CS2:CS107">
    <cfRule type="expression" dxfId="24" priority="382">
      <formula>$CS2&gt;=TODAY()</formula>
    </cfRule>
  </conditionalFormatting>
  <conditionalFormatting sqref="CQ2:CQ107">
    <cfRule type="expression" dxfId="23" priority="383">
      <formula>$CQ2&gt;=TODAY()</formula>
    </cfRule>
  </conditionalFormatting>
  <conditionalFormatting sqref="CP2:CP107">
    <cfRule type="expression" dxfId="22" priority="384">
      <formula>$CP2&gt;=TODAY()</formula>
    </cfRule>
  </conditionalFormatting>
  <conditionalFormatting sqref="CN2:CN107">
    <cfRule type="expression" dxfId="21" priority="385">
      <formula>$CN2&gt;=TODAY()</formula>
    </cfRule>
  </conditionalFormatting>
  <conditionalFormatting sqref="CM2:CM107">
    <cfRule type="expression" dxfId="20" priority="386">
      <formula>$CM2&gt;=TODAY()</formula>
    </cfRule>
  </conditionalFormatting>
  <conditionalFormatting sqref="DG2:DG107">
    <cfRule type="expression" dxfId="19" priority="498">
      <formula>$DG2&gt;=TODAY()</formula>
    </cfRule>
  </conditionalFormatting>
  <conditionalFormatting sqref="DE50:DE107 DE34:DE48 DE2:DE32">
    <cfRule type="expression" dxfId="18" priority="501">
      <formula>$DE2&gt;=TODAY()</formula>
    </cfRule>
  </conditionalFormatting>
  <conditionalFormatting sqref="DE49 DD2:DD107 DE33">
    <cfRule type="expression" dxfId="17" priority="504">
      <formula>$DD2&gt;=TODAY()</formula>
    </cfRule>
  </conditionalFormatting>
  <conditionalFormatting sqref="DU48:DU55 DR51:DR107 DR33:DR49 DR2:DR31">
    <cfRule type="expression" dxfId="16" priority="585">
      <formula>$DR2&gt;=TODAY()</formula>
    </cfRule>
  </conditionalFormatting>
  <conditionalFormatting sqref="EK2:EK107">
    <cfRule type="expression" dxfId="15" priority="589">
      <formula>$EK2&gt;=TODAY()</formula>
    </cfRule>
  </conditionalFormatting>
  <conditionalFormatting sqref="EJ2:EJ107">
    <cfRule type="expression" dxfId="14" priority="590">
      <formula>$EJ2&gt;=TODAY()</formula>
    </cfRule>
  </conditionalFormatting>
  <conditionalFormatting sqref="EI2:EI107">
    <cfRule type="expression" dxfId="13" priority="591">
      <formula>$EI2&gt;=TODAY()</formula>
    </cfRule>
  </conditionalFormatting>
  <conditionalFormatting sqref="EG2:EG107">
    <cfRule type="expression" dxfId="12" priority="592">
      <formula>$EG2&gt;=TODAY()</formula>
    </cfRule>
  </conditionalFormatting>
  <conditionalFormatting sqref="EF2:EF107">
    <cfRule type="expression" dxfId="11" priority="593">
      <formula>$EF2&gt;=TODAY()</formula>
    </cfRule>
  </conditionalFormatting>
  <conditionalFormatting sqref="ED2:ED107">
    <cfRule type="expression" dxfId="10" priority="594">
      <formula>$ED2&gt;=TODAY()</formula>
    </cfRule>
  </conditionalFormatting>
  <conditionalFormatting sqref="EC2:EC107">
    <cfRule type="expression" dxfId="9" priority="595">
      <formula>$EC2&gt;=TODAY()</formula>
    </cfRule>
  </conditionalFormatting>
  <conditionalFormatting sqref="EA2:EA107">
    <cfRule type="expression" dxfId="8" priority="596">
      <formula>$EA2&gt;=TODAY()</formula>
    </cfRule>
  </conditionalFormatting>
  <conditionalFormatting sqref="DZ2:DZ107">
    <cfRule type="expression" dxfId="7" priority="597">
      <formula>$DZ2&gt;=TODAY()</formula>
    </cfRule>
  </conditionalFormatting>
  <conditionalFormatting sqref="DX2:DX107">
    <cfRule type="expression" dxfId="6" priority="598">
      <formula>$DX2&gt;=TODAY()</formula>
    </cfRule>
  </conditionalFormatting>
  <conditionalFormatting sqref="DW2:DW107">
    <cfRule type="expression" dxfId="5" priority="599">
      <formula>$DW2&gt;=TODAY()</formula>
    </cfRule>
  </conditionalFormatting>
  <conditionalFormatting sqref="DU56:DU107 DU2:DU47">
    <cfRule type="expression" dxfId="4" priority="600">
      <formula>$DU2&gt;=TODAY()</formula>
    </cfRule>
  </conditionalFormatting>
  <conditionalFormatting sqref="DT56:DT107 DT2:DT47">
    <cfRule type="expression" dxfId="3" priority="602">
      <formula>$DT2&gt;=TODAY()</formula>
    </cfRule>
  </conditionalFormatting>
  <conditionalFormatting sqref="DT48:DT55 DQ2:DQ107">
    <cfRule type="expression" dxfId="2" priority="604">
      <formula>$DQ2&gt;=TODAY()</formula>
    </cfRule>
  </conditionalFormatting>
  <conditionalFormatting sqref="DR50 DR32 DO50:DO107 DO2:DO48">
    <cfRule type="expression" dxfId="1" priority="606">
      <formula>$DO2&gt;=TODAY()</formula>
    </cfRule>
  </conditionalFormatting>
  <conditionalFormatting sqref="DO49 DN2:DN107">
    <cfRule type="expression" dxfId="0" priority="610">
      <formula>$DN2&gt;=TODAY()</formula>
    </cfRule>
  </conditionalFormatting>
  <dataValidations count="14">
    <dataValidation type="list" allowBlank="1" showInputMessage="1" showErrorMessage="1" sqref="BF108:BG108 AZ2:AZ75 AX2:AX107">
      <formula1>"oui,non"</formula1>
    </dataValidation>
    <dataValidation type="list" allowBlank="1" showInputMessage="1" showErrorMessage="1" sqref="O108:U108 W108:AB108 B108:C108">
      <formula1>"Avirons,Entre-Deux,Etang-Salé,Petite-Ile,St Joseph,St Leu,St Louis,St Paul,St Philippe,St Pierre,Tampon,Trois Bassins"</formula1>
    </dataValidation>
    <dataValidation type="list" allowBlank="1" showInputMessage="1" showErrorMessage="1" sqref="BC48:BC49 BC38:BC44">
      <formula1>"OFOI,INGEPAR,INTERINVEST"</formula1>
    </dataValidation>
    <dataValidation type="list" allowBlank="1" showInputMessage="1" showErrorMessage="1" sqref="BC3:BC8 BC10:BC37">
      <formula1>"INGEPAR,OFOI,INTER INVEST"</formula1>
    </dataValidation>
    <dataValidation type="list" allowBlank="1" showInputMessage="1" showErrorMessage="1" sqref="BA108:BB108 FC108:FF108 DH108:DJ108 DL108:DM108 FK108:GE108 EL108:EZ108">
      <formula1>"FHO,FMA,JDC,JFO,LIM,SFE,YFR"</formula1>
    </dataValidation>
    <dataValidation type="list" allowBlank="1" showInputMessage="1" showErrorMessage="1" sqref="F2:F13 F58:F59 F84:F87 F34:F56">
      <formula1>"ADE,AGA,APU,BBL,FBR,FHO,FVA,JER,YFR"</formula1>
    </dataValidation>
    <dataValidation type="list" allowBlank="1" showInputMessage="1" showErrorMessage="1" sqref="F81:F83 F60:F79 F94:F107 F88:F92">
      <formula1>"ADE,AGA,APU,BBL,FBR,FHO,FVA,JER,OET,YFR"</formula1>
    </dataValidation>
    <dataValidation type="list" allowBlank="1" showInputMessage="1" showErrorMessage="1" sqref="F57 F14:F33">
      <formula1>"ADE,APU,BBL,FBR,FHO,FVA,JER,OET,YFR"</formula1>
    </dataValidation>
    <dataValidation type="list" allowBlank="1" showInputMessage="1" showErrorMessage="1" sqref="F93 F80">
      <formula1>"ADE,AGA,APU,BBL,FBR,FHO,FVA,JER,OET,YFR,RO"</formula1>
    </dataValidation>
    <dataValidation type="list" allowBlank="1" showInputMessage="1" showErrorMessage="1" sqref="BC55:BC108">
      <formula1>"INGEPAR,OFOI"</formula1>
    </dataValidation>
    <dataValidation type="list" allowBlank="1" showInputMessage="1" showErrorMessage="1" sqref="B2:B107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AC2:AC107">
      <formula1>"LLS,LLTS,PLS,Rehab"</formula1>
    </dataValidation>
    <dataValidation type="list" allowBlank="1" showInputMessage="1" showErrorMessage="1" sqref="C2:C107">
      <formula1>"CA SUD,CIVIS,TCO"</formula1>
    </dataValidation>
    <dataValidation type="list" allowBlank="1" showInputMessage="1" showErrorMessage="1" sqref="AW2:AW107">
      <formula1>"MDV,collectif"</formula1>
    </dataValidation>
  </dataValidations>
  <pageMargins left="0.23622047244094491" right="0.23622047244094491" top="0.74803149606299213" bottom="0.74803149606299213" header="0.31496062992125984" footer="0.31496062992125984"/>
  <pageSetup paperSize="9" scale="10" orientation="landscape" r:id="rId1"/>
  <headerFooter>
    <oddFooter>Préparé par NBL &amp;D&amp;RPage &amp;P</oddFooter>
  </headerFooter>
  <rowBreaks count="1" manualBreakCount="1">
    <brk id="115" max="16383" man="1"/>
  </rowBreaks>
  <colBreaks count="4" manualBreakCount="4">
    <brk id="158" max="1048575" man="1"/>
    <brk id="165" max="1048575" man="1"/>
    <brk id="221" max="1048575" man="1"/>
    <brk id="236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33</vt:i4>
      </vt:variant>
    </vt:vector>
  </HeadingPairs>
  <TitlesOfParts>
    <vt:vector size="35" baseType="lpstr">
      <vt:lpstr>Données initiales</vt:lpstr>
      <vt:lpstr>Feuil1</vt:lpstr>
      <vt:lpstr>Annee_Inaug</vt:lpstr>
      <vt:lpstr>Annee_OS</vt:lpstr>
      <vt:lpstr>Arrangeur</vt:lpstr>
      <vt:lpstr>Arrêté_LBU</vt:lpstr>
      <vt:lpstr>Ass</vt:lpstr>
      <vt:lpstr>AUTRES_SUB</vt:lpstr>
      <vt:lpstr>Avancement</vt:lpstr>
      <vt:lpstr>Bdgt</vt:lpstr>
      <vt:lpstr>CI</vt:lpstr>
      <vt:lpstr>Fonds_propres</vt:lpstr>
      <vt:lpstr>'Données initiales'!Impression_des_titres</vt:lpstr>
      <vt:lpstr>LBU</vt:lpstr>
      <vt:lpstr>Livraison</vt:lpstr>
      <vt:lpstr>LLS</vt:lpstr>
      <vt:lpstr>LLTS</vt:lpstr>
      <vt:lpstr>Loyers</vt:lpstr>
      <vt:lpstr>Nlgts</vt:lpstr>
      <vt:lpstr>Notaire</vt:lpstr>
      <vt:lpstr>OS</vt:lpstr>
      <vt:lpstr>PRET</vt:lpstr>
      <vt:lpstr>Prix_Achat_TTC</vt:lpstr>
      <vt:lpstr>Prog</vt:lpstr>
      <vt:lpstr>PRP</vt:lpstr>
      <vt:lpstr>Px_Foncier</vt:lpstr>
      <vt:lpstr>Retard_loyer</vt:lpstr>
      <vt:lpstr>Retard_VEFA</vt:lpstr>
      <vt:lpstr>RO</vt:lpstr>
      <vt:lpstr>S_TERRAIN</vt:lpstr>
      <vt:lpstr>SF</vt:lpstr>
      <vt:lpstr>SF_VEFA</vt:lpstr>
      <vt:lpstr>SHAB_VEFA</vt:lpstr>
      <vt:lpstr>Type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2018-07-24T07:45:17Z</cp:lastPrinted>
  <dcterms:created xsi:type="dcterms:W3CDTF">2012-11-19T18:43:46Z</dcterms:created>
  <dcterms:modified xsi:type="dcterms:W3CDTF">2018-08-20T12:36:05Z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