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10215" windowHeight="300"/>
  </bookViews>
  <sheets>
    <sheet name="Données initiales" sheetId="1" r:id="rId1"/>
    <sheet name="Répartition par bassin et type" sheetId="40" r:id="rId2"/>
  </sheets>
  <definedNames>
    <definedName name="_xlnm._FilterDatabase" localSheetId="0" hidden="1">'Données initiales'!$A$1:$JZ$128</definedName>
    <definedName name="_NH2011">#REF!</definedName>
    <definedName name="_NH2012">#REF!</definedName>
    <definedName name="_Rem2010">#REF!</definedName>
    <definedName name="_Rem2011">#REF!</definedName>
    <definedName name="_Rem2012">#REF!</definedName>
    <definedName name="_Rem2013">#REF!</definedName>
    <definedName name="_Rem2014">#REF!</definedName>
    <definedName name="_RO2010">#REF!</definedName>
    <definedName name="_RO2011">#REF!</definedName>
    <definedName name="_RO2012">#REF!</definedName>
    <definedName name="_RO2013">#REF!</definedName>
    <definedName name="_RO2014">#REF!</definedName>
    <definedName name="Annee_Inaug">'Données initiales'!$FL$2:$FL$127</definedName>
    <definedName name="Annee_OS">'Données initiales'!$DY$2:$DY$127</definedName>
    <definedName name="Arrangeur">'Données initiales'!$BF$23:$BF$127</definedName>
    <definedName name="Arrêté_LBU">'Données initiales'!$BI$23:$BI$127</definedName>
    <definedName name="Ass">'Données initiales'!$H$2:$H$127</definedName>
    <definedName name="AUTRES_SUB">'Données initiales'!$HZ$2:$HZ$127</definedName>
    <definedName name="Avancement">'Données initiales'!$I$2:$I$127</definedName>
    <definedName name="Avct">#REF!</definedName>
    <definedName name="Bdgt">'Données initiales'!$GX$4:$GX$127</definedName>
    <definedName name="Bdgt2010">#REF!</definedName>
    <definedName name="Bdgt2011">#REF!</definedName>
    <definedName name="Bdgt2012">#REF!</definedName>
    <definedName name="Bdgt2013">#REF!</definedName>
    <definedName name="Bdgt2014">#REF!</definedName>
    <definedName name="CAF">'Données initiales'!$HW$2:$HW$127</definedName>
    <definedName name="CI">'Données initiales'!$HJ$2:$HJ$127</definedName>
    <definedName name="Fonds_propres">'Données initiales'!$IO$2:$IO$127</definedName>
    <definedName name="HonoS">'Données initiales'!#REF!</definedName>
    <definedName name="_xlnm.Print_Titles" localSheetId="0">'Données initiales'!$A:$A,'Données initiales'!$1:$1</definedName>
    <definedName name="LBU">'Données initiales'!$HU$2:$HU$127</definedName>
    <definedName name="LBU_obtenue">'Données initiales'!$HV$2:$HV$127</definedName>
    <definedName name="Livraison">'Données initiales'!$FK$2:$FK$127</definedName>
    <definedName name="LLS">'Données initiales'!$AG$23:$AG$127</definedName>
    <definedName name="LLTS">'Données initiales'!$AH$23:$AH$127</definedName>
    <definedName name="Loyers">'Données initiales'!$FO$2:$FO$127</definedName>
    <definedName name="N">#REF!</definedName>
    <definedName name="Nlgts">'Données initiales'!$AE$2:$AE$127</definedName>
    <definedName name="Notaire">'Données initiales'!$CS$2:$CS$127</definedName>
    <definedName name="OS">'Données initiales'!$DX$2:$DX$127</definedName>
    <definedName name="PEEC">'Données initiales'!$HT$2:$HT$127</definedName>
    <definedName name="Phase">#REF!</definedName>
    <definedName name="Phase2010">#REF!</definedName>
    <definedName name="Phase2011">#REF!</definedName>
    <definedName name="Phase2012">#REF!</definedName>
    <definedName name="Phase2013">#REF!</definedName>
    <definedName name="Phase2014">#REF!</definedName>
    <definedName name="PRET">'Données initiales'!$HO$2:$HO$127</definedName>
    <definedName name="Prix_Achat_TTC">'Données initiales'!$BA$2:$BA$127</definedName>
    <definedName name="Prog">'Données initiales'!$E$2:$E$127</definedName>
    <definedName name="Prog2010">#REF!</definedName>
    <definedName name="Prog2011">#REF!</definedName>
    <definedName name="Prog2012">#REF!</definedName>
    <definedName name="Prog2013">#REF!</definedName>
    <definedName name="Prog2014">#REF!</definedName>
    <definedName name="PRP">'Données initiales'!$GY$2:$GY$127</definedName>
    <definedName name="Px_Foncier">'Données initiales'!$Q$2:$Q$127</definedName>
    <definedName name="Rem">#REF!</definedName>
    <definedName name="RemEtude2010">#REF!</definedName>
    <definedName name="RemEtude2011">#REF!</definedName>
    <definedName name="RemEtude2012">#REF!</definedName>
    <definedName name="RemEtude2013">#REF!</definedName>
    <definedName name="RemEtude2014">#REF!</definedName>
    <definedName name="RemEtudes">#REF!</definedName>
    <definedName name="RemRest">#REF!</definedName>
    <definedName name="RemRest2010">#REF!</definedName>
    <definedName name="RemRest2011">#REF!</definedName>
    <definedName name="RemRest2012">#REF!</definedName>
    <definedName name="RemRest2013">#REF!</definedName>
    <definedName name="RemRest2014">#REF!</definedName>
    <definedName name="RemTvx">#REF!</definedName>
    <definedName name="RemTvx2010">#REF!</definedName>
    <definedName name="RemTvx2011">#REF!</definedName>
    <definedName name="RemTvx2012">#REF!</definedName>
    <definedName name="RemTvx2013">#REF!</definedName>
    <definedName name="RemTvx2014">#REF!</definedName>
    <definedName name="Resp">#REF!</definedName>
    <definedName name="Retard_loyer">'Données initiales'!$FM$2:$FM$127</definedName>
    <definedName name="Retard_VEFA">'Données initiales'!$DA$2:$DA$127</definedName>
    <definedName name="RO">'Données initiales'!$G$2:$G$127</definedName>
    <definedName name="S_TERRAIN">'Données initiales'!$P$2:$P$127</definedName>
    <definedName name="SF">'Données initiales'!$AN$2:$AN$127</definedName>
    <definedName name="SF_VEFA">'Données initiales'!$AM$2:$AM$127</definedName>
    <definedName name="SHAB_VEFA">'Données initiales'!$AK$2:$AK$127</definedName>
    <definedName name="Type">'Données initiales'!$AD$2:$AD$127</definedName>
    <definedName name="Ville">'Données initiales'!$C$2:$C$127</definedName>
  </definedNames>
  <calcPr calcId="152511" calcMode="manual"/>
  <pivotCaches>
    <pivotCache cacheId="19" r:id="rId3"/>
  </pivotCaches>
</workbook>
</file>

<file path=xl/calcChain.xml><?xml version="1.0" encoding="utf-8"?>
<calcChain xmlns="http://schemas.openxmlformats.org/spreadsheetml/2006/main">
  <c r="IR53" i="1" l="1"/>
  <c r="FC63" i="1" l="1"/>
  <c r="JL53" i="1" l="1"/>
  <c r="Z89" i="1" l="1"/>
  <c r="H139" i="1" l="1"/>
  <c r="F139" i="1"/>
  <c r="HZ64" i="1" l="1"/>
  <c r="DU74" i="1" l="1"/>
  <c r="P130" i="1" l="1"/>
  <c r="AI114" i="1"/>
  <c r="AE114" i="1"/>
  <c r="AG141" i="1"/>
  <c r="L135" i="1"/>
  <c r="DX131" i="1"/>
  <c r="FB81" i="1"/>
  <c r="FC81" i="1" s="1"/>
  <c r="FE81" i="1"/>
  <c r="EH81" i="1"/>
  <c r="EI81" i="1" s="1"/>
  <c r="EL81" i="1"/>
  <c r="EN81" i="1"/>
  <c r="EO81" i="1" s="1"/>
  <c r="EQ81" i="1"/>
  <c r="ER81" i="1" s="1"/>
  <c r="ET81" i="1"/>
  <c r="EU81" i="1" s="1"/>
  <c r="EW81" i="1"/>
  <c r="EX81" i="1" s="1"/>
  <c r="EE81" i="1"/>
  <c r="EF81" i="1" s="1"/>
  <c r="DZ81" i="1"/>
  <c r="EA81" i="1"/>
  <c r="AE81" i="1"/>
  <c r="T81" i="1"/>
  <c r="U81" i="1"/>
  <c r="V81" i="1"/>
  <c r="L132" i="1"/>
  <c r="AF114" i="1" l="1"/>
  <c r="Z114" i="1"/>
  <c r="W81" i="1"/>
  <c r="Z81" i="1"/>
  <c r="X81" i="1"/>
  <c r="FH81" i="1"/>
  <c r="FK81" i="1" s="1"/>
  <c r="EC81" i="1"/>
  <c r="FJ81" i="1"/>
  <c r="FD81" i="1"/>
  <c r="S81" i="1"/>
  <c r="EN79" i="1"/>
  <c r="EO79" i="1" s="1"/>
  <c r="EQ79" i="1"/>
  <c r="ER79" i="1" s="1"/>
  <c r="ET79" i="1"/>
  <c r="EU79" i="1" s="1"/>
  <c r="EW79" i="1"/>
  <c r="EX79" i="1" s="1"/>
  <c r="EN80" i="1"/>
  <c r="EO80" i="1" s="1"/>
  <c r="EQ80" i="1"/>
  <c r="ER80" i="1" s="1"/>
  <c r="ET80" i="1"/>
  <c r="EU80" i="1" s="1"/>
  <c r="EW80" i="1"/>
  <c r="EX80" i="1" s="1"/>
  <c r="EK79" i="1"/>
  <c r="EK80" i="1"/>
  <c r="EL80" i="1" s="1"/>
  <c r="EE80" i="1"/>
  <c r="EF80" i="1" s="1"/>
  <c r="EH80" i="1"/>
  <c r="EI80" i="1" s="1"/>
  <c r="DZ80" i="1"/>
  <c r="EA80" i="1"/>
  <c r="FB36" i="1"/>
  <c r="FM81" i="1" l="1"/>
  <c r="FO81" i="1" s="1"/>
  <c r="FB106" i="1"/>
  <c r="AE106" i="1"/>
  <c r="U106" i="1"/>
  <c r="T106" i="1"/>
  <c r="FB114" i="1"/>
  <c r="AO114" i="1"/>
  <c r="U114" i="1"/>
  <c r="T114" i="1"/>
  <c r="FV108" i="1"/>
  <c r="FV115" i="1"/>
  <c r="FV110" i="1"/>
  <c r="FV116" i="1"/>
  <c r="FV111" i="1"/>
  <c r="FV112" i="1"/>
  <c r="FV105" i="1"/>
  <c r="FV107" i="1"/>
  <c r="FB112" i="1"/>
  <c r="FC112" i="1" s="1"/>
  <c r="FB111" i="1"/>
  <c r="FC111" i="1" s="1"/>
  <c r="FH111" i="1" s="1"/>
  <c r="FK111" i="1" s="1"/>
  <c r="FB116" i="1"/>
  <c r="FJ116" i="1" s="1"/>
  <c r="FB110" i="1"/>
  <c r="FJ110" i="1" s="1"/>
  <c r="FB115" i="1"/>
  <c r="FC115" i="1" s="1"/>
  <c r="FB107" i="1"/>
  <c r="FB105" i="1"/>
  <c r="FC105" i="1" s="1"/>
  <c r="FH105" i="1" s="1"/>
  <c r="FK105" i="1" s="1"/>
  <c r="FC80" i="1"/>
  <c r="FB104" i="1"/>
  <c r="FC104" i="1" s="1"/>
  <c r="FH104" i="1" s="1"/>
  <c r="FK104" i="1" s="1"/>
  <c r="FB101" i="1"/>
  <c r="FC101" i="1" s="1"/>
  <c r="FD101" i="1" s="1"/>
  <c r="FI101" i="1"/>
  <c r="FV87" i="1"/>
  <c r="FV84" i="1"/>
  <c r="FV83" i="1"/>
  <c r="FB87" i="1"/>
  <c r="FB84" i="1"/>
  <c r="FB83" i="1"/>
  <c r="FC83" i="1" s="1"/>
  <c r="FH83" i="1" s="1"/>
  <c r="FK83" i="1" s="1"/>
  <c r="AO106" i="1" l="1"/>
  <c r="Z106" i="1"/>
  <c r="FH80" i="1"/>
  <c r="FK80" i="1" s="1"/>
  <c r="FM80" i="1" s="1"/>
  <c r="FO80" i="1" s="1"/>
  <c r="EC80" i="1"/>
  <c r="FC106" i="1"/>
  <c r="FH106" i="1" s="1"/>
  <c r="FK106" i="1" s="1"/>
  <c r="FJ106" i="1"/>
  <c r="W106" i="1"/>
  <c r="AF106" i="1"/>
  <c r="S106" i="1"/>
  <c r="X106" i="1"/>
  <c r="FJ114" i="1"/>
  <c r="FC114" i="1"/>
  <c r="FH114" i="1" s="1"/>
  <c r="FK114" i="1" s="1"/>
  <c r="W114" i="1"/>
  <c r="S114" i="1"/>
  <c r="X114" i="1"/>
  <c r="FC110" i="1"/>
  <c r="FD110" i="1" s="1"/>
  <c r="FD111" i="1"/>
  <c r="FJ111" i="1"/>
  <c r="FM111" i="1" s="1"/>
  <c r="FO111" i="1" s="1"/>
  <c r="FD112" i="1"/>
  <c r="FH112" i="1"/>
  <c r="FK112" i="1" s="1"/>
  <c r="FD115" i="1"/>
  <c r="FH115" i="1"/>
  <c r="FK115" i="1" s="1"/>
  <c r="FC116" i="1"/>
  <c r="FH116" i="1" s="1"/>
  <c r="FK116" i="1" s="1"/>
  <c r="FM116" i="1" s="1"/>
  <c r="FO116" i="1" s="1"/>
  <c r="FJ115" i="1"/>
  <c r="FJ112" i="1"/>
  <c r="FJ107" i="1"/>
  <c r="FC107" i="1"/>
  <c r="FH107" i="1" s="1"/>
  <c r="FK107" i="1" s="1"/>
  <c r="FJ105" i="1"/>
  <c r="FM105" i="1" s="1"/>
  <c r="FO105" i="1" s="1"/>
  <c r="FD105" i="1"/>
  <c r="FJ101" i="1"/>
  <c r="FD80" i="1"/>
  <c r="FJ104" i="1"/>
  <c r="FM104" i="1" s="1"/>
  <c r="FO104" i="1" s="1"/>
  <c r="FD104" i="1"/>
  <c r="FH101" i="1"/>
  <c r="FK101" i="1" s="1"/>
  <c r="FC87" i="1"/>
  <c r="FH87" i="1" s="1"/>
  <c r="FK87" i="1" s="1"/>
  <c r="FJ84" i="1"/>
  <c r="FD83" i="1"/>
  <c r="FJ87" i="1"/>
  <c r="FC84" i="1"/>
  <c r="FH84" i="1" s="1"/>
  <c r="FK84" i="1" s="1"/>
  <c r="FJ83" i="1"/>
  <c r="FM83" i="1" s="1"/>
  <c r="FO83" i="1" s="1"/>
  <c r="AH36" i="1"/>
  <c r="FH110" i="1" l="1"/>
  <c r="FK110" i="1" s="1"/>
  <c r="FM110" i="1" s="1"/>
  <c r="FO110" i="1" s="1"/>
  <c r="FM106" i="1"/>
  <c r="FO106" i="1" s="1"/>
  <c r="FD106" i="1"/>
  <c r="FM114" i="1"/>
  <c r="FO114" i="1" s="1"/>
  <c r="FD114" i="1"/>
  <c r="FM115" i="1"/>
  <c r="FO115" i="1" s="1"/>
  <c r="FM112" i="1"/>
  <c r="FO112" i="1" s="1"/>
  <c r="FD116" i="1"/>
  <c r="FM107" i="1"/>
  <c r="FO107" i="1" s="1"/>
  <c r="FD107" i="1"/>
  <c r="FM101" i="1"/>
  <c r="FO101" i="1" s="1"/>
  <c r="FM84" i="1"/>
  <c r="FO84" i="1" s="1"/>
  <c r="FM87" i="1"/>
  <c r="FO87" i="1" s="1"/>
  <c r="FD84" i="1"/>
  <c r="FD87" i="1"/>
  <c r="T104" i="1"/>
  <c r="U104" i="1"/>
  <c r="T99" i="1"/>
  <c r="U99" i="1"/>
  <c r="AE104" i="1"/>
  <c r="AF104" i="1" l="1"/>
  <c r="Z104" i="1"/>
  <c r="AO104" i="1"/>
  <c r="W104" i="1"/>
  <c r="X104" i="1"/>
  <c r="S104" i="1"/>
  <c r="Q80" i="1"/>
  <c r="U80" i="1"/>
  <c r="V80" i="1"/>
  <c r="AE80" i="1"/>
  <c r="AV80" i="1"/>
  <c r="BP80" i="1"/>
  <c r="BQ80" i="1" s="1"/>
  <c r="CP80" i="1"/>
  <c r="CR80" i="1"/>
  <c r="DP80" i="1"/>
  <c r="DB80" i="1"/>
  <c r="DD80" i="1"/>
  <c r="FI80" i="1"/>
  <c r="FG80" i="1"/>
  <c r="FV80" i="1"/>
  <c r="GB80" i="1"/>
  <c r="GQ80" i="1"/>
  <c r="GT80" i="1" s="1"/>
  <c r="GX80" i="1"/>
  <c r="HG80" i="1"/>
  <c r="GR80" i="1" s="1"/>
  <c r="HS80" i="1"/>
  <c r="IC80" i="1"/>
  <c r="IJ80" i="1"/>
  <c r="W80" i="1" l="1"/>
  <c r="Z80" i="1"/>
  <c r="HV80" i="1"/>
  <c r="HD80" i="1"/>
  <c r="HU80" i="1"/>
  <c r="HT80" i="1"/>
  <c r="IA80" i="1"/>
  <c r="HK80" i="1"/>
  <c r="GI80" i="1"/>
  <c r="ID80" i="1"/>
  <c r="BR80" i="1"/>
  <c r="AR80" i="1"/>
  <c r="AQ80" i="1"/>
  <c r="S80" i="1"/>
  <c r="HP80" i="1"/>
  <c r="GS80" i="1"/>
  <c r="GY80" i="1"/>
  <c r="HJ80" i="1"/>
  <c r="DF80" i="1"/>
  <c r="DG80" i="1" s="1"/>
  <c r="AP80" i="1"/>
  <c r="X80" i="1"/>
  <c r="T80" i="1"/>
  <c r="GU80" i="1"/>
  <c r="AN80" i="1"/>
  <c r="IH80" i="1"/>
  <c r="GA80" i="1"/>
  <c r="BT80" i="1" l="1"/>
  <c r="BU80" i="1"/>
  <c r="GD80" i="1"/>
  <c r="GJ80" i="1" s="1"/>
  <c r="P101" i="1"/>
  <c r="T101" i="1" s="1"/>
  <c r="V101" i="1"/>
  <c r="AE101" i="1"/>
  <c r="S101" i="1" l="1"/>
  <c r="Z101" i="1"/>
  <c r="U101" i="1"/>
  <c r="AO101" i="1"/>
  <c r="X101" i="1"/>
  <c r="AF101" i="1"/>
  <c r="W101" i="1"/>
  <c r="HT25" i="1" l="1"/>
  <c r="E147" i="1" l="1"/>
  <c r="AE109" i="1" l="1"/>
  <c r="Z109" i="1" s="1"/>
  <c r="GY72" i="1" l="1"/>
  <c r="GY70" i="1"/>
  <c r="GY71" i="1"/>
  <c r="BO69" i="1"/>
  <c r="BO72" i="1"/>
  <c r="BO70" i="1"/>
  <c r="BO71" i="1"/>
  <c r="AE116" i="1" l="1"/>
  <c r="V116" i="1"/>
  <c r="T116" i="1"/>
  <c r="U116" i="1"/>
  <c r="T115" i="1"/>
  <c r="U115" i="1"/>
  <c r="V115" i="1"/>
  <c r="AE115" i="1"/>
  <c r="AE105" i="1"/>
  <c r="V105" i="1"/>
  <c r="U105" i="1"/>
  <c r="T105" i="1"/>
  <c r="AE113" i="1"/>
  <c r="P107" i="1"/>
  <c r="T107" i="1" s="1"/>
  <c r="V107" i="1"/>
  <c r="AE107" i="1"/>
  <c r="AF107" i="1" l="1"/>
  <c r="Z107" i="1"/>
  <c r="AF115" i="1"/>
  <c r="Z115" i="1"/>
  <c r="AF113" i="1"/>
  <c r="Z113" i="1"/>
  <c r="S105" i="1"/>
  <c r="Z105" i="1"/>
  <c r="AF116" i="1"/>
  <c r="Z116" i="1"/>
  <c r="W105" i="1"/>
  <c r="X105" i="1"/>
  <c r="W116" i="1"/>
  <c r="X116" i="1"/>
  <c r="S116" i="1"/>
  <c r="AF105" i="1"/>
  <c r="X115" i="1"/>
  <c r="W115" i="1"/>
  <c r="S115" i="1"/>
  <c r="W107" i="1"/>
  <c r="S107" i="1"/>
  <c r="U107" i="1"/>
  <c r="X107" i="1"/>
  <c r="AE112" i="1"/>
  <c r="T112" i="1"/>
  <c r="U112" i="1"/>
  <c r="V112" i="1"/>
  <c r="AF112" i="1" l="1"/>
  <c r="Z112" i="1"/>
  <c r="W112" i="1"/>
  <c r="X112" i="1"/>
  <c r="S112" i="1"/>
  <c r="AE126" i="1"/>
  <c r="AE110" i="1"/>
  <c r="V110" i="1"/>
  <c r="AF110" i="1" l="1"/>
  <c r="Z110" i="1"/>
  <c r="W126" i="1"/>
  <c r="Z126" i="1"/>
  <c r="S126" i="1"/>
  <c r="W110" i="1"/>
  <c r="AF126" i="1"/>
  <c r="S110" i="1"/>
  <c r="P110" i="1"/>
  <c r="R102" i="1"/>
  <c r="AE83" i="1"/>
  <c r="T83" i="1"/>
  <c r="U83" i="1"/>
  <c r="V83" i="1"/>
  <c r="AF83" i="1" l="1"/>
  <c r="Z83" i="1"/>
  <c r="T110" i="1"/>
  <c r="U110" i="1"/>
  <c r="X110" i="1"/>
  <c r="W83" i="1"/>
  <c r="X83" i="1"/>
  <c r="S83" i="1"/>
  <c r="AE120" i="1"/>
  <c r="V120" i="1"/>
  <c r="T120" i="1"/>
  <c r="U120" i="1"/>
  <c r="AE119" i="1"/>
  <c r="V119" i="1"/>
  <c r="T119" i="1"/>
  <c r="U119" i="1"/>
  <c r="AE127" i="1"/>
  <c r="V127" i="1"/>
  <c r="T127" i="1"/>
  <c r="U127" i="1"/>
  <c r="AE122" i="1"/>
  <c r="T122" i="1"/>
  <c r="U122" i="1"/>
  <c r="V122" i="1"/>
  <c r="AE121" i="1"/>
  <c r="T121" i="1"/>
  <c r="U121" i="1"/>
  <c r="V121" i="1"/>
  <c r="AE123" i="1"/>
  <c r="V124" i="1"/>
  <c r="V123" i="1"/>
  <c r="T123" i="1"/>
  <c r="U123" i="1"/>
  <c r="AE124" i="1"/>
  <c r="T124" i="1"/>
  <c r="U124" i="1"/>
  <c r="V125" i="1"/>
  <c r="AE125" i="1"/>
  <c r="T125" i="1"/>
  <c r="U125" i="1"/>
  <c r="T111" i="1"/>
  <c r="U111" i="1"/>
  <c r="V111" i="1"/>
  <c r="V99" i="1"/>
  <c r="X113" i="1"/>
  <c r="AE111" i="1"/>
  <c r="S111" i="1" l="1"/>
  <c r="Z111" i="1"/>
  <c r="S125" i="1"/>
  <c r="Z125" i="1"/>
  <c r="W124" i="1"/>
  <c r="Z124" i="1"/>
  <c r="AO123" i="1"/>
  <c r="Z123" i="1"/>
  <c r="AO121" i="1"/>
  <c r="Z121" i="1"/>
  <c r="AF122" i="1"/>
  <c r="Z122" i="1"/>
  <c r="AF127" i="1"/>
  <c r="Z127" i="1"/>
  <c r="AF119" i="1"/>
  <c r="Z119" i="1"/>
  <c r="AF120" i="1"/>
  <c r="Z120" i="1"/>
  <c r="W122" i="1"/>
  <c r="S119" i="1"/>
  <c r="AF123" i="1"/>
  <c r="X122" i="1"/>
  <c r="S127" i="1"/>
  <c r="X121" i="1"/>
  <c r="AF121" i="1"/>
  <c r="AF124" i="1"/>
  <c r="X127" i="1"/>
  <c r="X119" i="1"/>
  <c r="X111" i="1"/>
  <c r="AO124" i="1"/>
  <c r="S124" i="1"/>
  <c r="W127" i="1"/>
  <c r="W119" i="1"/>
  <c r="X120" i="1"/>
  <c r="W120" i="1"/>
  <c r="S120" i="1"/>
  <c r="S122" i="1"/>
  <c r="W121" i="1"/>
  <c r="S121" i="1"/>
  <c r="X123" i="1"/>
  <c r="S123" i="1"/>
  <c r="W123" i="1"/>
  <c r="X124" i="1"/>
  <c r="AF125" i="1"/>
  <c r="X125" i="1"/>
  <c r="W125" i="1"/>
  <c r="AO125" i="1"/>
  <c r="W111" i="1"/>
  <c r="AO111" i="1"/>
  <c r="AF111" i="1"/>
  <c r="X131" i="1"/>
  <c r="Y130" i="1"/>
  <c r="U132" i="1"/>
  <c r="FT131" i="1" l="1"/>
  <c r="FW131" i="1"/>
  <c r="FX131" i="1"/>
  <c r="FY131" i="1"/>
  <c r="FZ131" i="1"/>
  <c r="GA131" i="1"/>
  <c r="GB131" i="1"/>
  <c r="GC131" i="1"/>
  <c r="GD131" i="1"/>
  <c r="GE131" i="1"/>
  <c r="GF131" i="1"/>
  <c r="GH131" i="1"/>
  <c r="GI131" i="1"/>
  <c r="GJ131" i="1"/>
  <c r="GK131" i="1"/>
  <c r="GL131" i="1"/>
  <c r="GM131" i="1"/>
  <c r="GN131" i="1"/>
  <c r="GO131" i="1"/>
  <c r="GP131" i="1"/>
  <c r="GQ131" i="1"/>
  <c r="GR131" i="1"/>
  <c r="GS131" i="1"/>
  <c r="GT131" i="1"/>
  <c r="GU131" i="1"/>
  <c r="GV131" i="1"/>
  <c r="GW131" i="1"/>
  <c r="HE131" i="1"/>
  <c r="HH131" i="1"/>
  <c r="HJ131" i="1"/>
  <c r="HK131" i="1"/>
  <c r="HP131" i="1"/>
  <c r="HT131" i="1"/>
  <c r="JT47" i="1" l="1"/>
  <c r="JR47" i="1"/>
  <c r="FE42" i="1" l="1"/>
  <c r="AE87" i="1" l="1"/>
  <c r="V103" i="1"/>
  <c r="U103" i="1"/>
  <c r="T103" i="1"/>
  <c r="V109" i="1"/>
  <c r="U109" i="1"/>
  <c r="T109" i="1"/>
  <c r="V108" i="1"/>
  <c r="U108" i="1"/>
  <c r="T108" i="1"/>
  <c r="V84" i="1"/>
  <c r="U84" i="1"/>
  <c r="T84" i="1"/>
  <c r="V82" i="1"/>
  <c r="U82" i="1"/>
  <c r="T82" i="1"/>
  <c r="V102" i="1"/>
  <c r="U102" i="1"/>
  <c r="T102" i="1"/>
  <c r="V88" i="1"/>
  <c r="V87" i="1"/>
  <c r="AF87" i="1" l="1"/>
  <c r="P87" i="1"/>
  <c r="T87" i="1" s="1"/>
  <c r="AO87" i="1"/>
  <c r="S87" i="1"/>
  <c r="W87" i="1"/>
  <c r="Z87" i="1" l="1"/>
  <c r="U87" i="1"/>
  <c r="X87" i="1"/>
  <c r="BB91" i="1" l="1"/>
  <c r="BB88" i="1"/>
  <c r="BB86" i="1"/>
  <c r="BB85" i="1"/>
  <c r="BB36" i="1"/>
  <c r="BB53" i="1"/>
  <c r="BB52" i="1"/>
  <c r="BB48" i="1"/>
  <c r="BB47" i="1"/>
  <c r="BB57" i="1"/>
  <c r="BB38" i="1"/>
  <c r="BB37" i="1"/>
  <c r="BB7" i="1"/>
  <c r="BB9" i="1"/>
  <c r="BB8" i="1"/>
  <c r="BB10" i="1"/>
  <c r="IO86" i="1"/>
  <c r="GZ86" i="1"/>
  <c r="FV86" i="1"/>
  <c r="FE86" i="1"/>
  <c r="FB86" i="1"/>
  <c r="EW86" i="1"/>
  <c r="EX86" i="1" s="1"/>
  <c r="ET86" i="1"/>
  <c r="EU86" i="1" s="1"/>
  <c r="EQ86" i="1"/>
  <c r="ER86" i="1" s="1"/>
  <c r="EN86" i="1"/>
  <c r="EO86" i="1" s="1"/>
  <c r="EL86" i="1"/>
  <c r="EH86" i="1"/>
  <c r="EE86" i="1"/>
  <c r="EF86" i="1" s="1"/>
  <c r="EA86" i="1"/>
  <c r="DZ86" i="1"/>
  <c r="BX86" i="1"/>
  <c r="BY86" i="1" s="1"/>
  <c r="AE86" i="1"/>
  <c r="IB86" i="1" l="1"/>
  <c r="R86" i="1"/>
  <c r="W86" i="1" s="1"/>
  <c r="Q86" i="1"/>
  <c r="S86" i="1" s="1"/>
  <c r="P86" i="1"/>
  <c r="Z86" i="1" s="1"/>
  <c r="AF86" i="1"/>
  <c r="FC86" i="1"/>
  <c r="FJ86" i="1"/>
  <c r="IC86" i="1"/>
  <c r="AO86" i="1"/>
  <c r="II86" i="1"/>
  <c r="IK86" i="1"/>
  <c r="X86" i="1" l="1"/>
  <c r="T86" i="1"/>
  <c r="V86" i="1"/>
  <c r="U86" i="1"/>
  <c r="FH86" i="1"/>
  <c r="FK86" i="1" s="1"/>
  <c r="FM86" i="1" s="1"/>
  <c r="FO86" i="1" s="1"/>
  <c r="EC86" i="1"/>
  <c r="GG86" i="1"/>
  <c r="FD86" i="1"/>
  <c r="BP64" i="1" l="1"/>
  <c r="AE84" i="1" l="1"/>
  <c r="Z84" i="1" s="1"/>
  <c r="X84" i="1" l="1"/>
  <c r="S84" i="1"/>
  <c r="AF84" i="1"/>
  <c r="W84" i="1"/>
  <c r="AO84" i="1"/>
  <c r="GZ99" i="1"/>
  <c r="GZ108" i="1"/>
  <c r="GZ102" i="1"/>
  <c r="GZ88" i="1"/>
  <c r="GZ85" i="1"/>
  <c r="GY63" i="1" l="1"/>
  <c r="AF89" i="1"/>
  <c r="FV85" i="1" l="1"/>
  <c r="FV88" i="1"/>
  <c r="FV102" i="1"/>
  <c r="FV99" i="1"/>
  <c r="FE109" i="1"/>
  <c r="FE113" i="1"/>
  <c r="FE103" i="1"/>
  <c r="FE99" i="1"/>
  <c r="FE85" i="1"/>
  <c r="FE88" i="1"/>
  <c r="FE100" i="1"/>
  <c r="FE91" i="1"/>
  <c r="FE82" i="1"/>
  <c r="FE102" i="1"/>
  <c r="FE117" i="1"/>
  <c r="FE118" i="1"/>
  <c r="FE108" i="1"/>
  <c r="EN78" i="1"/>
  <c r="EO78" i="1" s="1"/>
  <c r="EQ78" i="1"/>
  <c r="ER78" i="1" s="1"/>
  <c r="ET78" i="1"/>
  <c r="EU78" i="1" s="1"/>
  <c r="EW78" i="1"/>
  <c r="EX78" i="1" s="1"/>
  <c r="EL79" i="1"/>
  <c r="EL85" i="1"/>
  <c r="EN85" i="1"/>
  <c r="EO85" i="1" s="1"/>
  <c r="EQ85" i="1"/>
  <c r="ER85" i="1" s="1"/>
  <c r="ET85" i="1"/>
  <c r="EU85" i="1" s="1"/>
  <c r="EW85" i="1"/>
  <c r="EX85" i="1" s="1"/>
  <c r="EL88" i="1"/>
  <c r="EN88" i="1"/>
  <c r="EO88" i="1" s="1"/>
  <c r="EQ88" i="1"/>
  <c r="ER88" i="1" s="1"/>
  <c r="ET88" i="1"/>
  <c r="EU88" i="1" s="1"/>
  <c r="EW88" i="1"/>
  <c r="EX88" i="1" s="1"/>
  <c r="EN100" i="1"/>
  <c r="EO100" i="1" s="1"/>
  <c r="EQ100" i="1"/>
  <c r="ER100" i="1" s="1"/>
  <c r="ET100" i="1"/>
  <c r="EU100" i="1" s="1"/>
  <c r="EW100" i="1"/>
  <c r="EX100" i="1" s="1"/>
  <c r="EL91" i="1"/>
  <c r="EN91" i="1"/>
  <c r="EO91" i="1" s="1"/>
  <c r="EQ91" i="1"/>
  <c r="ER91" i="1" s="1"/>
  <c r="ET91" i="1"/>
  <c r="EU91" i="1" s="1"/>
  <c r="EW91" i="1"/>
  <c r="EX91" i="1" s="1"/>
  <c r="EL82" i="1"/>
  <c r="EN82" i="1"/>
  <c r="EO82" i="1" s="1"/>
  <c r="EQ82" i="1"/>
  <c r="ER82" i="1" s="1"/>
  <c r="ET82" i="1"/>
  <c r="EU82" i="1" s="1"/>
  <c r="EW82" i="1"/>
  <c r="EX82" i="1" s="1"/>
  <c r="EL102" i="1"/>
  <c r="EN102" i="1"/>
  <c r="EO102" i="1" s="1"/>
  <c r="EQ102" i="1"/>
  <c r="ER102" i="1" s="1"/>
  <c r="ET102" i="1"/>
  <c r="EU102" i="1" s="1"/>
  <c r="EW102" i="1"/>
  <c r="EX102" i="1" s="1"/>
  <c r="EN117" i="1"/>
  <c r="EO117" i="1" s="1"/>
  <c r="EQ117" i="1"/>
  <c r="ER117" i="1" s="1"/>
  <c r="ET117" i="1"/>
  <c r="EU117" i="1" s="1"/>
  <c r="EW117" i="1"/>
  <c r="EX117" i="1" s="1"/>
  <c r="EN118" i="1"/>
  <c r="EO118" i="1" s="1"/>
  <c r="EQ118" i="1"/>
  <c r="ER118" i="1" s="1"/>
  <c r="ET118" i="1"/>
  <c r="EU118" i="1" s="1"/>
  <c r="EW118" i="1"/>
  <c r="EX118" i="1" s="1"/>
  <c r="EL108" i="1"/>
  <c r="EN108" i="1"/>
  <c r="EO108" i="1" s="1"/>
  <c r="EQ108" i="1"/>
  <c r="ER108" i="1" s="1"/>
  <c r="ET108" i="1"/>
  <c r="EU108" i="1" s="1"/>
  <c r="EW108" i="1"/>
  <c r="EX108" i="1" s="1"/>
  <c r="EL109" i="1"/>
  <c r="EN109" i="1"/>
  <c r="EO109" i="1" s="1"/>
  <c r="EQ109" i="1"/>
  <c r="ER109" i="1" s="1"/>
  <c r="ET109" i="1"/>
  <c r="EU109" i="1" s="1"/>
  <c r="EW109" i="1"/>
  <c r="EX109" i="1" s="1"/>
  <c r="EL113" i="1"/>
  <c r="EN113" i="1"/>
  <c r="EO113" i="1" s="1"/>
  <c r="EQ113" i="1"/>
  <c r="ER113" i="1" s="1"/>
  <c r="ET113" i="1"/>
  <c r="EU113" i="1" s="1"/>
  <c r="EW113" i="1"/>
  <c r="EX113" i="1" s="1"/>
  <c r="EL103" i="1"/>
  <c r="EN103" i="1"/>
  <c r="EO103" i="1" s="1"/>
  <c r="EQ103" i="1"/>
  <c r="ER103" i="1" s="1"/>
  <c r="ET103" i="1"/>
  <c r="EU103" i="1" s="1"/>
  <c r="EW103" i="1"/>
  <c r="EX103" i="1" s="1"/>
  <c r="EL99" i="1"/>
  <c r="EN99" i="1"/>
  <c r="EO99" i="1" s="1"/>
  <c r="EQ99" i="1"/>
  <c r="ER99" i="1" s="1"/>
  <c r="ET99" i="1"/>
  <c r="EU99" i="1" s="1"/>
  <c r="EW99" i="1"/>
  <c r="EX99" i="1" s="1"/>
  <c r="EH78" i="1"/>
  <c r="EH79" i="1"/>
  <c r="EH85" i="1"/>
  <c r="EH88" i="1"/>
  <c r="EH100" i="1"/>
  <c r="EH91" i="1"/>
  <c r="EH82" i="1"/>
  <c r="EH102" i="1"/>
  <c r="EH117" i="1"/>
  <c r="EH118" i="1"/>
  <c r="EH108" i="1"/>
  <c r="EH109" i="1"/>
  <c r="EH113" i="1"/>
  <c r="EH103" i="1"/>
  <c r="EH99" i="1"/>
  <c r="EE59" i="1"/>
  <c r="EE58" i="1"/>
  <c r="EE55" i="1"/>
  <c r="EE54" i="1"/>
  <c r="EE60" i="1"/>
  <c r="EE56" i="1"/>
  <c r="EE63" i="1"/>
  <c r="EE70" i="1"/>
  <c r="EE71" i="1"/>
  <c r="EE72" i="1"/>
  <c r="EE69" i="1"/>
  <c r="EE61" i="1"/>
  <c r="EE62" i="1"/>
  <c r="EE36" i="1"/>
  <c r="EE65" i="1"/>
  <c r="EE64" i="1"/>
  <c r="EE66" i="1"/>
  <c r="EE68" i="1"/>
  <c r="EE75" i="1"/>
  <c r="EE67" i="1"/>
  <c r="EE73" i="1"/>
  <c r="EE74" i="1"/>
  <c r="EE76" i="1"/>
  <c r="EE92" i="1"/>
  <c r="EE89" i="1"/>
  <c r="EE90" i="1"/>
  <c r="EE93" i="1"/>
  <c r="EE94" i="1"/>
  <c r="EE95" i="1"/>
  <c r="EE98" i="1"/>
  <c r="EE96" i="1"/>
  <c r="EE97" i="1"/>
  <c r="EE77" i="1"/>
  <c r="EF77" i="1" s="1"/>
  <c r="EE78" i="1"/>
  <c r="EF78" i="1" s="1"/>
  <c r="EE79" i="1"/>
  <c r="EF79" i="1" s="1"/>
  <c r="EE85" i="1"/>
  <c r="EF85" i="1" s="1"/>
  <c r="EE88" i="1"/>
  <c r="EF88" i="1" s="1"/>
  <c r="EE100" i="1"/>
  <c r="EF100" i="1" s="1"/>
  <c r="EE91" i="1"/>
  <c r="EF91" i="1" s="1"/>
  <c r="EE82" i="1"/>
  <c r="EF82" i="1" s="1"/>
  <c r="EE102" i="1"/>
  <c r="EF102" i="1" s="1"/>
  <c r="EE117" i="1"/>
  <c r="EF117" i="1" s="1"/>
  <c r="EE118" i="1"/>
  <c r="EF118" i="1" s="1"/>
  <c r="EE108" i="1"/>
  <c r="EF108" i="1" s="1"/>
  <c r="EE109" i="1"/>
  <c r="EF109" i="1" s="1"/>
  <c r="EE113" i="1"/>
  <c r="EF113" i="1" s="1"/>
  <c r="EE103" i="1"/>
  <c r="EF103" i="1" s="1"/>
  <c r="EE99" i="1"/>
  <c r="EF99" i="1" s="1"/>
  <c r="DZ79" i="1"/>
  <c r="DZ85" i="1"/>
  <c r="DZ88" i="1"/>
  <c r="DZ100" i="1"/>
  <c r="DZ91" i="1"/>
  <c r="DZ82" i="1"/>
  <c r="DZ102" i="1"/>
  <c r="DZ117" i="1"/>
  <c r="DZ118" i="1"/>
  <c r="DZ108" i="1"/>
  <c r="DZ109" i="1"/>
  <c r="AE100" i="1" l="1"/>
  <c r="Z100" i="1" s="1"/>
  <c r="AO100" i="1" l="1"/>
  <c r="AF100" i="1"/>
  <c r="JN52" i="1"/>
  <c r="JP47" i="1" l="1"/>
  <c r="AE85" i="1" l="1"/>
  <c r="R85" i="1" l="1"/>
  <c r="Q85" i="1"/>
  <c r="P85" i="1"/>
  <c r="Z85" i="1" s="1"/>
  <c r="AO85" i="1"/>
  <c r="AF85" i="1"/>
  <c r="FU46" i="1"/>
  <c r="T85" i="1" l="1"/>
  <c r="U85" i="1"/>
  <c r="V85" i="1"/>
  <c r="AS13" i="1"/>
  <c r="AR13" i="1"/>
  <c r="AQ13" i="1"/>
  <c r="E148" i="1" l="1"/>
  <c r="E149" i="1"/>
  <c r="E150" i="1"/>
  <c r="E151" i="1"/>
  <c r="E152" i="1"/>
  <c r="E153" i="1"/>
  <c r="E154" i="1"/>
  <c r="G154" i="1"/>
  <c r="G153" i="1"/>
  <c r="G152" i="1"/>
  <c r="G151" i="1"/>
  <c r="G150" i="1"/>
  <c r="G149" i="1"/>
  <c r="G148" i="1"/>
  <c r="G147" i="1"/>
  <c r="C156" i="1"/>
  <c r="I151" i="1"/>
  <c r="H173" i="1"/>
  <c r="D147" i="1"/>
  <c r="E155" i="1" l="1"/>
  <c r="E157" i="1" s="1"/>
  <c r="IO38" i="1" l="1"/>
  <c r="FU44" i="1" l="1"/>
  <c r="FU42" i="1" l="1"/>
  <c r="FU41" i="1" l="1"/>
  <c r="FS64" i="1" l="1"/>
  <c r="FS61" i="1"/>
  <c r="FS56" i="1"/>
  <c r="FS50" i="1"/>
  <c r="FS44" i="1"/>
  <c r="FS42" i="1"/>
  <c r="FS41" i="1"/>
  <c r="FS51" i="1"/>
  <c r="FS35" i="1"/>
  <c r="FS40" i="1"/>
  <c r="FS26" i="1"/>
  <c r="FS131" i="1" l="1"/>
  <c r="FU40" i="1"/>
  <c r="FU25" i="1" l="1"/>
  <c r="FU26" i="1" l="1"/>
  <c r="FU23" i="1" l="1"/>
  <c r="FU27" i="1" l="1"/>
  <c r="FU33" i="1" l="1"/>
  <c r="FU30" i="1" l="1"/>
  <c r="FU28" i="1"/>
  <c r="FU32" i="1" l="1"/>
  <c r="FU131" i="1" s="1"/>
  <c r="FR2" i="1" l="1"/>
  <c r="FR10" i="1"/>
  <c r="FR7" i="1"/>
  <c r="FR8" i="1"/>
  <c r="FR9" i="1"/>
  <c r="FR4" i="1"/>
  <c r="FR3" i="1"/>
  <c r="FR5" i="1"/>
  <c r="FR6" i="1"/>
  <c r="FR13" i="1"/>
  <c r="FR22" i="1"/>
  <c r="FR11" i="1"/>
  <c r="FR14" i="1"/>
  <c r="FR20" i="1"/>
  <c r="FR21" i="1"/>
  <c r="FR19" i="1"/>
  <c r="FR32" i="1"/>
  <c r="FR15" i="1"/>
  <c r="FR16" i="1"/>
  <c r="FR28" i="1"/>
  <c r="FR17" i="1"/>
  <c r="FR30" i="1"/>
  <c r="FR37" i="1"/>
  <c r="FR33" i="1"/>
  <c r="FR34" i="1"/>
  <c r="FR18" i="1"/>
  <c r="FR27" i="1"/>
  <c r="FR29" i="1"/>
  <c r="FR12" i="1"/>
  <c r="DH139" i="1" l="1"/>
  <c r="FH35" i="1" l="1"/>
  <c r="BX85" i="1" l="1"/>
  <c r="BY85" i="1" s="1"/>
  <c r="BX88" i="1"/>
  <c r="BY88" i="1" s="1"/>
  <c r="BU62" i="1" l="1"/>
  <c r="BU61" i="1"/>
  <c r="EN48" i="1" l="1"/>
  <c r="EN49" i="1"/>
  <c r="EN50" i="1"/>
  <c r="EN52" i="1"/>
  <c r="EN53" i="1"/>
  <c r="EN56" i="1"/>
  <c r="EN61" i="1"/>
  <c r="EH53" i="1"/>
  <c r="EH56" i="1"/>
  <c r="EH61" i="1"/>
  <c r="EJ31" i="1" l="1"/>
  <c r="EA67" i="1"/>
  <c r="EA89" i="1"/>
  <c r="EA76" i="1"/>
  <c r="DZ11" i="1"/>
  <c r="EA99" i="1"/>
  <c r="EA103" i="1"/>
  <c r="EA113" i="1"/>
  <c r="EA109" i="1"/>
  <c r="EA108" i="1"/>
  <c r="EA118" i="1"/>
  <c r="EA117" i="1"/>
  <c r="EA82" i="1"/>
  <c r="EA102" i="1"/>
  <c r="EA91" i="1"/>
  <c r="EA100" i="1"/>
  <c r="EA88" i="1"/>
  <c r="EA85" i="1"/>
  <c r="EA98" i="1"/>
  <c r="EA97" i="1"/>
  <c r="EA96" i="1"/>
  <c r="EA95" i="1"/>
  <c r="EA94" i="1"/>
  <c r="EA93" i="1"/>
  <c r="EA79" i="1"/>
  <c r="EA78" i="1"/>
  <c r="EA77" i="1"/>
  <c r="EA90" i="1"/>
  <c r="EA92" i="1"/>
  <c r="EA74" i="1"/>
  <c r="EA75" i="1"/>
  <c r="EA68" i="1"/>
  <c r="EA64" i="1"/>
  <c r="EA65" i="1"/>
  <c r="EA36" i="1"/>
  <c r="EA66" i="1"/>
  <c r="EA73" i="1"/>
  <c r="EA62" i="1"/>
  <c r="EA61" i="1"/>
  <c r="EA69" i="1"/>
  <c r="EA72" i="1"/>
  <c r="EA71" i="1"/>
  <c r="EA70" i="1"/>
  <c r="EA63" i="1"/>
  <c r="EA56" i="1"/>
  <c r="EA60" i="1"/>
  <c r="EA54" i="1"/>
  <c r="EA55" i="1"/>
  <c r="EA58" i="1"/>
  <c r="EA59" i="1"/>
  <c r="EA53" i="1"/>
  <c r="EA52" i="1"/>
  <c r="EA50" i="1"/>
  <c r="EA49" i="1"/>
  <c r="EA48" i="1"/>
  <c r="EA44" i="1"/>
  <c r="EA45" i="1"/>
  <c r="EA47" i="1"/>
  <c r="EA43" i="1"/>
  <c r="EA42" i="1"/>
  <c r="EA46" i="1"/>
  <c r="EA51" i="1"/>
  <c r="EA41" i="1"/>
  <c r="EA35" i="1"/>
  <c r="EA57" i="1"/>
  <c r="EA40" i="1"/>
  <c r="EA38" i="1"/>
  <c r="EA25" i="1"/>
  <c r="EA26" i="1"/>
  <c r="EA31" i="1"/>
  <c r="EA24" i="1"/>
  <c r="EA23" i="1"/>
  <c r="EA39" i="1"/>
  <c r="EA12" i="1"/>
  <c r="EA29" i="1"/>
  <c r="EA27" i="1"/>
  <c r="EA18" i="1"/>
  <c r="EA34" i="1"/>
  <c r="EA33" i="1"/>
  <c r="EA37" i="1"/>
  <c r="EA30" i="1"/>
  <c r="EA17" i="1"/>
  <c r="EA28" i="1"/>
  <c r="EA16" i="1"/>
  <c r="EA15" i="1"/>
  <c r="EA32" i="1"/>
  <c r="EA19" i="1"/>
  <c r="EA21" i="1"/>
  <c r="EA20" i="1"/>
  <c r="EA14" i="1"/>
  <c r="EA22" i="1"/>
  <c r="EA11" i="1"/>
  <c r="EA13" i="1"/>
  <c r="EA4" i="1"/>
  <c r="EA6" i="1"/>
  <c r="EA5" i="1"/>
  <c r="EA9" i="1"/>
  <c r="EA8" i="1"/>
  <c r="EA3" i="1"/>
  <c r="EA7" i="1"/>
  <c r="EA10" i="1"/>
  <c r="EA2" i="1"/>
  <c r="FB2" i="1" l="1"/>
  <c r="FC61" i="1"/>
  <c r="FC62" i="1"/>
  <c r="FJ2" i="1" l="1"/>
  <c r="FD2" i="1"/>
  <c r="AI131" i="1"/>
  <c r="AJ131" i="1"/>
  <c r="AK131" i="1"/>
  <c r="AL131" i="1"/>
  <c r="AM131" i="1"/>
  <c r="AN131" i="1"/>
  <c r="AX131" i="1"/>
  <c r="AY131" i="1"/>
  <c r="AZ131" i="1"/>
  <c r="BA131" i="1"/>
  <c r="BM131" i="1"/>
  <c r="BQ131" i="1"/>
  <c r="CT131" i="1"/>
  <c r="CU131" i="1"/>
  <c r="DR131" i="1"/>
  <c r="DB131" i="1"/>
  <c r="DD131" i="1"/>
  <c r="DI131" i="1"/>
  <c r="DS131" i="1"/>
  <c r="DW131" i="1"/>
  <c r="FQ131" i="1"/>
  <c r="IO98" i="1"/>
  <c r="IO97" i="1"/>
  <c r="IO96" i="1"/>
  <c r="IO95" i="1"/>
  <c r="IO94" i="1"/>
  <c r="IO93" i="1"/>
  <c r="IO79" i="1"/>
  <c r="IO78" i="1"/>
  <c r="IO77" i="1"/>
  <c r="IO89" i="1"/>
  <c r="IO90" i="1"/>
  <c r="IO85" i="1"/>
  <c r="IO88" i="1"/>
  <c r="IO100" i="1"/>
  <c r="IO91" i="1"/>
  <c r="IO82" i="1"/>
  <c r="IO102" i="1"/>
  <c r="IO117" i="1"/>
  <c r="IO118" i="1"/>
  <c r="IO108" i="1"/>
  <c r="IO109" i="1"/>
  <c r="IO113" i="1"/>
  <c r="IO103" i="1"/>
  <c r="IO99" i="1"/>
  <c r="IO92" i="1"/>
  <c r="IO75" i="1"/>
  <c r="IO67" i="1"/>
  <c r="IO74" i="1"/>
  <c r="IO73" i="1"/>
  <c r="IO64" i="1"/>
  <c r="IO66" i="1"/>
  <c r="IO36" i="1"/>
  <c r="IO65" i="1"/>
  <c r="IO70" i="1"/>
  <c r="IO71" i="1"/>
  <c r="IO72" i="1"/>
  <c r="IO69" i="1"/>
  <c r="IO45" i="1"/>
  <c r="FR31" i="1"/>
  <c r="FR131" i="1" s="1"/>
  <c r="FM2" i="1" l="1"/>
  <c r="BP66" i="1"/>
  <c r="FO2" i="1" l="1"/>
  <c r="FB73" i="1" l="1"/>
  <c r="FJ73" i="1" s="1"/>
  <c r="FC73" i="1" l="1"/>
  <c r="BP70" i="1"/>
  <c r="BP92" i="1"/>
  <c r="BP71" i="1"/>
  <c r="BP72" i="1"/>
  <c r="BP69" i="1"/>
  <c r="BP63" i="1"/>
  <c r="BP54" i="1"/>
  <c r="BP55" i="1"/>
  <c r="BP60" i="1"/>
  <c r="BP58" i="1"/>
  <c r="BP59" i="1"/>
  <c r="BP65" i="1"/>
  <c r="BO36" i="1"/>
  <c r="BP36" i="1" s="1"/>
  <c r="AD131" i="1"/>
  <c r="I134" i="1"/>
  <c r="FH73" i="1" l="1"/>
  <c r="FD73" i="1"/>
  <c r="FB88" i="1"/>
  <c r="FB85" i="1"/>
  <c r="FB99" i="1"/>
  <c r="FB108" i="1"/>
  <c r="FB109" i="1"/>
  <c r="FB82" i="1"/>
  <c r="FB103" i="1"/>
  <c r="FB113" i="1"/>
  <c r="FB100" i="1"/>
  <c r="FB90" i="1"/>
  <c r="FC100" i="1" l="1"/>
  <c r="EC100" i="1" s="1"/>
  <c r="FJ100" i="1"/>
  <c r="EC118" i="1"/>
  <c r="FC99" i="1"/>
  <c r="FJ99" i="1"/>
  <c r="FC113" i="1"/>
  <c r="EC113" i="1" s="1"/>
  <c r="FJ113" i="1"/>
  <c r="FC82" i="1"/>
  <c r="EC82" i="1" s="1"/>
  <c r="FJ82" i="1"/>
  <c r="FC108" i="1"/>
  <c r="FJ108" i="1"/>
  <c r="FC103" i="1"/>
  <c r="EC103" i="1" s="1"/>
  <c r="FJ103" i="1"/>
  <c r="FC109" i="1"/>
  <c r="EC109" i="1" s="1"/>
  <c r="FJ109" i="1"/>
  <c r="FC85" i="1"/>
  <c r="FJ85" i="1"/>
  <c r="FC90" i="1"/>
  <c r="FJ90" i="1"/>
  <c r="EC117" i="1"/>
  <c r="FC88" i="1"/>
  <c r="FJ88" i="1"/>
  <c r="EW45" i="1"/>
  <c r="ET45" i="1"/>
  <c r="EQ45" i="1"/>
  <c r="FD99" i="1" l="1"/>
  <c r="EC99" i="1"/>
  <c r="FD108" i="1"/>
  <c r="EC108" i="1"/>
  <c r="FD88" i="1"/>
  <c r="EC88" i="1"/>
  <c r="FD85" i="1"/>
  <c r="EC85" i="1"/>
  <c r="FH90" i="1"/>
  <c r="FK90" i="1" s="1"/>
  <c r="FM90" i="1" s="1"/>
  <c r="FO90" i="1" s="1"/>
  <c r="FD103" i="1"/>
  <c r="FD113" i="1"/>
  <c r="FD109" i="1"/>
  <c r="FD82" i="1"/>
  <c r="FD100" i="1"/>
  <c r="FD90" i="1"/>
  <c r="GG108" i="1"/>
  <c r="FH108" i="1"/>
  <c r="FK108" i="1" s="1"/>
  <c r="GG99" i="1"/>
  <c r="FH99" i="1"/>
  <c r="FK99" i="1" s="1"/>
  <c r="FM99" i="1" s="1"/>
  <c r="FO99" i="1" s="1"/>
  <c r="GG88" i="1"/>
  <c r="FH88" i="1"/>
  <c r="FK88" i="1" s="1"/>
  <c r="FM88" i="1" s="1"/>
  <c r="GG85" i="1"/>
  <c r="FH85" i="1"/>
  <c r="FK85" i="1" s="1"/>
  <c r="FM85" i="1" s="1"/>
  <c r="FH47" i="1"/>
  <c r="FM108" i="1" l="1"/>
  <c r="FO108" i="1" s="1"/>
  <c r="FO85" i="1"/>
  <c r="FO88" i="1"/>
  <c r="P37" i="1" l="1"/>
  <c r="P100" i="1"/>
  <c r="P45" i="1"/>
  <c r="P4" i="1"/>
  <c r="P29" i="1"/>
  <c r="P28" i="1"/>
  <c r="P79" i="1"/>
  <c r="P78" i="1"/>
  <c r="R36" i="1"/>
  <c r="R66" i="1"/>
  <c r="R46" i="1"/>
  <c r="R62" i="1"/>
  <c r="R61" i="1"/>
  <c r="Q39" i="1"/>
  <c r="Q38" i="1"/>
  <c r="Q10" i="1"/>
  <c r="Q47" i="1"/>
  <c r="Q37" i="1"/>
  <c r="Q7" i="1"/>
  <c r="Q22" i="1"/>
  <c r="Q31" i="1"/>
  <c r="Q100" i="1"/>
  <c r="Q20" i="1"/>
  <c r="Q25" i="1"/>
  <c r="Q68" i="1"/>
  <c r="Q30" i="1"/>
  <c r="Q15" i="1"/>
  <c r="Q35" i="1"/>
  <c r="Q51" i="1"/>
  <c r="AK132" i="1"/>
  <c r="AL132" i="1"/>
  <c r="AM132" i="1"/>
  <c r="AE88" i="1" l="1"/>
  <c r="P88" i="1" l="1"/>
  <c r="Z88" i="1" s="1"/>
  <c r="W88" i="1"/>
  <c r="S88" i="1"/>
  <c r="AO88" i="1"/>
  <c r="AF88" i="1"/>
  <c r="J133" i="1"/>
  <c r="T88" i="1" l="1"/>
  <c r="X88" i="1"/>
  <c r="U88" i="1"/>
  <c r="AG131" i="1"/>
  <c r="BU65" i="1"/>
  <c r="BU76" i="1"/>
  <c r="BU74" i="1"/>
  <c r="BU89" i="1"/>
  <c r="BU73" i="1"/>
  <c r="BU64" i="1"/>
  <c r="BU67" i="1"/>
  <c r="BU66" i="1"/>
  <c r="BU75" i="1"/>
  <c r="BU79" i="1"/>
  <c r="BU78" i="1"/>
  <c r="BU77" i="1"/>
  <c r="BU68" i="1"/>
  <c r="BU90" i="1"/>
  <c r="BU131" i="1" l="1"/>
  <c r="JT51" i="1" l="1"/>
  <c r="S85" i="1" l="1"/>
  <c r="IK85" i="1" l="1"/>
  <c r="II85" i="1"/>
  <c r="X85" i="1"/>
  <c r="IC85" i="1"/>
  <c r="IB85" i="1"/>
  <c r="W85" i="1"/>
  <c r="BR43" i="1" l="1"/>
  <c r="BT43" i="1" s="1"/>
  <c r="BR47" i="1"/>
  <c r="BR45" i="1"/>
  <c r="BR44" i="1"/>
  <c r="BR48" i="1"/>
  <c r="BS48" i="1" s="1"/>
  <c r="BR49" i="1"/>
  <c r="BS49" i="1" s="1"/>
  <c r="BR50" i="1"/>
  <c r="BS50" i="1" s="1"/>
  <c r="BR61" i="1"/>
  <c r="BS61" i="1" s="1"/>
  <c r="BR62" i="1"/>
  <c r="BS62" i="1" s="1"/>
  <c r="BR52" i="1"/>
  <c r="BS52" i="1" s="1"/>
  <c r="BV52" i="1" s="1"/>
  <c r="BR53" i="1"/>
  <c r="BS53" i="1" s="1"/>
  <c r="BV53" i="1" s="1"/>
  <c r="BR56" i="1"/>
  <c r="BR59" i="1"/>
  <c r="BS59" i="1" s="1"/>
  <c r="BR58" i="1"/>
  <c r="BT58" i="1" s="1"/>
  <c r="BR55" i="1"/>
  <c r="BS55" i="1" s="1"/>
  <c r="BR54" i="1"/>
  <c r="BT54" i="1" s="1"/>
  <c r="BR60" i="1"/>
  <c r="BS60" i="1" s="1"/>
  <c r="BR36" i="1"/>
  <c r="BS36" i="1" s="1"/>
  <c r="BR66" i="1"/>
  <c r="BS66" i="1" s="1"/>
  <c r="BR65" i="1"/>
  <c r="BS65" i="1" s="1"/>
  <c r="BR102" i="1"/>
  <c r="BS102" i="1" s="1"/>
  <c r="BR91" i="1"/>
  <c r="BS91" i="1" s="1"/>
  <c r="BR63" i="1"/>
  <c r="BS63" i="1" s="1"/>
  <c r="BR69" i="1"/>
  <c r="BS69" i="1" s="1"/>
  <c r="BR71" i="1"/>
  <c r="BS71" i="1" s="1"/>
  <c r="BR72" i="1"/>
  <c r="BS72" i="1" s="1"/>
  <c r="BR70" i="1"/>
  <c r="BS70" i="1" s="1"/>
  <c r="BR92" i="1"/>
  <c r="BS92" i="1" s="1"/>
  <c r="BR93" i="1"/>
  <c r="BS93" i="1" s="1"/>
  <c r="BR94" i="1"/>
  <c r="BS94" i="1" s="1"/>
  <c r="BR95" i="1"/>
  <c r="BS95" i="1" s="1"/>
  <c r="BR96" i="1"/>
  <c r="BS96" i="1" s="1"/>
  <c r="BR97" i="1"/>
  <c r="BS97" i="1" s="1"/>
  <c r="BR98" i="1"/>
  <c r="BS98" i="1" s="1"/>
  <c r="BR100" i="1"/>
  <c r="BS100" i="1" s="1"/>
  <c r="BR113" i="1"/>
  <c r="BS113" i="1" s="1"/>
  <c r="BR103" i="1"/>
  <c r="BS103" i="1" s="1"/>
  <c r="BR117" i="1"/>
  <c r="BS117" i="1" s="1"/>
  <c r="BR118" i="1"/>
  <c r="BS118" i="1" s="1"/>
  <c r="BR82" i="1"/>
  <c r="BS82" i="1" s="1"/>
  <c r="BR109" i="1"/>
  <c r="BS109" i="1" s="1"/>
  <c r="BR108" i="1"/>
  <c r="BS108" i="1" s="1"/>
  <c r="BV108" i="1" s="1"/>
  <c r="BR99" i="1"/>
  <c r="BS99" i="1" s="1"/>
  <c r="BV99" i="1" s="1"/>
  <c r="BO90" i="1"/>
  <c r="BP90" i="1" s="1"/>
  <c r="BO68" i="1"/>
  <c r="BP68" i="1" s="1"/>
  <c r="BO75" i="1"/>
  <c r="BP75" i="1" s="1"/>
  <c r="BO77" i="1"/>
  <c r="BP77" i="1" s="1"/>
  <c r="BO79" i="1"/>
  <c r="BP79" i="1" s="1"/>
  <c r="BO78" i="1"/>
  <c r="BP78" i="1" s="1"/>
  <c r="BP67" i="1"/>
  <c r="BO73" i="1"/>
  <c r="BP73" i="1" s="1"/>
  <c r="BO74" i="1"/>
  <c r="BP74" i="1" s="1"/>
  <c r="BO89" i="1"/>
  <c r="BP89" i="1" s="1"/>
  <c r="BO76" i="1"/>
  <c r="BP76" i="1" l="1"/>
  <c r="BR79" i="1"/>
  <c r="BS79" i="1" s="1"/>
  <c r="BR68" i="1"/>
  <c r="BT68" i="1" s="1"/>
  <c r="BR73" i="1"/>
  <c r="BT73" i="1" s="1"/>
  <c r="BR78" i="1"/>
  <c r="BS78" i="1" s="1"/>
  <c r="BR74" i="1"/>
  <c r="BS74" i="1" s="1"/>
  <c r="BR64" i="1"/>
  <c r="BT64" i="1" s="1"/>
  <c r="BR90" i="1"/>
  <c r="BT90" i="1" s="1"/>
  <c r="BR75" i="1"/>
  <c r="BT75" i="1" s="1"/>
  <c r="BR67" i="1"/>
  <c r="BS67" i="1" s="1"/>
  <c r="BR76" i="1"/>
  <c r="BT76" i="1" s="1"/>
  <c r="BR77" i="1"/>
  <c r="BS77" i="1" s="1"/>
  <c r="BR89" i="1"/>
  <c r="BT89" i="1" s="1"/>
  <c r="BT66" i="1"/>
  <c r="BT52" i="1"/>
  <c r="BW52" i="1" s="1"/>
  <c r="BX52" i="1" s="1"/>
  <c r="BY52" i="1" s="1"/>
  <c r="BT70" i="1"/>
  <c r="BT55" i="1"/>
  <c r="BT94" i="1"/>
  <c r="BT61" i="1"/>
  <c r="BS58" i="1"/>
  <c r="BS54" i="1"/>
  <c r="BT48" i="1"/>
  <c r="BT63" i="1"/>
  <c r="BT99" i="1"/>
  <c r="BW99" i="1" s="1"/>
  <c r="BX99" i="1" s="1"/>
  <c r="BY99" i="1" s="1"/>
  <c r="BT108" i="1"/>
  <c r="BW108" i="1" s="1"/>
  <c r="BX108" i="1" s="1"/>
  <c r="BY108" i="1" s="1"/>
  <c r="BT109" i="1"/>
  <c r="BT82" i="1"/>
  <c r="BT118" i="1"/>
  <c r="BT117" i="1"/>
  <c r="BT103" i="1"/>
  <c r="BT113" i="1"/>
  <c r="BT100" i="1"/>
  <c r="BT98" i="1"/>
  <c r="BT97" i="1"/>
  <c r="BT96" i="1"/>
  <c r="BT95" i="1"/>
  <c r="BT59" i="1"/>
  <c r="BT62" i="1"/>
  <c r="BT60" i="1"/>
  <c r="BT93" i="1"/>
  <c r="BT92" i="1"/>
  <c r="BT72" i="1"/>
  <c r="BT71" i="1"/>
  <c r="BT69" i="1"/>
  <c r="BT91" i="1"/>
  <c r="BT102" i="1"/>
  <c r="BT65" i="1"/>
  <c r="BT53" i="1"/>
  <c r="BW53" i="1" s="1"/>
  <c r="BX53" i="1" s="1"/>
  <c r="BY53" i="1" s="1"/>
  <c r="BT36" i="1"/>
  <c r="JL52" i="1"/>
  <c r="BW62" i="1" l="1"/>
  <c r="BX62" i="1" s="1"/>
  <c r="BY62" i="1" s="1"/>
  <c r="BV62" i="1"/>
  <c r="BW61" i="1"/>
  <c r="BV61" i="1"/>
  <c r="BS68" i="1"/>
  <c r="BS64" i="1"/>
  <c r="BS76" i="1"/>
  <c r="BT79" i="1"/>
  <c r="BS90" i="1"/>
  <c r="BS73" i="1"/>
  <c r="BS89" i="1"/>
  <c r="BS75" i="1"/>
  <c r="BT77" i="1"/>
  <c r="BT78" i="1"/>
  <c r="BT67" i="1"/>
  <c r="BT74" i="1"/>
  <c r="BX61" i="1" l="1"/>
  <c r="BY61" i="1" s="1"/>
  <c r="EC35" i="1"/>
  <c r="FN35" i="1"/>
  <c r="FB102" i="1" l="1"/>
  <c r="FC102" i="1"/>
  <c r="EC102" i="1" s="1"/>
  <c r="FH102" i="1" l="1"/>
  <c r="FK102" i="1" s="1"/>
  <c r="BV102" i="1" s="1"/>
  <c r="FJ102" i="1"/>
  <c r="FD102" i="1"/>
  <c r="GG102" i="1"/>
  <c r="AE108" i="1"/>
  <c r="V91" i="1"/>
  <c r="U91" i="1"/>
  <c r="T91" i="1"/>
  <c r="V100" i="1"/>
  <c r="U100" i="1"/>
  <c r="T100" i="1"/>
  <c r="AE99" i="1"/>
  <c r="S108" i="1" l="1"/>
  <c r="Z108" i="1"/>
  <c r="S99" i="1"/>
  <c r="Z99" i="1"/>
  <c r="W109" i="1"/>
  <c r="X109" i="1"/>
  <c r="W108" i="1"/>
  <c r="X108" i="1"/>
  <c r="AF99" i="1"/>
  <c r="W99" i="1"/>
  <c r="AO109" i="1"/>
  <c r="AF109" i="1"/>
  <c r="AO108" i="1"/>
  <c r="AF108" i="1"/>
  <c r="AO99" i="1"/>
  <c r="FM102" i="1"/>
  <c r="FO102" i="1" s="1"/>
  <c r="BW102" i="1"/>
  <c r="BX102" i="1" s="1"/>
  <c r="BY102" i="1" s="1"/>
  <c r="X99" i="1"/>
  <c r="AE117" i="1"/>
  <c r="Z117" i="1" s="1"/>
  <c r="AE118" i="1"/>
  <c r="Z118" i="1" s="1"/>
  <c r="AE102" i="1"/>
  <c r="S102" i="1" l="1"/>
  <c r="Z102" i="1"/>
  <c r="W102" i="1"/>
  <c r="X102" i="1"/>
  <c r="AO118" i="1"/>
  <c r="AF118" i="1"/>
  <c r="AO102" i="1"/>
  <c r="AF102" i="1"/>
  <c r="AO117" i="1"/>
  <c r="AF117" i="1"/>
  <c r="FV70" i="1" l="1"/>
  <c r="FV72" i="1"/>
  <c r="FV71" i="1"/>
  <c r="IA70" i="1"/>
  <c r="IA72" i="1"/>
  <c r="IA71" i="1"/>
  <c r="IA69" i="1"/>
  <c r="HY69" i="1"/>
  <c r="GY69" i="1" l="1"/>
  <c r="FV69" i="1" s="1"/>
  <c r="JX57" i="1"/>
  <c r="CW57" i="1" l="1"/>
  <c r="CX24" i="1"/>
  <c r="CX23" i="1"/>
  <c r="CX31" i="1"/>
  <c r="CX26" i="1"/>
  <c r="CX12" i="1"/>
  <c r="CX27" i="1"/>
  <c r="CX29" i="1"/>
  <c r="CX34" i="1"/>
  <c r="CX33" i="1"/>
  <c r="CX37" i="1"/>
  <c r="JR51" i="1" l="1"/>
  <c r="ET50" i="1" l="1"/>
  <c r="ET56" i="1"/>
  <c r="ET49" i="1"/>
  <c r="ET51" i="1"/>
  <c r="ET35" i="1"/>
  <c r="ET41" i="1"/>
  <c r="EQ61" i="1" l="1"/>
  <c r="ET61" i="1"/>
  <c r="EW56" i="1" l="1"/>
  <c r="EW65" i="1"/>
  <c r="EW66" i="1"/>
  <c r="EW64" i="1"/>
  <c r="EW68" i="1"/>
  <c r="EW67" i="1"/>
  <c r="EW36" i="1"/>
  <c r="EW61" i="1"/>
  <c r="EW62" i="1"/>
  <c r="EW76" i="1"/>
  <c r="EW73" i="1"/>
  <c r="EW75" i="1"/>
  <c r="EW90" i="1"/>
  <c r="EW89" i="1"/>
  <c r="EW74" i="1"/>
  <c r="EW77" i="1"/>
  <c r="EW63" i="1"/>
  <c r="EW69" i="1"/>
  <c r="EW71" i="1"/>
  <c r="EW72" i="1"/>
  <c r="EW70" i="1"/>
  <c r="EW92" i="1"/>
  <c r="EW93" i="1"/>
  <c r="EW94" i="1"/>
  <c r="EW95" i="1"/>
  <c r="EW96" i="1"/>
  <c r="EW97" i="1"/>
  <c r="EW98" i="1"/>
  <c r="EW49" i="1"/>
  <c r="EW50" i="1"/>
  <c r="EW57" i="1"/>
  <c r="EW51" i="1"/>
  <c r="EW35" i="1"/>
  <c r="CY48" i="1" l="1"/>
  <c r="CY131" i="1" s="1"/>
  <c r="J16" i="1" l="1"/>
  <c r="J31" i="1"/>
  <c r="J30" i="1"/>
  <c r="JV57" i="1" l="1"/>
  <c r="HV78" i="1" l="1"/>
  <c r="HV79" i="1"/>
  <c r="HZ65" i="1" l="1"/>
  <c r="IO62" i="1"/>
  <c r="IO68" i="1"/>
  <c r="HZ44" i="1" l="1"/>
  <c r="HZ46" i="1"/>
  <c r="IO52" i="1"/>
  <c r="IO49" i="1"/>
  <c r="IO76" i="1"/>
  <c r="IO54" i="1"/>
  <c r="IO55" i="1"/>
  <c r="IO58" i="1"/>
  <c r="IO60" i="1"/>
  <c r="IO63" i="1"/>
  <c r="IO59" i="1"/>
  <c r="IO48" i="1"/>
  <c r="IO43" i="1"/>
  <c r="IO47" i="1"/>
  <c r="IO44" i="1"/>
  <c r="IO42" i="1"/>
  <c r="IO41" i="1"/>
  <c r="IO51" i="1"/>
  <c r="IO46" i="1"/>
  <c r="HX95" i="1" l="1"/>
  <c r="HX94" i="1"/>
  <c r="HX93" i="1"/>
  <c r="HX92" i="1"/>
  <c r="V89" i="1"/>
  <c r="V118" i="1"/>
  <c r="U118" i="1"/>
  <c r="V117" i="1"/>
  <c r="U117" i="1"/>
  <c r="U89" i="1"/>
  <c r="U79" i="1"/>
  <c r="T89" i="1"/>
  <c r="T113" i="1"/>
  <c r="T75" i="1"/>
  <c r="T118" i="1"/>
  <c r="T117" i="1"/>
  <c r="T77" i="1"/>
  <c r="T90" i="1"/>
  <c r="T74" i="1"/>
  <c r="T79" i="1"/>
  <c r="T78" i="1"/>
  <c r="HB95" i="1"/>
  <c r="HB94" i="1"/>
  <c r="HB93" i="1"/>
  <c r="HB92" i="1"/>
  <c r="HO75" i="1"/>
  <c r="DZ75" i="1"/>
  <c r="FE46" i="1" l="1"/>
  <c r="EG31" i="1" l="1"/>
  <c r="EF31" i="1"/>
  <c r="DT31" i="1"/>
  <c r="DO31" i="1"/>
  <c r="DL31" i="1"/>
  <c r="DK31" i="1"/>
  <c r="DF31" i="1"/>
  <c r="DC31" i="1"/>
  <c r="DQ31" i="1" l="1"/>
  <c r="DO131" i="1"/>
  <c r="DH31" i="1"/>
  <c r="DF131" i="1"/>
  <c r="DE31" i="1"/>
  <c r="DC131" i="1"/>
  <c r="DV31" i="1"/>
  <c r="DT131" i="1"/>
  <c r="DN31" i="1"/>
  <c r="DL131" i="1"/>
  <c r="EI31" i="1"/>
  <c r="EM31" i="1" l="1"/>
  <c r="EL31" i="1"/>
  <c r="EO31" i="1" l="1"/>
  <c r="EP31" i="1"/>
  <c r="IR51" i="1"/>
  <c r="ES31" i="1" l="1"/>
  <c r="ER31" i="1"/>
  <c r="GG35" i="1"/>
  <c r="GG41" i="1"/>
  <c r="GG42" i="1"/>
  <c r="GG43" i="1"/>
  <c r="GG47" i="1"/>
  <c r="GG50" i="1"/>
  <c r="GG24" i="1"/>
  <c r="GG23" i="1"/>
  <c r="GG31" i="1"/>
  <c r="GG26" i="1"/>
  <c r="GG25" i="1"/>
  <c r="GG38" i="1"/>
  <c r="GG57" i="1"/>
  <c r="GG40" i="1"/>
  <c r="GG46" i="1"/>
  <c r="GG34" i="1"/>
  <c r="GG33" i="1"/>
  <c r="GG18" i="1"/>
  <c r="GG12" i="1"/>
  <c r="GG29" i="1"/>
  <c r="EV31" i="1" l="1"/>
  <c r="EX31" i="1" s="1"/>
  <c r="EU31" i="1"/>
  <c r="IR40" i="1" l="1"/>
  <c r="GG39" i="1" l="1"/>
  <c r="GG17" i="1"/>
  <c r="GG19" i="1"/>
  <c r="JL42" i="1" l="1"/>
  <c r="IR42" i="1" s="1"/>
  <c r="IV90" i="1" l="1"/>
  <c r="IE128" i="1" l="1"/>
  <c r="IF128" i="1"/>
  <c r="IG128" i="1"/>
  <c r="IJ128" i="1"/>
  <c r="IM128" i="1"/>
  <c r="IN128" i="1"/>
  <c r="GY54" i="1"/>
  <c r="GY58" i="1"/>
  <c r="GY55" i="1"/>
  <c r="GY60" i="1"/>
  <c r="HQ48" i="1"/>
  <c r="HQ131" i="1" s="1"/>
  <c r="HX54" i="1" l="1"/>
  <c r="FV54" i="1"/>
  <c r="HX58" i="1"/>
  <c r="FV58" i="1"/>
  <c r="HX60" i="1"/>
  <c r="FV60" i="1"/>
  <c r="HX55" i="1"/>
  <c r="FV55" i="1"/>
  <c r="GY91" i="1" l="1"/>
  <c r="GZ91" i="1" s="1"/>
  <c r="GY75" i="1"/>
  <c r="GY52" i="1"/>
  <c r="GZ52" i="1" s="1"/>
  <c r="AE26" i="1"/>
  <c r="AE30" i="1"/>
  <c r="AE31" i="1"/>
  <c r="AE25" i="1"/>
  <c r="AE33" i="1"/>
  <c r="AE29" i="1"/>
  <c r="AE23" i="1"/>
  <c r="AE63" i="1"/>
  <c r="AE58" i="1"/>
  <c r="AE37" i="1"/>
  <c r="AE40" i="1"/>
  <c r="AE39" i="1"/>
  <c r="AE38" i="1"/>
  <c r="Z38" i="1" s="1"/>
  <c r="AE35" i="1"/>
  <c r="AE42" i="1"/>
  <c r="AE43" i="1"/>
  <c r="AE46" i="1"/>
  <c r="AE44" i="1"/>
  <c r="AE41" i="1"/>
  <c r="AE49" i="1"/>
  <c r="AE61" i="1"/>
  <c r="AE51" i="1"/>
  <c r="AE57" i="1"/>
  <c r="AE56" i="1"/>
  <c r="Z56" i="1" s="1"/>
  <c r="AE62" i="1"/>
  <c r="AE76" i="1"/>
  <c r="Z76" i="1" s="1"/>
  <c r="AE50" i="1"/>
  <c r="Z50" i="1" s="1"/>
  <c r="AE66" i="1"/>
  <c r="Z66" i="1" s="1"/>
  <c r="AE67" i="1"/>
  <c r="Z67" i="1" s="1"/>
  <c r="AE68" i="1"/>
  <c r="AE48" i="1"/>
  <c r="Z48" i="1" s="1"/>
  <c r="AE65" i="1"/>
  <c r="AE73" i="1"/>
  <c r="AE64" i="1"/>
  <c r="AE70" i="1"/>
  <c r="AE60" i="1"/>
  <c r="AE92" i="1"/>
  <c r="AE93" i="1"/>
  <c r="AE94" i="1"/>
  <c r="AE95" i="1"/>
  <c r="AE52" i="1"/>
  <c r="Z52" i="1" s="1"/>
  <c r="AE36" i="1"/>
  <c r="AE55" i="1"/>
  <c r="AE74" i="1"/>
  <c r="Z74" i="1" s="1"/>
  <c r="AE82" i="1"/>
  <c r="AE54" i="1"/>
  <c r="AE78" i="1"/>
  <c r="AE53" i="1"/>
  <c r="AE79" i="1"/>
  <c r="Z79" i="1" s="1"/>
  <c r="AE77" i="1"/>
  <c r="AE71" i="1"/>
  <c r="AE96" i="1"/>
  <c r="AE97" i="1"/>
  <c r="AE98" i="1"/>
  <c r="AE75" i="1"/>
  <c r="AE90" i="1"/>
  <c r="AE72" i="1"/>
  <c r="AE21" i="1"/>
  <c r="AE5" i="1"/>
  <c r="AE103" i="1"/>
  <c r="Z103" i="1" s="1"/>
  <c r="AE34" i="1"/>
  <c r="AE9" i="1"/>
  <c r="AE91" i="1"/>
  <c r="Z91" i="1" s="1"/>
  <c r="AE2" i="1"/>
  <c r="Z2" i="1" s="1"/>
  <c r="AE3" i="1"/>
  <c r="AE10" i="1"/>
  <c r="AE7" i="1"/>
  <c r="AE59" i="1"/>
  <c r="AE8" i="1"/>
  <c r="AE4" i="1"/>
  <c r="AE6" i="1"/>
  <c r="AE24" i="1"/>
  <c r="AE13" i="1"/>
  <c r="AE11" i="1"/>
  <c r="AE12" i="1"/>
  <c r="AE19" i="1"/>
  <c r="AE14" i="1"/>
  <c r="AE18" i="1"/>
  <c r="AE16" i="1"/>
  <c r="AE17" i="1"/>
  <c r="AE22" i="1"/>
  <c r="AE20" i="1"/>
  <c r="AE15" i="1"/>
  <c r="AE69" i="1"/>
  <c r="AE28" i="1"/>
  <c r="AE32" i="1"/>
  <c r="AE27" i="1"/>
  <c r="AF18" i="1" l="1"/>
  <c r="Z18" i="1"/>
  <c r="AF22" i="1"/>
  <c r="Z22" i="1"/>
  <c r="AF13" i="1"/>
  <c r="Z13" i="1"/>
  <c r="AF3" i="1"/>
  <c r="Z3" i="1"/>
  <c r="AF72" i="1"/>
  <c r="Z72" i="1"/>
  <c r="AF92" i="1"/>
  <c r="Z92" i="1"/>
  <c r="AF73" i="1"/>
  <c r="Z73" i="1"/>
  <c r="AF62" i="1"/>
  <c r="Z62" i="1"/>
  <c r="AF46" i="1"/>
  <c r="Z46" i="1"/>
  <c r="AF58" i="1"/>
  <c r="Z58" i="1"/>
  <c r="AF33" i="1"/>
  <c r="Z33" i="1"/>
  <c r="AF69" i="1"/>
  <c r="Z69" i="1"/>
  <c r="AF17" i="1"/>
  <c r="Z17" i="1"/>
  <c r="AF19" i="1"/>
  <c r="Z19" i="1"/>
  <c r="AF24" i="1"/>
  <c r="Z24" i="1"/>
  <c r="AF59" i="1"/>
  <c r="Z59" i="1"/>
  <c r="AF90" i="1"/>
  <c r="Z90" i="1"/>
  <c r="AF96" i="1"/>
  <c r="Z96" i="1"/>
  <c r="AF53" i="1"/>
  <c r="Z53" i="1"/>
  <c r="AF95" i="1"/>
  <c r="Z95" i="1"/>
  <c r="AF60" i="1"/>
  <c r="Z60" i="1"/>
  <c r="AF65" i="1"/>
  <c r="Z65" i="1"/>
  <c r="AF49" i="1"/>
  <c r="Z49" i="1"/>
  <c r="AF39" i="1"/>
  <c r="Z39" i="1"/>
  <c r="AF63" i="1"/>
  <c r="Z63" i="1"/>
  <c r="AF25" i="1"/>
  <c r="Z25" i="1"/>
  <c r="AF20" i="1"/>
  <c r="Z20" i="1"/>
  <c r="AF28" i="1"/>
  <c r="Z28" i="1"/>
  <c r="AF14" i="1"/>
  <c r="Z14" i="1"/>
  <c r="AF8" i="1"/>
  <c r="Z8" i="1"/>
  <c r="AF34" i="1"/>
  <c r="Z34" i="1"/>
  <c r="AF97" i="1"/>
  <c r="Z97" i="1"/>
  <c r="S82" i="1"/>
  <c r="Z82" i="1"/>
  <c r="AF61" i="1"/>
  <c r="Z61" i="1"/>
  <c r="AF26" i="1"/>
  <c r="Z26" i="1"/>
  <c r="AF27" i="1"/>
  <c r="Z27" i="1"/>
  <c r="AF15" i="1"/>
  <c r="Z15" i="1"/>
  <c r="AF16" i="1"/>
  <c r="Z16" i="1"/>
  <c r="AF12" i="1"/>
  <c r="Z12" i="1"/>
  <c r="AF6" i="1"/>
  <c r="Z6" i="1"/>
  <c r="AF7" i="1"/>
  <c r="Z7" i="1"/>
  <c r="AF5" i="1"/>
  <c r="Z5" i="1"/>
  <c r="AF75" i="1"/>
  <c r="Z75" i="1"/>
  <c r="AF71" i="1"/>
  <c r="Z71" i="1"/>
  <c r="AF78" i="1"/>
  <c r="Z78" i="1"/>
  <c r="AF55" i="1"/>
  <c r="Z55" i="1"/>
  <c r="AF94" i="1"/>
  <c r="Z94" i="1"/>
  <c r="AF70" i="1"/>
  <c r="Z70" i="1"/>
  <c r="AF57" i="1"/>
  <c r="Z57" i="1"/>
  <c r="AF41" i="1"/>
  <c r="Z41" i="1"/>
  <c r="AF40" i="1"/>
  <c r="Z40" i="1"/>
  <c r="AF23" i="1"/>
  <c r="Z23" i="1"/>
  <c r="AF31" i="1"/>
  <c r="Z31" i="1"/>
  <c r="AF32" i="1"/>
  <c r="Z32" i="1"/>
  <c r="AF11" i="1"/>
  <c r="Z11" i="1"/>
  <c r="AF4" i="1"/>
  <c r="Z4" i="1"/>
  <c r="AF10" i="1"/>
  <c r="Z10" i="1"/>
  <c r="AF9" i="1"/>
  <c r="Z9" i="1"/>
  <c r="AF21" i="1"/>
  <c r="Z21" i="1"/>
  <c r="AF98" i="1"/>
  <c r="Z98" i="1"/>
  <c r="AF77" i="1"/>
  <c r="Z77" i="1"/>
  <c r="AF54" i="1"/>
  <c r="Z54" i="1"/>
  <c r="AF36" i="1"/>
  <c r="Z36" i="1"/>
  <c r="AF93" i="1"/>
  <c r="Z93" i="1"/>
  <c r="AF64" i="1"/>
  <c r="Z64" i="1"/>
  <c r="AF68" i="1"/>
  <c r="Z68" i="1"/>
  <c r="AF51" i="1"/>
  <c r="Z51" i="1"/>
  <c r="AF44" i="1"/>
  <c r="Z44" i="1"/>
  <c r="AF35" i="1"/>
  <c r="Z35" i="1"/>
  <c r="AF37" i="1"/>
  <c r="Z37" i="1"/>
  <c r="AF29" i="1"/>
  <c r="Z29" i="1"/>
  <c r="AF30" i="1"/>
  <c r="Z30" i="1"/>
  <c r="AF2" i="1"/>
  <c r="AF74" i="1"/>
  <c r="AO74" i="1"/>
  <c r="AP74" i="1"/>
  <c r="W103" i="1"/>
  <c r="X103" i="1"/>
  <c r="AF43" i="1"/>
  <c r="Q43" i="1"/>
  <c r="S43" i="1" s="1"/>
  <c r="R43" i="1"/>
  <c r="P43" i="1"/>
  <c r="Z43" i="1" s="1"/>
  <c r="AF42" i="1"/>
  <c r="Q42" i="1"/>
  <c r="P42" i="1"/>
  <c r="Z42" i="1" s="1"/>
  <c r="R42" i="1"/>
  <c r="W82" i="1"/>
  <c r="X82" i="1"/>
  <c r="AF52" i="1"/>
  <c r="AO52" i="1"/>
  <c r="AF48" i="1"/>
  <c r="AO48" i="1"/>
  <c r="AF56" i="1"/>
  <c r="AC133" i="1"/>
  <c r="HX75" i="1"/>
  <c r="GZ75" i="1"/>
  <c r="AO103" i="1"/>
  <c r="AF103" i="1"/>
  <c r="HL66" i="1"/>
  <c r="AF66" i="1"/>
  <c r="AO79" i="1"/>
  <c r="AF79" i="1"/>
  <c r="HL67" i="1"/>
  <c r="AF67" i="1"/>
  <c r="AO91" i="1"/>
  <c r="AF91" i="1"/>
  <c r="HL50" i="1"/>
  <c r="AF50" i="1"/>
  <c r="AO82" i="1"/>
  <c r="AF82" i="1"/>
  <c r="HL38" i="1"/>
  <c r="AF38" i="1"/>
  <c r="HL76" i="1"/>
  <c r="AF76" i="1"/>
  <c r="HX91" i="1"/>
  <c r="FV91" i="1"/>
  <c r="HX52" i="1"/>
  <c r="FV52" i="1"/>
  <c r="HL37" i="1"/>
  <c r="IC2" i="1"/>
  <c r="W100" i="1"/>
  <c r="S100" i="1"/>
  <c r="X100" i="1"/>
  <c r="X91" i="1"/>
  <c r="W91" i="1"/>
  <c r="S91" i="1"/>
  <c r="S103" i="1"/>
  <c r="AT78" i="1"/>
  <c r="AS78" i="1"/>
  <c r="AS79" i="1"/>
  <c r="AR79" i="1"/>
  <c r="AQ79" i="1"/>
  <c r="AP79" i="1"/>
  <c r="HL69" i="1"/>
  <c r="IC69" i="1"/>
  <c r="IB69" i="1"/>
  <c r="HL19" i="1"/>
  <c r="IC19" i="1"/>
  <c r="IB19" i="1"/>
  <c r="HL34" i="1"/>
  <c r="IB34" i="1"/>
  <c r="IC34" i="1"/>
  <c r="IB118" i="1"/>
  <c r="IC118" i="1"/>
  <c r="IB82" i="1"/>
  <c r="IC82" i="1"/>
  <c r="HC94" i="1"/>
  <c r="IC94" i="1"/>
  <c r="IB94" i="1"/>
  <c r="HL61" i="1"/>
  <c r="IB61" i="1"/>
  <c r="IC61" i="1"/>
  <c r="HL46" i="1"/>
  <c r="IB46" i="1"/>
  <c r="IC46" i="1"/>
  <c r="IB58" i="1"/>
  <c r="IC58" i="1"/>
  <c r="HL26" i="1"/>
  <c r="IC26" i="1"/>
  <c r="IB26" i="1"/>
  <c r="HL27" i="1"/>
  <c r="IB27" i="1"/>
  <c r="IC27" i="1"/>
  <c r="HL16" i="1"/>
  <c r="IB16" i="1"/>
  <c r="IC16" i="1"/>
  <c r="HL6" i="1"/>
  <c r="IC6" i="1"/>
  <c r="IB6" i="1"/>
  <c r="HL103" i="1"/>
  <c r="IB103" i="1"/>
  <c r="IC103" i="1"/>
  <c r="IB117" i="1"/>
  <c r="IC117" i="1"/>
  <c r="HL53" i="1"/>
  <c r="HS53" i="1"/>
  <c r="IB53" i="1"/>
  <c r="IC53" i="1"/>
  <c r="HL36" i="1"/>
  <c r="IB36" i="1"/>
  <c r="IC36" i="1"/>
  <c r="HL70" i="1"/>
  <c r="IB70" i="1"/>
  <c r="IC70" i="1"/>
  <c r="HL65" i="1"/>
  <c r="IC65" i="1"/>
  <c r="IB65" i="1"/>
  <c r="HL56" i="1"/>
  <c r="IC56" i="1"/>
  <c r="IB56" i="1"/>
  <c r="HL49" i="1"/>
  <c r="IB49" i="1"/>
  <c r="IC49" i="1"/>
  <c r="HL39" i="1"/>
  <c r="IC63" i="1"/>
  <c r="IB63" i="1"/>
  <c r="HL25" i="1"/>
  <c r="IB25" i="1"/>
  <c r="IC25" i="1"/>
  <c r="HL32" i="1"/>
  <c r="IC32" i="1"/>
  <c r="IB32" i="1"/>
  <c r="HL20" i="1"/>
  <c r="IB20" i="1"/>
  <c r="IC20" i="1"/>
  <c r="HL18" i="1"/>
  <c r="IC18" i="1"/>
  <c r="IB18" i="1"/>
  <c r="HL11" i="1"/>
  <c r="IB11" i="1"/>
  <c r="IC11" i="1"/>
  <c r="HL4" i="1"/>
  <c r="IC4" i="1"/>
  <c r="IB4" i="1"/>
  <c r="HL10" i="1"/>
  <c r="IB10" i="1"/>
  <c r="IC10" i="1"/>
  <c r="HL9" i="1"/>
  <c r="IB9" i="1"/>
  <c r="IC9" i="1"/>
  <c r="HL5" i="1"/>
  <c r="IB5" i="1"/>
  <c r="IC5" i="1"/>
  <c r="HL75" i="1"/>
  <c r="IC75" i="1"/>
  <c r="IB75" i="1"/>
  <c r="HS75" i="1"/>
  <c r="HL100" i="1"/>
  <c r="IC100" i="1"/>
  <c r="IB100" i="1"/>
  <c r="HL71" i="1"/>
  <c r="IB71" i="1"/>
  <c r="IC71" i="1"/>
  <c r="HL78" i="1"/>
  <c r="IB78" i="1"/>
  <c r="IC78" i="1"/>
  <c r="HL74" i="1"/>
  <c r="IC74" i="1"/>
  <c r="IB74" i="1"/>
  <c r="HL52" i="1"/>
  <c r="IB52" i="1"/>
  <c r="IC52" i="1"/>
  <c r="HS52" i="1"/>
  <c r="HL109" i="1"/>
  <c r="IB109" i="1"/>
  <c r="IC109" i="1"/>
  <c r="HL64" i="1"/>
  <c r="IB64" i="1"/>
  <c r="IC64" i="1"/>
  <c r="HL48" i="1"/>
  <c r="IB48" i="1"/>
  <c r="IC48" i="1"/>
  <c r="HL57" i="1"/>
  <c r="IC57" i="1"/>
  <c r="IB57" i="1"/>
  <c r="HL41" i="1"/>
  <c r="IC41" i="1"/>
  <c r="IB41" i="1"/>
  <c r="HL42" i="1"/>
  <c r="IB42" i="1"/>
  <c r="IC42" i="1"/>
  <c r="HL40" i="1"/>
  <c r="IC40" i="1"/>
  <c r="IB40" i="1"/>
  <c r="HL23" i="1"/>
  <c r="IB23" i="1"/>
  <c r="IC23" i="1"/>
  <c r="HL31" i="1"/>
  <c r="IC31" i="1"/>
  <c r="IB31" i="1"/>
  <c r="HL17" i="1"/>
  <c r="IC17" i="1"/>
  <c r="IB17" i="1"/>
  <c r="HL24" i="1"/>
  <c r="IB24" i="1"/>
  <c r="IC24" i="1"/>
  <c r="IC59" i="1"/>
  <c r="IB59" i="1"/>
  <c r="IC91" i="1"/>
  <c r="IB91" i="1"/>
  <c r="HS91" i="1"/>
  <c r="HL72" i="1"/>
  <c r="IC72" i="1"/>
  <c r="IB72" i="1"/>
  <c r="IC97" i="1"/>
  <c r="IB97" i="1"/>
  <c r="HL79" i="1"/>
  <c r="IB79" i="1"/>
  <c r="IC79" i="1"/>
  <c r="IB89" i="1"/>
  <c r="IC89" i="1"/>
  <c r="IB60" i="1"/>
  <c r="IC60" i="1"/>
  <c r="HL73" i="1"/>
  <c r="IB73" i="1"/>
  <c r="IC73" i="1"/>
  <c r="HL62" i="1"/>
  <c r="IC62" i="1"/>
  <c r="IB62" i="1"/>
  <c r="HL33" i="1"/>
  <c r="IC33" i="1"/>
  <c r="IB33" i="1"/>
  <c r="HL15" i="1"/>
  <c r="IB15" i="1"/>
  <c r="IC15" i="1"/>
  <c r="HL12" i="1"/>
  <c r="IC12" i="1"/>
  <c r="IB12" i="1"/>
  <c r="HL7" i="1"/>
  <c r="IB7" i="1"/>
  <c r="IC7" i="1"/>
  <c r="HL113" i="1"/>
  <c r="IB113" i="1"/>
  <c r="IC113" i="1"/>
  <c r="HL90" i="1"/>
  <c r="IC90" i="1"/>
  <c r="IB90" i="1"/>
  <c r="IB96" i="1"/>
  <c r="IC96" i="1"/>
  <c r="HC93" i="1"/>
  <c r="IC93" i="1"/>
  <c r="IB93" i="1"/>
  <c r="HL43" i="1"/>
  <c r="IB43" i="1"/>
  <c r="IC43" i="1"/>
  <c r="HL28" i="1"/>
  <c r="IC28" i="1"/>
  <c r="IB28" i="1"/>
  <c r="HL22" i="1"/>
  <c r="IC22" i="1"/>
  <c r="IB22" i="1"/>
  <c r="HL14" i="1"/>
  <c r="IC14" i="1"/>
  <c r="IB14" i="1"/>
  <c r="HL13" i="1"/>
  <c r="IB13" i="1"/>
  <c r="IC13" i="1"/>
  <c r="HL8" i="1"/>
  <c r="IC8" i="1"/>
  <c r="IB8" i="1"/>
  <c r="HL3" i="1"/>
  <c r="IC3" i="1"/>
  <c r="IB3" i="1"/>
  <c r="HL21" i="1"/>
  <c r="IB21" i="1"/>
  <c r="IC21" i="1"/>
  <c r="IC98" i="1"/>
  <c r="IB98" i="1"/>
  <c r="HL77" i="1"/>
  <c r="IB77" i="1"/>
  <c r="IC77" i="1"/>
  <c r="IC54" i="1"/>
  <c r="IB54" i="1"/>
  <c r="IC55" i="1"/>
  <c r="IB55" i="1"/>
  <c r="HC95" i="1"/>
  <c r="IB95" i="1"/>
  <c r="IC95" i="1"/>
  <c r="HC92" i="1"/>
  <c r="IB92" i="1"/>
  <c r="HS92" i="1"/>
  <c r="IC92" i="1"/>
  <c r="HL68" i="1"/>
  <c r="IC68" i="1"/>
  <c r="IB68" i="1"/>
  <c r="HL51" i="1"/>
  <c r="IB51" i="1"/>
  <c r="IC51" i="1"/>
  <c r="HL44" i="1"/>
  <c r="IC44" i="1"/>
  <c r="IB44" i="1"/>
  <c r="HL35" i="1"/>
  <c r="IC35" i="1"/>
  <c r="IB35" i="1"/>
  <c r="HL29" i="1"/>
  <c r="IB29" i="1"/>
  <c r="IC29" i="1"/>
  <c r="HL30" i="1"/>
  <c r="IB30" i="1"/>
  <c r="IC30" i="1"/>
  <c r="HL91" i="1"/>
  <c r="HL82" i="1"/>
  <c r="S89" i="1"/>
  <c r="HL89" i="1"/>
  <c r="X118" i="1"/>
  <c r="W118" i="1"/>
  <c r="S118" i="1"/>
  <c r="W117" i="1"/>
  <c r="X117" i="1"/>
  <c r="S117" i="1"/>
  <c r="S109" i="1"/>
  <c r="HC52" i="1"/>
  <c r="HB52" i="1"/>
  <c r="HC75" i="1"/>
  <c r="HB75" i="1"/>
  <c r="AR89" i="1"/>
  <c r="AO89" i="1"/>
  <c r="AQ89" i="1"/>
  <c r="AT89" i="1"/>
  <c r="AP89" i="1"/>
  <c r="AS89" i="1"/>
  <c r="AO75" i="1"/>
  <c r="AR75" i="1"/>
  <c r="AT75" i="1"/>
  <c r="AS75" i="1"/>
  <c r="AQ75" i="1"/>
  <c r="AT74" i="1"/>
  <c r="AS74" i="1"/>
  <c r="AR74" i="1"/>
  <c r="AQ74" i="1"/>
  <c r="AT90" i="1"/>
  <c r="AS90" i="1"/>
  <c r="AO90" i="1"/>
  <c r="AR90" i="1"/>
  <c r="AQ90" i="1"/>
  <c r="AP90" i="1"/>
  <c r="AR31" i="1"/>
  <c r="AQ31" i="1"/>
  <c r="V75" i="1"/>
  <c r="V79" i="1"/>
  <c r="V78" i="1"/>
  <c r="V90" i="1"/>
  <c r="V74" i="1"/>
  <c r="U77" i="1"/>
  <c r="U75" i="1"/>
  <c r="U78" i="1"/>
  <c r="U90" i="1"/>
  <c r="U74" i="1"/>
  <c r="S42" i="1" l="1"/>
  <c r="FC48" i="1"/>
  <c r="GG48" i="1" l="1"/>
  <c r="IR48" i="1"/>
  <c r="DA52" i="1"/>
  <c r="DA20" i="1"/>
  <c r="DA28" i="1"/>
  <c r="DA32" i="1"/>
  <c r="DA27" i="1"/>
  <c r="DA15" i="1"/>
  <c r="DA26" i="1"/>
  <c r="DA30" i="1"/>
  <c r="DA31" i="1"/>
  <c r="DA37" i="1"/>
  <c r="DA25" i="1"/>
  <c r="DA33" i="1"/>
  <c r="DA29" i="1"/>
  <c r="DA23" i="1"/>
  <c r="DA40" i="1"/>
  <c r="DA38" i="1"/>
  <c r="DA51" i="1"/>
  <c r="DA42" i="1"/>
  <c r="DA43" i="1"/>
  <c r="DA46" i="1"/>
  <c r="DA44" i="1"/>
  <c r="DA41" i="1"/>
  <c r="DA47" i="1"/>
  <c r="DA10" i="1"/>
  <c r="DA7" i="1"/>
  <c r="DA5" i="1"/>
  <c r="DA13" i="1"/>
  <c r="DA11" i="1"/>
  <c r="DA12" i="1"/>
  <c r="DA8" i="1"/>
  <c r="DA19" i="1"/>
  <c r="DA14" i="1"/>
  <c r="DA18" i="1"/>
  <c r="DA16" i="1"/>
  <c r="DA17" i="1"/>
  <c r="DA22" i="1"/>
  <c r="FB8" i="1"/>
  <c r="FD8" i="1" s="1"/>
  <c r="FB91" i="1"/>
  <c r="FC91" i="1" s="1"/>
  <c r="FB9" i="1"/>
  <c r="FD9" i="1" s="1"/>
  <c r="FB34" i="1"/>
  <c r="FD34" i="1" s="1"/>
  <c r="FB98" i="1"/>
  <c r="FB97" i="1"/>
  <c r="FB96" i="1"/>
  <c r="FB6" i="1"/>
  <c r="FD6" i="1" s="1"/>
  <c r="FB21" i="1"/>
  <c r="FD21" i="1" s="1"/>
  <c r="FB95" i="1"/>
  <c r="FB94" i="1"/>
  <c r="FB93" i="1"/>
  <c r="FB92" i="1"/>
  <c r="FB72" i="1"/>
  <c r="FB71" i="1"/>
  <c r="FB70" i="1"/>
  <c r="FB69" i="1"/>
  <c r="FB53" i="1"/>
  <c r="FB52" i="1"/>
  <c r="FB54" i="1"/>
  <c r="FB55" i="1"/>
  <c r="FB60" i="1"/>
  <c r="FB58" i="1"/>
  <c r="FB63" i="1"/>
  <c r="FB59" i="1"/>
  <c r="FB24" i="1"/>
  <c r="FD24" i="1" s="1"/>
  <c r="FB75" i="1"/>
  <c r="FB79" i="1"/>
  <c r="FB68" i="1"/>
  <c r="FB78" i="1"/>
  <c r="FB77" i="1"/>
  <c r="FB74" i="1"/>
  <c r="FB89" i="1"/>
  <c r="FB67" i="1"/>
  <c r="FB64" i="1"/>
  <c r="FB3" i="1"/>
  <c r="FD3" i="1" s="1"/>
  <c r="FB65" i="1"/>
  <c r="FB66" i="1"/>
  <c r="FB50" i="1"/>
  <c r="FB76" i="1"/>
  <c r="FB62" i="1"/>
  <c r="FD62" i="1" s="1"/>
  <c r="FB61" i="1"/>
  <c r="FB49" i="1"/>
  <c r="FB56" i="1"/>
  <c r="FB4" i="1"/>
  <c r="FD4" i="1" s="1"/>
  <c r="FB45" i="1"/>
  <c r="FB48" i="1"/>
  <c r="FD48" i="1" s="1"/>
  <c r="FB47" i="1"/>
  <c r="FD47" i="1" s="1"/>
  <c r="FB35" i="1"/>
  <c r="FB41" i="1"/>
  <c r="FB44" i="1"/>
  <c r="FB46" i="1"/>
  <c r="FB57" i="1"/>
  <c r="FD57" i="1" s="1"/>
  <c r="FB43" i="1"/>
  <c r="FB42" i="1"/>
  <c r="FB51" i="1"/>
  <c r="FB38" i="1"/>
  <c r="FD38" i="1" s="1"/>
  <c r="FB39" i="1"/>
  <c r="FD39" i="1" s="1"/>
  <c r="FB40" i="1"/>
  <c r="FD40" i="1" s="1"/>
  <c r="FB23" i="1"/>
  <c r="FD23" i="1" s="1"/>
  <c r="FB29" i="1"/>
  <c r="FD29" i="1" s="1"/>
  <c r="FB33" i="1"/>
  <c r="FD33" i="1" s="1"/>
  <c r="FB25" i="1"/>
  <c r="FD25" i="1" s="1"/>
  <c r="FB37" i="1"/>
  <c r="FD37" i="1" s="1"/>
  <c r="FB31" i="1"/>
  <c r="FB30" i="1"/>
  <c r="FD30" i="1" s="1"/>
  <c r="FB26" i="1"/>
  <c r="FD26" i="1" s="1"/>
  <c r="FB15" i="1"/>
  <c r="FD15" i="1" s="1"/>
  <c r="FB27" i="1"/>
  <c r="FD27" i="1" s="1"/>
  <c r="FB32" i="1"/>
  <c r="FD32" i="1" s="1"/>
  <c r="FB28" i="1"/>
  <c r="FD28" i="1" s="1"/>
  <c r="FB20" i="1"/>
  <c r="FD20" i="1" s="1"/>
  <c r="FB22" i="1"/>
  <c r="FD22" i="1" s="1"/>
  <c r="FB17" i="1"/>
  <c r="FD17" i="1" s="1"/>
  <c r="FB16" i="1"/>
  <c r="FD16" i="1" s="1"/>
  <c r="FB18" i="1"/>
  <c r="FD18" i="1" s="1"/>
  <c r="FB14" i="1"/>
  <c r="FD14" i="1" s="1"/>
  <c r="FB19" i="1"/>
  <c r="FD19" i="1" s="1"/>
  <c r="FB12" i="1"/>
  <c r="FD12" i="1" s="1"/>
  <c r="FB11" i="1"/>
  <c r="FD11" i="1" s="1"/>
  <c r="FB13" i="1"/>
  <c r="FD13" i="1" s="1"/>
  <c r="FB5" i="1"/>
  <c r="FD5" i="1" s="1"/>
  <c r="FB7" i="1"/>
  <c r="FD7" i="1" s="1"/>
  <c r="FB10" i="1"/>
  <c r="FD10" i="1" s="1"/>
  <c r="FD91" i="1" l="1"/>
  <c r="EC91" i="1"/>
  <c r="FH91" i="1"/>
  <c r="FK91" i="1" s="1"/>
  <c r="GG91" i="1"/>
  <c r="FD51" i="1"/>
  <c r="FJ51" i="1"/>
  <c r="FM51" i="1" s="1"/>
  <c r="FD46" i="1"/>
  <c r="FJ46" i="1"/>
  <c r="FM46" i="1" s="1"/>
  <c r="FD35" i="1"/>
  <c r="FJ35" i="1"/>
  <c r="FM35" i="1" s="1"/>
  <c r="FD42" i="1"/>
  <c r="FJ42" i="1"/>
  <c r="FM42" i="1" s="1"/>
  <c r="FD43" i="1"/>
  <c r="FJ43" i="1"/>
  <c r="FM43" i="1" s="1"/>
  <c r="FD41" i="1"/>
  <c r="FJ41" i="1"/>
  <c r="FD50" i="1"/>
  <c r="FD61" i="1"/>
  <c r="FD31" i="1"/>
  <c r="FJ68" i="1"/>
  <c r="FJ59" i="1"/>
  <c r="FJ69" i="1"/>
  <c r="FJ95" i="1"/>
  <c r="FJ97" i="1"/>
  <c r="FJ76" i="1"/>
  <c r="FJ74" i="1"/>
  <c r="FJ79" i="1"/>
  <c r="FJ63" i="1"/>
  <c r="FJ54" i="1"/>
  <c r="FJ70" i="1"/>
  <c r="FJ93" i="1"/>
  <c r="FJ98" i="1"/>
  <c r="FJ67" i="1"/>
  <c r="FJ78" i="1"/>
  <c r="FJ60" i="1"/>
  <c r="FJ72" i="1"/>
  <c r="FJ94" i="1"/>
  <c r="FJ96" i="1"/>
  <c r="FJ55" i="1"/>
  <c r="FJ92" i="1"/>
  <c r="FJ64" i="1"/>
  <c r="FJ58" i="1"/>
  <c r="FJ71" i="1"/>
  <c r="FJ62" i="1"/>
  <c r="FM62" i="1" s="1"/>
  <c r="FJ56" i="1"/>
  <c r="FK56" i="1" s="1"/>
  <c r="FJ44" i="1"/>
  <c r="FM44" i="1" s="1"/>
  <c r="FJ45" i="1"/>
  <c r="FM45" i="1" s="1"/>
  <c r="FJ61" i="1"/>
  <c r="FM61" i="1" s="1"/>
  <c r="FJ53" i="1"/>
  <c r="FM53" i="1" s="1"/>
  <c r="FC65" i="1"/>
  <c r="FJ65" i="1"/>
  <c r="FC89" i="1"/>
  <c r="FJ89" i="1"/>
  <c r="FJ91" i="1"/>
  <c r="FC66" i="1"/>
  <c r="FJ66" i="1"/>
  <c r="FC77" i="1"/>
  <c r="FH77" i="1" s="1"/>
  <c r="FK77" i="1" s="1"/>
  <c r="FJ77" i="1"/>
  <c r="FC75" i="1"/>
  <c r="FJ75" i="1"/>
  <c r="FC36" i="1"/>
  <c r="FJ36" i="1"/>
  <c r="FJ47" i="1"/>
  <c r="FM47" i="1" s="1"/>
  <c r="FJ48" i="1"/>
  <c r="FJ49" i="1"/>
  <c r="FJ50" i="1"/>
  <c r="FJ57" i="1"/>
  <c r="FJ52" i="1"/>
  <c r="FM52" i="1" s="1"/>
  <c r="FJ13" i="1"/>
  <c r="FM13" i="1" s="1"/>
  <c r="FJ27" i="1"/>
  <c r="FM27" i="1" s="1"/>
  <c r="FJ10" i="1"/>
  <c r="FJ18" i="1"/>
  <c r="FM18" i="1" s="1"/>
  <c r="FJ20" i="1"/>
  <c r="FM20" i="1" s="1"/>
  <c r="FJ15" i="1"/>
  <c r="FM15" i="1" s="1"/>
  <c r="FJ37" i="1"/>
  <c r="FM37" i="1" s="1"/>
  <c r="FJ23" i="1"/>
  <c r="FM23" i="1" s="1"/>
  <c r="FJ14" i="1"/>
  <c r="FM14" i="1" s="1"/>
  <c r="FJ31" i="1"/>
  <c r="FM31" i="1" s="1"/>
  <c r="FJ4" i="1"/>
  <c r="FJ9" i="1"/>
  <c r="FJ11" i="1"/>
  <c r="FM11" i="1" s="1"/>
  <c r="FJ7" i="1"/>
  <c r="FJ12" i="1"/>
  <c r="FM12" i="1" s="1"/>
  <c r="FJ16" i="1"/>
  <c r="FM16" i="1" s="1"/>
  <c r="FJ28" i="1"/>
  <c r="FM28" i="1" s="1"/>
  <c r="FJ26" i="1"/>
  <c r="FM26" i="1" s="1"/>
  <c r="FJ25" i="1"/>
  <c r="FM25" i="1" s="1"/>
  <c r="FJ40" i="1"/>
  <c r="FM40" i="1" s="1"/>
  <c r="FJ3" i="1"/>
  <c r="FJ21" i="1"/>
  <c r="FM21" i="1" s="1"/>
  <c r="FJ8" i="1"/>
  <c r="FJ22" i="1"/>
  <c r="FM22" i="1" s="1"/>
  <c r="FJ29" i="1"/>
  <c r="FM29" i="1" s="1"/>
  <c r="FJ38" i="1"/>
  <c r="FM38" i="1" s="1"/>
  <c r="FJ24" i="1"/>
  <c r="FM24" i="1" s="1"/>
  <c r="FJ5" i="1"/>
  <c r="FJ19" i="1"/>
  <c r="FM19" i="1" s="1"/>
  <c r="FJ17" i="1"/>
  <c r="FM17" i="1" s="1"/>
  <c r="FJ32" i="1"/>
  <c r="FM32" i="1" s="1"/>
  <c r="FJ30" i="1"/>
  <c r="FJ33" i="1"/>
  <c r="FM33" i="1" s="1"/>
  <c r="FJ39" i="1"/>
  <c r="FM39" i="1" s="1"/>
  <c r="FJ6" i="1"/>
  <c r="FJ34" i="1"/>
  <c r="FM34" i="1" s="1"/>
  <c r="FC68" i="1"/>
  <c r="FC67" i="1"/>
  <c r="FC74" i="1"/>
  <c r="FC79" i="1"/>
  <c r="EC79" i="1" s="1"/>
  <c r="FC78" i="1"/>
  <c r="FC64" i="1"/>
  <c r="FC76" i="1"/>
  <c r="BV91" i="1" l="1"/>
  <c r="BW91" i="1"/>
  <c r="BX91" i="1" s="1"/>
  <c r="BY91" i="1" s="1"/>
  <c r="FH89" i="1"/>
  <c r="FK89" i="1" s="1"/>
  <c r="FH64" i="1"/>
  <c r="FK64" i="1" s="1"/>
  <c r="FH67" i="1"/>
  <c r="FK67" i="1" s="1"/>
  <c r="FH75" i="1"/>
  <c r="FH66" i="1"/>
  <c r="FK66" i="1" s="1"/>
  <c r="FM66" i="1" s="1"/>
  <c r="FO66" i="1" s="1"/>
  <c r="FH74" i="1"/>
  <c r="FK74" i="1" s="1"/>
  <c r="FH78" i="1"/>
  <c r="FK78" i="1" s="1"/>
  <c r="FH68" i="1"/>
  <c r="FK68" i="1" s="1"/>
  <c r="FH65" i="1"/>
  <c r="FK65" i="1" s="1"/>
  <c r="FH76" i="1"/>
  <c r="FK76" i="1" s="1"/>
  <c r="FH79" i="1"/>
  <c r="FK79" i="1" s="1"/>
  <c r="FH36" i="1"/>
  <c r="FK36" i="1" s="1"/>
  <c r="FD77" i="1"/>
  <c r="FD78" i="1"/>
  <c r="FM77" i="1"/>
  <c r="FO77" i="1" s="1"/>
  <c r="FD36" i="1"/>
  <c r="FD64" i="1"/>
  <c r="FD89" i="1"/>
  <c r="FM30" i="1"/>
  <c r="FO30" i="1" s="1"/>
  <c r="FM5" i="1"/>
  <c r="FO5" i="1" s="1"/>
  <c r="FD65" i="1"/>
  <c r="FM7" i="1"/>
  <c r="FO7" i="1" s="1"/>
  <c r="FD75" i="1"/>
  <c r="FD68" i="1"/>
  <c r="FD66" i="1"/>
  <c r="FM9" i="1"/>
  <c r="FO9" i="1" s="1"/>
  <c r="FM57" i="1"/>
  <c r="FO57" i="1" s="1"/>
  <c r="FM91" i="1"/>
  <c r="FO91" i="1" s="1"/>
  <c r="FM6" i="1"/>
  <c r="FO6" i="1" s="1"/>
  <c r="FM8" i="1"/>
  <c r="FO8" i="1" s="1"/>
  <c r="FM4" i="1"/>
  <c r="FO4" i="1" s="1"/>
  <c r="FM10" i="1"/>
  <c r="FD74" i="1"/>
  <c r="FM3" i="1"/>
  <c r="FD67" i="1"/>
  <c r="FD79" i="1"/>
  <c r="FD76" i="1"/>
  <c r="FO43" i="1"/>
  <c r="FO42" i="1"/>
  <c r="FO46" i="1"/>
  <c r="FO53" i="1"/>
  <c r="FO44" i="1"/>
  <c r="FO52" i="1"/>
  <c r="FO35" i="1"/>
  <c r="FM41" i="1"/>
  <c r="FO47" i="1"/>
  <c r="FO61" i="1"/>
  <c r="FO62" i="1"/>
  <c r="EC76" i="1"/>
  <c r="DA91" i="1"/>
  <c r="EC38" i="1"/>
  <c r="FK75" i="1" l="1"/>
  <c r="FM75" i="1" s="1"/>
  <c r="FO75" i="1" s="1"/>
  <c r="FO3" i="1"/>
  <c r="FM36" i="1"/>
  <c r="FO36" i="1" s="1"/>
  <c r="FM68" i="1"/>
  <c r="FO68" i="1" s="1"/>
  <c r="FM65" i="1"/>
  <c r="FO65" i="1" s="1"/>
  <c r="FM74" i="1"/>
  <c r="FO74" i="1" s="1"/>
  <c r="FM76" i="1"/>
  <c r="FO76" i="1" s="1"/>
  <c r="FM64" i="1"/>
  <c r="FO64" i="1" s="1"/>
  <c r="FM79" i="1"/>
  <c r="FO79" i="1" s="1"/>
  <c r="FM67" i="1"/>
  <c r="FO67" i="1" s="1"/>
  <c r="FM78" i="1"/>
  <c r="FO78" i="1" s="1"/>
  <c r="FM89" i="1"/>
  <c r="FO89" i="1" s="1"/>
  <c r="FO10" i="1"/>
  <c r="FO41" i="1"/>
  <c r="IR39" i="1" l="1"/>
  <c r="IR38" i="1"/>
  <c r="IR57" i="1"/>
  <c r="IR10" i="1"/>
  <c r="IR91" i="1"/>
  <c r="IR47" i="1"/>
  <c r="IR37" i="1"/>
  <c r="IR9" i="1"/>
  <c r="IR8" i="1"/>
  <c r="IR7" i="1"/>
  <c r="IR36" i="1"/>
  <c r="IR52" i="1"/>
  <c r="IR34" i="1"/>
  <c r="IR33" i="1"/>
  <c r="IR32" i="1"/>
  <c r="IR22" i="1"/>
  <c r="IR103" i="1"/>
  <c r="IR31" i="1"/>
  <c r="IR44" i="1"/>
  <c r="IR66" i="1"/>
  <c r="IR6" i="1"/>
  <c r="IR5" i="1"/>
  <c r="IR21" i="1"/>
  <c r="IR20" i="1"/>
  <c r="IR72" i="1"/>
  <c r="IR41" i="1"/>
  <c r="IR25" i="1"/>
  <c r="IR90" i="1"/>
  <c r="IR68" i="1"/>
  <c r="IR19" i="1"/>
  <c r="IR75" i="1"/>
  <c r="IR118" i="1"/>
  <c r="IR117" i="1"/>
  <c r="IR100" i="1"/>
  <c r="IR18" i="1"/>
  <c r="IR45" i="1"/>
  <c r="IR30" i="1"/>
  <c r="IR56" i="1"/>
  <c r="IR98" i="1"/>
  <c r="IR97" i="1"/>
  <c r="IR17" i="1"/>
  <c r="IR4" i="1"/>
  <c r="IR16" i="1"/>
  <c r="IR46" i="1"/>
  <c r="IR96" i="1"/>
  <c r="IR71" i="1"/>
  <c r="IR50" i="1"/>
  <c r="IR3" i="1"/>
  <c r="IR15" i="1"/>
  <c r="IR29" i="1"/>
  <c r="IR28" i="1"/>
  <c r="IR77" i="1"/>
  <c r="IR79" i="1"/>
  <c r="IR78" i="1"/>
  <c r="IR49" i="1"/>
  <c r="IR54" i="1"/>
  <c r="IR67" i="1"/>
  <c r="IR14" i="1"/>
  <c r="IR82" i="1"/>
  <c r="IR65" i="1"/>
  <c r="IR35" i="1"/>
  <c r="IR27" i="1"/>
  <c r="IR13" i="1"/>
  <c r="IR2" i="1"/>
  <c r="IR73" i="1"/>
  <c r="IR74" i="1"/>
  <c r="IR26" i="1"/>
  <c r="IR55" i="1"/>
  <c r="IR95" i="1"/>
  <c r="IR94" i="1"/>
  <c r="IR93" i="1"/>
  <c r="IR109" i="1"/>
  <c r="IR62" i="1"/>
  <c r="IR61" i="1"/>
  <c r="IR92" i="1"/>
  <c r="IR60" i="1"/>
  <c r="IR89" i="1"/>
  <c r="IR70" i="1"/>
  <c r="IR64" i="1"/>
  <c r="IR58" i="1"/>
  <c r="IR76" i="1"/>
  <c r="IR12" i="1"/>
  <c r="IR63" i="1"/>
  <c r="IR69" i="1"/>
  <c r="IR24" i="1"/>
  <c r="IR23" i="1"/>
  <c r="IR11" i="1"/>
  <c r="IR113" i="1"/>
  <c r="IR43" i="1"/>
  <c r="IR59" i="1"/>
  <c r="DE23" i="1" l="1"/>
  <c r="DE24" i="1"/>
  <c r="DE26" i="1"/>
  <c r="DE27" i="1"/>
  <c r="DE28" i="1"/>
  <c r="DE29" i="1"/>
  <c r="DE30" i="1"/>
  <c r="DE25" i="1"/>
  <c r="DE32" i="1"/>
  <c r="DE33" i="1"/>
  <c r="DE34" i="1"/>
  <c r="DE11" i="1"/>
  <c r="DE12" i="1"/>
  <c r="EW53" i="1"/>
  <c r="ET53" i="1"/>
  <c r="ET72" i="1"/>
  <c r="ET90" i="1"/>
  <c r="ET75" i="1"/>
  <c r="ET71" i="1"/>
  <c r="ET74" i="1"/>
  <c r="ET89" i="1"/>
  <c r="ET70" i="1"/>
  <c r="ET69" i="1"/>
  <c r="EQ53" i="1"/>
  <c r="EQ72" i="1"/>
  <c r="EQ90" i="1"/>
  <c r="EQ75" i="1"/>
  <c r="EQ71" i="1"/>
  <c r="EQ74" i="1"/>
  <c r="EQ89" i="1"/>
  <c r="EQ70" i="1"/>
  <c r="EQ69" i="1"/>
  <c r="EN72" i="1"/>
  <c r="EN90" i="1"/>
  <c r="EN75" i="1"/>
  <c r="EN71" i="1"/>
  <c r="EN74" i="1"/>
  <c r="EN89" i="1"/>
  <c r="EN70" i="1"/>
  <c r="EN69" i="1"/>
  <c r="EK53" i="1"/>
  <c r="EK72" i="1"/>
  <c r="EK90" i="1"/>
  <c r="EK75" i="1"/>
  <c r="EK71" i="1"/>
  <c r="EK78" i="1"/>
  <c r="EL78" i="1" s="1"/>
  <c r="EK74" i="1"/>
  <c r="EK89" i="1"/>
  <c r="EK70" i="1"/>
  <c r="EK69" i="1"/>
  <c r="EH72" i="1"/>
  <c r="EH90" i="1"/>
  <c r="EH75" i="1"/>
  <c r="EH71" i="1"/>
  <c r="EH74" i="1"/>
  <c r="EH89" i="1"/>
  <c r="EH70" i="1"/>
  <c r="EH69" i="1"/>
  <c r="EE53" i="1"/>
  <c r="DU72" i="1"/>
  <c r="DU90" i="1"/>
  <c r="DU75" i="1"/>
  <c r="DU100" i="1"/>
  <c r="DU71" i="1"/>
  <c r="DU78" i="1"/>
  <c r="DU89" i="1"/>
  <c r="DU70" i="1"/>
  <c r="DU69" i="1"/>
  <c r="DP72" i="1"/>
  <c r="DP90" i="1"/>
  <c r="DP75" i="1"/>
  <c r="DP100" i="1"/>
  <c r="DP71" i="1"/>
  <c r="DP89" i="1"/>
  <c r="DP70" i="1"/>
  <c r="DP69" i="1"/>
  <c r="DM72" i="1"/>
  <c r="DM90" i="1"/>
  <c r="DM75" i="1"/>
  <c r="DM100" i="1"/>
  <c r="DM71" i="1"/>
  <c r="DM78" i="1"/>
  <c r="DM89" i="1"/>
  <c r="DM70" i="1"/>
  <c r="DM69" i="1"/>
  <c r="DJ72" i="1"/>
  <c r="DJ90" i="1"/>
  <c r="DJ100" i="1"/>
  <c r="DJ71" i="1"/>
  <c r="DJ89" i="1"/>
  <c r="DJ70" i="1"/>
  <c r="DJ69" i="1"/>
  <c r="DG72" i="1"/>
  <c r="DG71" i="1"/>
  <c r="DG78" i="1"/>
  <c r="DG70" i="1"/>
  <c r="DG69" i="1"/>
  <c r="DE69" i="1"/>
  <c r="DE70" i="1"/>
  <c r="DE89" i="1"/>
  <c r="EW48" i="1"/>
  <c r="EW52" i="1"/>
  <c r="EW54" i="1"/>
  <c r="EW55" i="1"/>
  <c r="EW60" i="1"/>
  <c r="EW58" i="1"/>
  <c r="EW59" i="1"/>
  <c r="ET48" i="1"/>
  <c r="ET36" i="1"/>
  <c r="ET52" i="1"/>
  <c r="ET77" i="1"/>
  <c r="ET54" i="1"/>
  <c r="ET65" i="1"/>
  <c r="ET73" i="1"/>
  <c r="ET55" i="1"/>
  <c r="ET60" i="1"/>
  <c r="ET64" i="1"/>
  <c r="ET58" i="1"/>
  <c r="ET63" i="1"/>
  <c r="ET59" i="1"/>
  <c r="EQ48" i="1"/>
  <c r="EQ36" i="1"/>
  <c r="EQ52" i="1"/>
  <c r="EQ77" i="1"/>
  <c r="EQ54" i="1"/>
  <c r="EQ65" i="1"/>
  <c r="EQ73" i="1"/>
  <c r="EQ55" i="1"/>
  <c r="EQ60" i="1"/>
  <c r="EQ64" i="1"/>
  <c r="EQ58" i="1"/>
  <c r="EQ63" i="1"/>
  <c r="EQ59" i="1"/>
  <c r="EN36" i="1"/>
  <c r="EN77" i="1"/>
  <c r="EN54" i="1"/>
  <c r="EN65" i="1"/>
  <c r="EN73" i="1"/>
  <c r="EN55" i="1"/>
  <c r="EN60" i="1"/>
  <c r="EN64" i="1"/>
  <c r="EN58" i="1"/>
  <c r="EN63" i="1"/>
  <c r="EN59" i="1"/>
  <c r="EK48" i="1"/>
  <c r="EK36" i="1"/>
  <c r="EK52" i="1"/>
  <c r="EK77" i="1"/>
  <c r="EK54" i="1"/>
  <c r="EK65" i="1"/>
  <c r="EK73" i="1"/>
  <c r="EK55" i="1"/>
  <c r="EK60" i="1"/>
  <c r="EK64" i="1"/>
  <c r="EK58" i="1"/>
  <c r="EK63" i="1"/>
  <c r="EK59" i="1"/>
  <c r="EH36" i="1"/>
  <c r="EH77" i="1"/>
  <c r="EH54" i="1"/>
  <c r="EH65" i="1"/>
  <c r="EH73" i="1"/>
  <c r="EH55" i="1"/>
  <c r="EH60" i="1"/>
  <c r="EH64" i="1"/>
  <c r="EH58" i="1"/>
  <c r="EH63" i="1"/>
  <c r="EH59" i="1"/>
  <c r="EE48" i="1"/>
  <c r="DU36" i="1"/>
  <c r="DU77" i="1"/>
  <c r="DU54" i="1"/>
  <c r="DU65" i="1"/>
  <c r="DU73" i="1"/>
  <c r="DU55" i="1"/>
  <c r="DU60" i="1"/>
  <c r="DU64" i="1"/>
  <c r="DU58" i="1"/>
  <c r="DU63" i="1"/>
  <c r="DU59" i="1"/>
  <c r="DP36" i="1"/>
  <c r="DP55" i="1"/>
  <c r="DP60" i="1"/>
  <c r="DP63" i="1"/>
  <c r="DP59" i="1"/>
  <c r="DQ59" i="1" s="1"/>
  <c r="DM55" i="1"/>
  <c r="DM60" i="1"/>
  <c r="DM63" i="1"/>
  <c r="DM59" i="1"/>
  <c r="DE60" i="1"/>
  <c r="DE64" i="1"/>
  <c r="DE58" i="1"/>
  <c r="DE63" i="1"/>
  <c r="DE59" i="1"/>
  <c r="DU66" i="1"/>
  <c r="DU68" i="1"/>
  <c r="DU56" i="1"/>
  <c r="DU67" i="1"/>
  <c r="DU76" i="1"/>
  <c r="EE50" i="1"/>
  <c r="EH66" i="1"/>
  <c r="EH68" i="1"/>
  <c r="EH67" i="1"/>
  <c r="EH76" i="1"/>
  <c r="EK66" i="1"/>
  <c r="EK68" i="1"/>
  <c r="EK56" i="1"/>
  <c r="EK50" i="1"/>
  <c r="EK67" i="1"/>
  <c r="EK76" i="1"/>
  <c r="EN67" i="1"/>
  <c r="EN68" i="1"/>
  <c r="EN66" i="1"/>
  <c r="EN76" i="1"/>
  <c r="EN51" i="1"/>
  <c r="DE76" i="1"/>
  <c r="DP131" i="1" l="1"/>
  <c r="DG131" i="1"/>
  <c r="DU131" i="1"/>
  <c r="DJ131" i="1"/>
  <c r="DM131" i="1"/>
  <c r="EW47" i="1"/>
  <c r="EX47" i="1" s="1"/>
  <c r="EW44" i="1"/>
  <c r="EX44" i="1" s="1"/>
  <c r="EW41" i="1"/>
  <c r="EX41" i="1" s="1"/>
  <c r="EW46" i="1"/>
  <c r="EW42" i="1"/>
  <c r="EX42" i="1" s="1"/>
  <c r="ET47" i="1"/>
  <c r="EU47" i="1" s="1"/>
  <c r="ET44" i="1"/>
  <c r="EU44" i="1" s="1"/>
  <c r="EU41" i="1"/>
  <c r="ET46" i="1"/>
  <c r="ET42" i="1"/>
  <c r="EU42" i="1" s="1"/>
  <c r="EQ47" i="1"/>
  <c r="ER47" i="1" s="1"/>
  <c r="EQ44" i="1"/>
  <c r="ER44" i="1" s="1"/>
  <c r="EQ41" i="1"/>
  <c r="ER41" i="1" s="1"/>
  <c r="EQ46" i="1"/>
  <c r="EQ42" i="1"/>
  <c r="ER42" i="1" s="1"/>
  <c r="EO47" i="1"/>
  <c r="EN44" i="1"/>
  <c r="EO44" i="1" s="1"/>
  <c r="EN41" i="1"/>
  <c r="EO41" i="1" s="1"/>
  <c r="EO46" i="1"/>
  <c r="EO49" i="1"/>
  <c r="EO61" i="1"/>
  <c r="EO42" i="1"/>
  <c r="EL44" i="1"/>
  <c r="EK49" i="1"/>
  <c r="EL49" i="1" s="1"/>
  <c r="EL16" i="1"/>
  <c r="EK4" i="1"/>
  <c r="EL4" i="1" s="1"/>
  <c r="EL17" i="1"/>
  <c r="EK97" i="1"/>
  <c r="EL97" i="1" s="1"/>
  <c r="EL65" i="1"/>
  <c r="EK98" i="1"/>
  <c r="EL98" i="1" s="1"/>
  <c r="EL56" i="1"/>
  <c r="EL30" i="1"/>
  <c r="EL45" i="1"/>
  <c r="EL18" i="1"/>
  <c r="EK100" i="1"/>
  <c r="EL100" i="1" s="1"/>
  <c r="EK117" i="1"/>
  <c r="EL117" i="1" s="1"/>
  <c r="EK118" i="1"/>
  <c r="EL118" i="1" s="1"/>
  <c r="EL75" i="1"/>
  <c r="EK19" i="1"/>
  <c r="EL19" i="1" s="1"/>
  <c r="EL68" i="1"/>
  <c r="EL90" i="1"/>
  <c r="EK61" i="1"/>
  <c r="EL61" i="1" s="1"/>
  <c r="EL42" i="1"/>
  <c r="EI42" i="1"/>
  <c r="EI44" i="1"/>
  <c r="EI49" i="1"/>
  <c r="EI61" i="1"/>
  <c r="EF49" i="1"/>
  <c r="EF61" i="1"/>
  <c r="DE42" i="1"/>
  <c r="DE43" i="1"/>
  <c r="DH42" i="1"/>
  <c r="DK42" i="1"/>
  <c r="DN42" i="1"/>
  <c r="DQ42" i="1"/>
  <c r="DV42" i="1"/>
  <c r="EF42" i="1"/>
  <c r="EX39" i="1"/>
  <c r="EX38" i="1"/>
  <c r="EX57" i="1"/>
  <c r="EX10" i="1"/>
  <c r="EX37" i="1"/>
  <c r="EX9" i="1"/>
  <c r="EX8" i="1"/>
  <c r="EX7" i="1"/>
  <c r="EX36" i="1"/>
  <c r="EX53" i="1"/>
  <c r="EX52" i="1"/>
  <c r="EX48" i="1"/>
  <c r="EX34" i="1"/>
  <c r="EX33" i="1"/>
  <c r="EX32" i="1"/>
  <c r="EX22" i="1"/>
  <c r="EX66" i="1"/>
  <c r="EX6" i="1"/>
  <c r="EX5" i="1"/>
  <c r="EX21" i="1"/>
  <c r="EX20" i="1"/>
  <c r="EX72" i="1"/>
  <c r="EX25" i="1"/>
  <c r="EX90" i="1"/>
  <c r="EX68" i="1"/>
  <c r="EX19" i="1"/>
  <c r="EX75" i="1"/>
  <c r="EX18" i="1"/>
  <c r="EX45" i="1"/>
  <c r="EX30" i="1"/>
  <c r="EX56" i="1"/>
  <c r="EX98" i="1"/>
  <c r="EX65" i="1"/>
  <c r="EX97" i="1"/>
  <c r="EX17" i="1"/>
  <c r="EX4" i="1"/>
  <c r="EX16" i="1"/>
  <c r="EX96" i="1"/>
  <c r="EX71" i="1"/>
  <c r="EX50" i="1"/>
  <c r="EX3" i="1"/>
  <c r="EX15" i="1"/>
  <c r="EX29" i="1"/>
  <c r="EX28" i="1"/>
  <c r="EX77" i="1"/>
  <c r="EX49" i="1"/>
  <c r="EX54" i="1"/>
  <c r="EX67" i="1"/>
  <c r="EX14" i="1"/>
  <c r="EX35" i="1"/>
  <c r="EX27" i="1"/>
  <c r="EX51" i="1"/>
  <c r="EX13" i="1"/>
  <c r="EX2" i="1"/>
  <c r="EX73" i="1"/>
  <c r="EX74" i="1"/>
  <c r="EX26" i="1"/>
  <c r="EX55" i="1"/>
  <c r="EX95" i="1"/>
  <c r="EX94" i="1"/>
  <c r="EX93" i="1"/>
  <c r="EX62" i="1"/>
  <c r="EX61" i="1"/>
  <c r="EX92" i="1"/>
  <c r="EX60" i="1"/>
  <c r="EX89" i="1"/>
  <c r="EX70" i="1"/>
  <c r="EX64" i="1"/>
  <c r="EX58" i="1"/>
  <c r="EX76" i="1"/>
  <c r="EX12" i="1"/>
  <c r="EX63" i="1"/>
  <c r="EX69" i="1"/>
  <c r="EX24" i="1"/>
  <c r="EX23" i="1"/>
  <c r="EX11" i="1"/>
  <c r="EX43" i="1"/>
  <c r="EX59" i="1"/>
  <c r="EU39" i="1"/>
  <c r="EU38" i="1"/>
  <c r="EU57" i="1"/>
  <c r="EU10" i="1"/>
  <c r="EU37" i="1"/>
  <c r="EU9" i="1"/>
  <c r="EU8" i="1"/>
  <c r="EU7" i="1"/>
  <c r="EU36" i="1"/>
  <c r="EU53" i="1"/>
  <c r="EU52" i="1"/>
  <c r="EU48" i="1"/>
  <c r="EU34" i="1"/>
  <c r="EU33" i="1"/>
  <c r="EU32" i="1"/>
  <c r="EU22" i="1"/>
  <c r="EU66" i="1"/>
  <c r="EU6" i="1"/>
  <c r="EU5" i="1"/>
  <c r="EU21" i="1"/>
  <c r="EU20" i="1"/>
  <c r="EU72" i="1"/>
  <c r="EU25" i="1"/>
  <c r="EU90" i="1"/>
  <c r="EU68" i="1"/>
  <c r="EU19" i="1"/>
  <c r="EU75" i="1"/>
  <c r="EU18" i="1"/>
  <c r="EU45" i="1"/>
  <c r="EU30" i="1"/>
  <c r="EU56" i="1"/>
  <c r="EU98" i="1"/>
  <c r="EU65" i="1"/>
  <c r="EU97" i="1"/>
  <c r="EU17" i="1"/>
  <c r="EU4" i="1"/>
  <c r="EU16" i="1"/>
  <c r="EU96" i="1"/>
  <c r="EU71" i="1"/>
  <c r="EU50" i="1"/>
  <c r="EU3" i="1"/>
  <c r="EU15" i="1"/>
  <c r="EU29" i="1"/>
  <c r="EU28" i="1"/>
  <c r="EU77" i="1"/>
  <c r="EU49" i="1"/>
  <c r="EU54" i="1"/>
  <c r="EU67" i="1"/>
  <c r="EU14" i="1"/>
  <c r="EU35" i="1"/>
  <c r="EU27" i="1"/>
  <c r="EU51" i="1"/>
  <c r="EU13" i="1"/>
  <c r="EU2" i="1"/>
  <c r="EU73" i="1"/>
  <c r="EU74" i="1"/>
  <c r="EU26" i="1"/>
  <c r="EU55" i="1"/>
  <c r="EU95" i="1"/>
  <c r="EU94" i="1"/>
  <c r="EU93" i="1"/>
  <c r="EU62" i="1"/>
  <c r="EU61" i="1"/>
  <c r="EU92" i="1"/>
  <c r="EU60" i="1"/>
  <c r="EU89" i="1"/>
  <c r="EU70" i="1"/>
  <c r="EU64" i="1"/>
  <c r="EU58" i="1"/>
  <c r="EU76" i="1"/>
  <c r="EU12" i="1"/>
  <c r="EU63" i="1"/>
  <c r="EU69" i="1"/>
  <c r="EU24" i="1"/>
  <c r="EU23" i="1"/>
  <c r="EU11" i="1"/>
  <c r="EU43" i="1"/>
  <c r="EU59" i="1"/>
  <c r="ER39" i="1"/>
  <c r="ER38" i="1"/>
  <c r="ER57" i="1"/>
  <c r="ER10" i="1"/>
  <c r="ER37" i="1"/>
  <c r="ER9" i="1"/>
  <c r="ER8" i="1"/>
  <c r="ER7" i="1"/>
  <c r="ER36" i="1"/>
  <c r="ER53" i="1"/>
  <c r="ER52" i="1"/>
  <c r="ER48" i="1"/>
  <c r="ER34" i="1"/>
  <c r="ER33" i="1"/>
  <c r="ER32" i="1"/>
  <c r="ER22" i="1"/>
  <c r="ER66" i="1"/>
  <c r="ER6" i="1"/>
  <c r="ER5" i="1"/>
  <c r="ER21" i="1"/>
  <c r="ER20" i="1"/>
  <c r="ER72" i="1"/>
  <c r="ER25" i="1"/>
  <c r="ER90" i="1"/>
  <c r="ER68" i="1"/>
  <c r="ER19" i="1"/>
  <c r="ER75" i="1"/>
  <c r="ER18" i="1"/>
  <c r="ER45" i="1"/>
  <c r="ER30" i="1"/>
  <c r="ER56" i="1"/>
  <c r="ER98" i="1"/>
  <c r="ER65" i="1"/>
  <c r="ER97" i="1"/>
  <c r="ER17" i="1"/>
  <c r="ER4" i="1"/>
  <c r="ER16" i="1"/>
  <c r="ER96" i="1"/>
  <c r="ER71" i="1"/>
  <c r="ER50" i="1"/>
  <c r="ER3" i="1"/>
  <c r="ER15" i="1"/>
  <c r="ER29" i="1"/>
  <c r="ER28" i="1"/>
  <c r="ER77" i="1"/>
  <c r="ER49" i="1"/>
  <c r="ER54" i="1"/>
  <c r="ER67" i="1"/>
  <c r="ER14" i="1"/>
  <c r="ER35" i="1"/>
  <c r="ER27" i="1"/>
  <c r="ER51" i="1"/>
  <c r="ER13" i="1"/>
  <c r="ER2" i="1"/>
  <c r="ER73" i="1"/>
  <c r="ER74" i="1"/>
  <c r="ER26" i="1"/>
  <c r="ER55" i="1"/>
  <c r="ER95" i="1"/>
  <c r="ER94" i="1"/>
  <c r="ER93" i="1"/>
  <c r="ER62" i="1"/>
  <c r="ER61" i="1"/>
  <c r="ER92" i="1"/>
  <c r="ER60" i="1"/>
  <c r="ER89" i="1"/>
  <c r="ER70" i="1"/>
  <c r="ER64" i="1"/>
  <c r="ER58" i="1"/>
  <c r="ER76" i="1"/>
  <c r="ER12" i="1"/>
  <c r="ER63" i="1"/>
  <c r="ER69" i="1"/>
  <c r="ER24" i="1"/>
  <c r="ER23" i="1"/>
  <c r="ER11" i="1"/>
  <c r="ER43" i="1"/>
  <c r="ER59" i="1"/>
  <c r="EO39" i="1"/>
  <c r="EO38" i="1"/>
  <c r="EO57" i="1"/>
  <c r="EO10" i="1"/>
  <c r="EO37" i="1"/>
  <c r="EO9" i="1"/>
  <c r="EO8" i="1"/>
  <c r="EO7" i="1"/>
  <c r="EO36" i="1"/>
  <c r="EO53" i="1"/>
  <c r="EO52" i="1"/>
  <c r="EO48" i="1"/>
  <c r="EO34" i="1"/>
  <c r="EO33" i="1"/>
  <c r="EO32" i="1"/>
  <c r="EO22" i="1"/>
  <c r="EO66" i="1"/>
  <c r="EO6" i="1"/>
  <c r="EO5" i="1"/>
  <c r="EO21" i="1"/>
  <c r="EO20" i="1"/>
  <c r="EO72" i="1"/>
  <c r="EO25" i="1"/>
  <c r="EO90" i="1"/>
  <c r="EO68" i="1"/>
  <c r="EO19" i="1"/>
  <c r="EO75" i="1"/>
  <c r="EO18" i="1"/>
  <c r="EO45" i="1"/>
  <c r="EO30" i="1"/>
  <c r="EO56" i="1"/>
  <c r="EO98" i="1"/>
  <c r="EO65" i="1"/>
  <c r="EO97" i="1"/>
  <c r="EO17" i="1"/>
  <c r="EO4" i="1"/>
  <c r="EO16" i="1"/>
  <c r="EO96" i="1"/>
  <c r="EO71" i="1"/>
  <c r="EO50" i="1"/>
  <c r="EO3" i="1"/>
  <c r="EO15" i="1"/>
  <c r="EO29" i="1"/>
  <c r="EO28" i="1"/>
  <c r="EO77" i="1"/>
  <c r="EO54" i="1"/>
  <c r="EO67" i="1"/>
  <c r="EO14" i="1"/>
  <c r="EO35" i="1"/>
  <c r="EO27" i="1"/>
  <c r="EO51" i="1"/>
  <c r="EO13" i="1"/>
  <c r="EO2" i="1"/>
  <c r="EO73" i="1"/>
  <c r="EO74" i="1"/>
  <c r="EO26" i="1"/>
  <c r="EO55" i="1"/>
  <c r="EO95" i="1"/>
  <c r="EO94" i="1"/>
  <c r="EO93" i="1"/>
  <c r="EO62" i="1"/>
  <c r="EO92" i="1"/>
  <c r="EO60" i="1"/>
  <c r="EO89" i="1"/>
  <c r="EO70" i="1"/>
  <c r="EO64" i="1"/>
  <c r="EO58" i="1"/>
  <c r="EO76" i="1"/>
  <c r="EO12" i="1"/>
  <c r="EO63" i="1"/>
  <c r="EO69" i="1"/>
  <c r="EO24" i="1"/>
  <c r="EO23" i="1"/>
  <c r="EO11" i="1"/>
  <c r="EO43" i="1"/>
  <c r="EO59" i="1"/>
  <c r="EL39" i="1"/>
  <c r="EL38" i="1"/>
  <c r="EL57" i="1"/>
  <c r="EL10" i="1"/>
  <c r="EL47" i="1"/>
  <c r="EL37" i="1"/>
  <c r="EL9" i="1"/>
  <c r="EL8" i="1"/>
  <c r="EL7" i="1"/>
  <c r="EL36" i="1"/>
  <c r="EL53" i="1"/>
  <c r="EL52" i="1"/>
  <c r="EL48" i="1"/>
  <c r="EL34" i="1"/>
  <c r="EL33" i="1"/>
  <c r="EL32" i="1"/>
  <c r="EL22" i="1"/>
  <c r="EL66" i="1"/>
  <c r="EL6" i="1"/>
  <c r="EL5" i="1"/>
  <c r="EL21" i="1"/>
  <c r="EL20" i="1"/>
  <c r="EL72" i="1"/>
  <c r="EL41" i="1"/>
  <c r="EL46" i="1"/>
  <c r="EL96" i="1"/>
  <c r="EL71" i="1"/>
  <c r="EL50" i="1"/>
  <c r="EL3" i="1"/>
  <c r="EL15" i="1"/>
  <c r="EL29" i="1"/>
  <c r="EL28" i="1"/>
  <c r="EL77" i="1"/>
  <c r="EL54" i="1"/>
  <c r="EL67" i="1"/>
  <c r="EL14" i="1"/>
  <c r="EL35" i="1"/>
  <c r="EL27" i="1"/>
  <c r="EL51" i="1"/>
  <c r="EL13" i="1"/>
  <c r="EL2" i="1"/>
  <c r="EL73" i="1"/>
  <c r="EL74" i="1"/>
  <c r="EL26" i="1"/>
  <c r="EL55" i="1"/>
  <c r="EL95" i="1"/>
  <c r="EL94" i="1"/>
  <c r="EL93" i="1"/>
  <c r="EL62" i="1"/>
  <c r="EL92" i="1"/>
  <c r="EL60" i="1"/>
  <c r="EL89" i="1"/>
  <c r="EL70" i="1"/>
  <c r="EL64" i="1"/>
  <c r="EL58" i="1"/>
  <c r="EL76" i="1"/>
  <c r="EL12" i="1"/>
  <c r="EL63" i="1"/>
  <c r="EL69" i="1"/>
  <c r="EL24" i="1"/>
  <c r="EL23" i="1"/>
  <c r="EL11" i="1"/>
  <c r="EL43" i="1"/>
  <c r="EL59" i="1"/>
  <c r="EX40" i="1"/>
  <c r="EU40" i="1"/>
  <c r="ER40" i="1"/>
  <c r="EO40" i="1"/>
  <c r="EL40" i="1"/>
  <c r="EI59" i="1"/>
  <c r="EI43" i="1"/>
  <c r="EI113" i="1"/>
  <c r="EI11" i="1"/>
  <c r="EI23" i="1"/>
  <c r="EI24" i="1"/>
  <c r="EI69" i="1"/>
  <c r="EI63" i="1"/>
  <c r="EI12" i="1"/>
  <c r="EI76" i="1"/>
  <c r="EI58" i="1"/>
  <c r="EI64" i="1"/>
  <c r="EI70" i="1"/>
  <c r="EI89" i="1"/>
  <c r="EI60" i="1"/>
  <c r="EI92" i="1"/>
  <c r="EI62" i="1"/>
  <c r="EI109" i="1"/>
  <c r="EI93" i="1"/>
  <c r="EI94" i="1"/>
  <c r="EI95" i="1"/>
  <c r="EI55" i="1"/>
  <c r="EI26" i="1"/>
  <c r="EI74" i="1"/>
  <c r="EI73" i="1"/>
  <c r="EI2" i="1"/>
  <c r="EI13" i="1"/>
  <c r="EI51" i="1"/>
  <c r="EI27" i="1"/>
  <c r="EI35" i="1"/>
  <c r="EI82" i="1"/>
  <c r="EI14" i="1"/>
  <c r="EI67" i="1"/>
  <c r="EI54" i="1"/>
  <c r="EI78" i="1"/>
  <c r="EI79" i="1"/>
  <c r="EI77" i="1"/>
  <c r="EI28" i="1"/>
  <c r="EI29" i="1"/>
  <c r="EI15" i="1"/>
  <c r="EI3" i="1"/>
  <c r="EI50" i="1"/>
  <c r="EI71" i="1"/>
  <c r="EI96" i="1"/>
  <c r="EI46" i="1"/>
  <c r="EI16" i="1"/>
  <c r="EI4" i="1"/>
  <c r="EI17" i="1"/>
  <c r="EI97" i="1"/>
  <c r="EI65" i="1"/>
  <c r="EI98" i="1"/>
  <c r="EI56" i="1"/>
  <c r="EI30" i="1"/>
  <c r="EI45" i="1"/>
  <c r="EI18" i="1"/>
  <c r="EI100" i="1"/>
  <c r="EI117" i="1"/>
  <c r="EI118" i="1"/>
  <c r="EI75" i="1"/>
  <c r="EI19" i="1"/>
  <c r="EI68" i="1"/>
  <c r="EI90" i="1"/>
  <c r="EI25" i="1"/>
  <c r="EI41" i="1"/>
  <c r="EI72" i="1"/>
  <c r="EI20" i="1"/>
  <c r="EI21" i="1"/>
  <c r="EI5" i="1"/>
  <c r="EI6" i="1"/>
  <c r="EI66" i="1"/>
  <c r="EI103" i="1"/>
  <c r="EI22" i="1"/>
  <c r="EI32" i="1"/>
  <c r="EI33" i="1"/>
  <c r="EI34" i="1"/>
  <c r="EI48" i="1"/>
  <c r="EI52" i="1"/>
  <c r="EI53" i="1"/>
  <c r="EI36" i="1"/>
  <c r="EI7" i="1"/>
  <c r="EI8" i="1"/>
  <c r="EI9" i="1"/>
  <c r="EI37" i="1"/>
  <c r="EI47" i="1"/>
  <c r="EI91" i="1"/>
  <c r="EI10" i="1"/>
  <c r="EI57" i="1"/>
  <c r="EI38" i="1"/>
  <c r="EI39" i="1"/>
  <c r="EI40" i="1"/>
  <c r="DV59" i="1"/>
  <c r="DV43" i="1"/>
  <c r="DV113" i="1"/>
  <c r="DV11" i="1"/>
  <c r="DV23" i="1"/>
  <c r="DV24" i="1"/>
  <c r="DV69" i="1"/>
  <c r="DV63" i="1"/>
  <c r="DV12" i="1"/>
  <c r="DV76" i="1"/>
  <c r="DV58" i="1"/>
  <c r="DV64" i="1"/>
  <c r="DV70" i="1"/>
  <c r="DV89" i="1"/>
  <c r="DV60" i="1"/>
  <c r="DV92" i="1"/>
  <c r="DV61" i="1"/>
  <c r="DV62" i="1"/>
  <c r="DV109" i="1"/>
  <c r="DV93" i="1"/>
  <c r="DV94" i="1"/>
  <c r="DV95" i="1"/>
  <c r="DV55" i="1"/>
  <c r="DV26" i="1"/>
  <c r="DV74" i="1"/>
  <c r="DV73" i="1"/>
  <c r="DV2" i="1"/>
  <c r="DV13" i="1"/>
  <c r="DV51" i="1"/>
  <c r="DV27" i="1"/>
  <c r="DV35" i="1"/>
  <c r="DV82" i="1"/>
  <c r="DV14" i="1"/>
  <c r="DV67" i="1"/>
  <c r="DV54" i="1"/>
  <c r="DV49" i="1"/>
  <c r="DV78" i="1"/>
  <c r="DV79" i="1"/>
  <c r="DV77" i="1"/>
  <c r="DV28" i="1"/>
  <c r="DV29" i="1"/>
  <c r="DV15" i="1"/>
  <c r="DV3" i="1"/>
  <c r="DV50" i="1"/>
  <c r="DV71" i="1"/>
  <c r="DV96" i="1"/>
  <c r="DV46" i="1"/>
  <c r="DV16" i="1"/>
  <c r="DV4" i="1"/>
  <c r="DV17" i="1"/>
  <c r="DV97" i="1"/>
  <c r="DV65" i="1"/>
  <c r="DV98" i="1"/>
  <c r="DV56" i="1"/>
  <c r="DV30" i="1"/>
  <c r="DV45" i="1"/>
  <c r="DV18" i="1"/>
  <c r="DV100" i="1"/>
  <c r="DV117" i="1"/>
  <c r="DV118" i="1"/>
  <c r="DV75" i="1"/>
  <c r="DV19" i="1"/>
  <c r="DV68" i="1"/>
  <c r="DV90" i="1"/>
  <c r="DV25" i="1"/>
  <c r="DV41" i="1"/>
  <c r="DV72" i="1"/>
  <c r="DV20" i="1"/>
  <c r="DV21" i="1"/>
  <c r="DV5" i="1"/>
  <c r="DV6" i="1"/>
  <c r="DV66" i="1"/>
  <c r="DV44" i="1"/>
  <c r="DV103" i="1"/>
  <c r="DV22" i="1"/>
  <c r="DV32" i="1"/>
  <c r="DV33" i="1"/>
  <c r="DV34" i="1"/>
  <c r="DV48" i="1"/>
  <c r="DV52" i="1"/>
  <c r="DV53" i="1"/>
  <c r="DV36" i="1"/>
  <c r="DV7" i="1"/>
  <c r="DV8" i="1"/>
  <c r="DV9" i="1"/>
  <c r="DV37" i="1"/>
  <c r="DV47" i="1"/>
  <c r="DV91" i="1"/>
  <c r="DV10" i="1"/>
  <c r="DV57" i="1"/>
  <c r="DV38" i="1"/>
  <c r="DV39" i="1"/>
  <c r="DQ43" i="1"/>
  <c r="DQ113" i="1"/>
  <c r="DQ11" i="1"/>
  <c r="DQ23" i="1"/>
  <c r="DQ24" i="1"/>
  <c r="DQ69" i="1"/>
  <c r="DQ63" i="1"/>
  <c r="DQ12" i="1"/>
  <c r="DQ76" i="1"/>
  <c r="DQ58" i="1"/>
  <c r="DQ64" i="1"/>
  <c r="DQ70" i="1"/>
  <c r="DQ89" i="1"/>
  <c r="DQ60" i="1"/>
  <c r="DQ92" i="1"/>
  <c r="DQ61" i="1"/>
  <c r="DQ62" i="1"/>
  <c r="DQ109" i="1"/>
  <c r="DQ93" i="1"/>
  <c r="DQ94" i="1"/>
  <c r="DQ95" i="1"/>
  <c r="DQ55" i="1"/>
  <c r="DQ26" i="1"/>
  <c r="DQ74" i="1"/>
  <c r="DQ73" i="1"/>
  <c r="DQ2" i="1"/>
  <c r="DQ13" i="1"/>
  <c r="DQ51" i="1"/>
  <c r="DQ27" i="1"/>
  <c r="DQ35" i="1"/>
  <c r="DQ82" i="1"/>
  <c r="DQ14" i="1"/>
  <c r="DQ67" i="1"/>
  <c r="DQ54" i="1"/>
  <c r="DQ49" i="1"/>
  <c r="DQ78" i="1"/>
  <c r="DQ79" i="1"/>
  <c r="DQ77" i="1"/>
  <c r="DQ28" i="1"/>
  <c r="DQ29" i="1"/>
  <c r="DQ15" i="1"/>
  <c r="DQ3" i="1"/>
  <c r="DQ50" i="1"/>
  <c r="DQ71" i="1"/>
  <c r="DQ96" i="1"/>
  <c r="DQ46" i="1"/>
  <c r="DQ16" i="1"/>
  <c r="DQ4" i="1"/>
  <c r="DQ17" i="1"/>
  <c r="DQ97" i="1"/>
  <c r="DQ65" i="1"/>
  <c r="DQ98" i="1"/>
  <c r="DQ56" i="1"/>
  <c r="DQ30" i="1"/>
  <c r="DQ45" i="1"/>
  <c r="DQ18" i="1"/>
  <c r="DQ100" i="1"/>
  <c r="DQ117" i="1"/>
  <c r="DQ118" i="1"/>
  <c r="DQ75" i="1"/>
  <c r="DQ19" i="1"/>
  <c r="DQ68" i="1"/>
  <c r="DQ90" i="1"/>
  <c r="DQ25" i="1"/>
  <c r="DQ41" i="1"/>
  <c r="DQ72" i="1"/>
  <c r="DQ20" i="1"/>
  <c r="DQ21" i="1"/>
  <c r="DQ5" i="1"/>
  <c r="DQ6" i="1"/>
  <c r="DQ66" i="1"/>
  <c r="DQ44" i="1"/>
  <c r="DQ103" i="1"/>
  <c r="DQ22" i="1"/>
  <c r="DQ32" i="1"/>
  <c r="DQ33" i="1"/>
  <c r="DQ34" i="1"/>
  <c r="DQ48" i="1"/>
  <c r="DQ52" i="1"/>
  <c r="DQ53" i="1"/>
  <c r="DQ36" i="1"/>
  <c r="DQ7" i="1"/>
  <c r="DQ8" i="1"/>
  <c r="DQ9" i="1"/>
  <c r="DQ37" i="1"/>
  <c r="DQ47" i="1"/>
  <c r="DQ91" i="1"/>
  <c r="DQ10" i="1"/>
  <c r="DQ57" i="1"/>
  <c r="DQ38" i="1"/>
  <c r="DQ39" i="1"/>
  <c r="DN59" i="1"/>
  <c r="DN43" i="1"/>
  <c r="DN113" i="1"/>
  <c r="DN11" i="1"/>
  <c r="DN23" i="1"/>
  <c r="DN24" i="1"/>
  <c r="DN69" i="1"/>
  <c r="DN63" i="1"/>
  <c r="DN12" i="1"/>
  <c r="DN76" i="1"/>
  <c r="DN58" i="1"/>
  <c r="DN64" i="1"/>
  <c r="DN70" i="1"/>
  <c r="DN89" i="1"/>
  <c r="DN60" i="1"/>
  <c r="DN92" i="1"/>
  <c r="DN61" i="1"/>
  <c r="DN62" i="1"/>
  <c r="DN109" i="1"/>
  <c r="DN93" i="1"/>
  <c r="DN94" i="1"/>
  <c r="DN95" i="1"/>
  <c r="DN55" i="1"/>
  <c r="DN26" i="1"/>
  <c r="DN74" i="1"/>
  <c r="DN73" i="1"/>
  <c r="DN2" i="1"/>
  <c r="DN13" i="1"/>
  <c r="DN51" i="1"/>
  <c r="DN27" i="1"/>
  <c r="DN35" i="1"/>
  <c r="DN82" i="1"/>
  <c r="DN14" i="1"/>
  <c r="DN67" i="1"/>
  <c r="DN54" i="1"/>
  <c r="DN49" i="1"/>
  <c r="DN78" i="1"/>
  <c r="DN79" i="1"/>
  <c r="DN77" i="1"/>
  <c r="DN28" i="1"/>
  <c r="DN29" i="1"/>
  <c r="DN15" i="1"/>
  <c r="DN3" i="1"/>
  <c r="DN50" i="1"/>
  <c r="DN71" i="1"/>
  <c r="DN96" i="1"/>
  <c r="DN46" i="1"/>
  <c r="DN16" i="1"/>
  <c r="DN4" i="1"/>
  <c r="DN17" i="1"/>
  <c r="DN97" i="1"/>
  <c r="DN65" i="1"/>
  <c r="DN98" i="1"/>
  <c r="DN56" i="1"/>
  <c r="DN30" i="1"/>
  <c r="DN45" i="1"/>
  <c r="DN18" i="1"/>
  <c r="DN100" i="1"/>
  <c r="DN117" i="1"/>
  <c r="DN118" i="1"/>
  <c r="DN75" i="1"/>
  <c r="DN19" i="1"/>
  <c r="DN68" i="1"/>
  <c r="DN90" i="1"/>
  <c r="DN25" i="1"/>
  <c r="DN41" i="1"/>
  <c r="DN72" i="1"/>
  <c r="DN20" i="1"/>
  <c r="DN21" i="1"/>
  <c r="DN5" i="1"/>
  <c r="DN6" i="1"/>
  <c r="DN66" i="1"/>
  <c r="DN44" i="1"/>
  <c r="DN103" i="1"/>
  <c r="DN22" i="1"/>
  <c r="DN32" i="1"/>
  <c r="DN33" i="1"/>
  <c r="DN34" i="1"/>
  <c r="DN48" i="1"/>
  <c r="DN52" i="1"/>
  <c r="DN53" i="1"/>
  <c r="DN36" i="1"/>
  <c r="DN7" i="1"/>
  <c r="DN8" i="1"/>
  <c r="DN9" i="1"/>
  <c r="DN37" i="1"/>
  <c r="DN47" i="1"/>
  <c r="DN91" i="1"/>
  <c r="DN10" i="1"/>
  <c r="DN57" i="1"/>
  <c r="DN38" i="1"/>
  <c r="DN39" i="1"/>
  <c r="DK59" i="1"/>
  <c r="DK43" i="1"/>
  <c r="DK113" i="1"/>
  <c r="DK11" i="1"/>
  <c r="DK23" i="1"/>
  <c r="DK24" i="1"/>
  <c r="DK69" i="1"/>
  <c r="DK63" i="1"/>
  <c r="DK12" i="1"/>
  <c r="DK76" i="1"/>
  <c r="DK58" i="1"/>
  <c r="DK64" i="1"/>
  <c r="DK70" i="1"/>
  <c r="DK89" i="1"/>
  <c r="DK60" i="1"/>
  <c r="DK92" i="1"/>
  <c r="DK61" i="1"/>
  <c r="DK62" i="1"/>
  <c r="DK109" i="1"/>
  <c r="DK93" i="1"/>
  <c r="DK94" i="1"/>
  <c r="DK95" i="1"/>
  <c r="DK55" i="1"/>
  <c r="DK26" i="1"/>
  <c r="DK74" i="1"/>
  <c r="DK73" i="1"/>
  <c r="DK2" i="1"/>
  <c r="DK13" i="1"/>
  <c r="DK51" i="1"/>
  <c r="DK27" i="1"/>
  <c r="DK35" i="1"/>
  <c r="DK82" i="1"/>
  <c r="DK14" i="1"/>
  <c r="DK67" i="1"/>
  <c r="DK54" i="1"/>
  <c r="DK49" i="1"/>
  <c r="DK78" i="1"/>
  <c r="DK79" i="1"/>
  <c r="DK77" i="1"/>
  <c r="DK28" i="1"/>
  <c r="DK29" i="1"/>
  <c r="DK15" i="1"/>
  <c r="DK3" i="1"/>
  <c r="DK50" i="1"/>
  <c r="DK71" i="1"/>
  <c r="DK96" i="1"/>
  <c r="DK46" i="1"/>
  <c r="DK16" i="1"/>
  <c r="DK4" i="1"/>
  <c r="DK17" i="1"/>
  <c r="DK97" i="1"/>
  <c r="DK65" i="1"/>
  <c r="DK98" i="1"/>
  <c r="DK56" i="1"/>
  <c r="DK30" i="1"/>
  <c r="DK45" i="1"/>
  <c r="DK18" i="1"/>
  <c r="DK100" i="1"/>
  <c r="DK117" i="1"/>
  <c r="DK118" i="1"/>
  <c r="DK75" i="1"/>
  <c r="DK19" i="1"/>
  <c r="DK68" i="1"/>
  <c r="DK90" i="1"/>
  <c r="DK25" i="1"/>
  <c r="DK41" i="1"/>
  <c r="DK72" i="1"/>
  <c r="DK20" i="1"/>
  <c r="DK21" i="1"/>
  <c r="DK5" i="1"/>
  <c r="DK6" i="1"/>
  <c r="DK66" i="1"/>
  <c r="DK44" i="1"/>
  <c r="DK103" i="1"/>
  <c r="DK22" i="1"/>
  <c r="DK32" i="1"/>
  <c r="DK33" i="1"/>
  <c r="DK34" i="1"/>
  <c r="DK48" i="1"/>
  <c r="DK52" i="1"/>
  <c r="DK53" i="1"/>
  <c r="DK36" i="1"/>
  <c r="DK7" i="1"/>
  <c r="DK8" i="1"/>
  <c r="DK9" i="1"/>
  <c r="DK37" i="1"/>
  <c r="DK47" i="1"/>
  <c r="DK91" i="1"/>
  <c r="DK10" i="1"/>
  <c r="DK57" i="1"/>
  <c r="DK38" i="1"/>
  <c r="DK39" i="1"/>
  <c r="DH59" i="1"/>
  <c r="DH43" i="1"/>
  <c r="DH113" i="1"/>
  <c r="DH11" i="1"/>
  <c r="DH23" i="1"/>
  <c r="DH24" i="1"/>
  <c r="DH69" i="1"/>
  <c r="DH63" i="1"/>
  <c r="DH12" i="1"/>
  <c r="DH76" i="1"/>
  <c r="DH58" i="1"/>
  <c r="DH64" i="1"/>
  <c r="DH70" i="1"/>
  <c r="DH89" i="1"/>
  <c r="DH60" i="1"/>
  <c r="DH92" i="1"/>
  <c r="DH61" i="1"/>
  <c r="DH62" i="1"/>
  <c r="DH109" i="1"/>
  <c r="DH93" i="1"/>
  <c r="DH94" i="1"/>
  <c r="DH95" i="1"/>
  <c r="DH55" i="1"/>
  <c r="DH26" i="1"/>
  <c r="DH74" i="1"/>
  <c r="DH73" i="1"/>
  <c r="DH2" i="1"/>
  <c r="DH13" i="1"/>
  <c r="DH51" i="1"/>
  <c r="DH27" i="1"/>
  <c r="DH35" i="1"/>
  <c r="DH82" i="1"/>
  <c r="DH14" i="1"/>
  <c r="DH67" i="1"/>
  <c r="DH54" i="1"/>
  <c r="DH49" i="1"/>
  <c r="DH78" i="1"/>
  <c r="DH79" i="1"/>
  <c r="DH77" i="1"/>
  <c r="DH28" i="1"/>
  <c r="DH29" i="1"/>
  <c r="DH15" i="1"/>
  <c r="DH3" i="1"/>
  <c r="DH50" i="1"/>
  <c r="DH71" i="1"/>
  <c r="DH96" i="1"/>
  <c r="DH46" i="1"/>
  <c r="DH16" i="1"/>
  <c r="DH4" i="1"/>
  <c r="DH17" i="1"/>
  <c r="DH97" i="1"/>
  <c r="DH65" i="1"/>
  <c r="DH98" i="1"/>
  <c r="DH56" i="1"/>
  <c r="DH30" i="1"/>
  <c r="DH45" i="1"/>
  <c r="DH18" i="1"/>
  <c r="DH100" i="1"/>
  <c r="DH117" i="1"/>
  <c r="DH118" i="1"/>
  <c r="DH75" i="1"/>
  <c r="DH19" i="1"/>
  <c r="DH68" i="1"/>
  <c r="DH90" i="1"/>
  <c r="DH25" i="1"/>
  <c r="DH41" i="1"/>
  <c r="DH72" i="1"/>
  <c r="DH20" i="1"/>
  <c r="DH21" i="1"/>
  <c r="DH5" i="1"/>
  <c r="DH6" i="1"/>
  <c r="DH66" i="1"/>
  <c r="DH44" i="1"/>
  <c r="DH103" i="1"/>
  <c r="DH22" i="1"/>
  <c r="DH32" i="1"/>
  <c r="DH33" i="1"/>
  <c r="DH34" i="1"/>
  <c r="DH48" i="1"/>
  <c r="DH52" i="1"/>
  <c r="DH53" i="1"/>
  <c r="DH36" i="1"/>
  <c r="DH7" i="1"/>
  <c r="DH8" i="1"/>
  <c r="DH9" i="1"/>
  <c r="DH37" i="1"/>
  <c r="DH47" i="1"/>
  <c r="DH91" i="1"/>
  <c r="DH10" i="1"/>
  <c r="DH57" i="1"/>
  <c r="DH38" i="1"/>
  <c r="DH39" i="1"/>
  <c r="DE61" i="1"/>
  <c r="DE62" i="1"/>
  <c r="DE109" i="1"/>
  <c r="DE93" i="1"/>
  <c r="DE94" i="1"/>
  <c r="DE95" i="1"/>
  <c r="DE55" i="1"/>
  <c r="DE74" i="1"/>
  <c r="DE73" i="1"/>
  <c r="DE2" i="1"/>
  <c r="DE13" i="1"/>
  <c r="DE51" i="1"/>
  <c r="DE35" i="1"/>
  <c r="DE82" i="1"/>
  <c r="DE14" i="1"/>
  <c r="DE67" i="1"/>
  <c r="DE54" i="1"/>
  <c r="DE49" i="1"/>
  <c r="DE78" i="1"/>
  <c r="DE79" i="1"/>
  <c r="DE77" i="1"/>
  <c r="DE15" i="1"/>
  <c r="DE3" i="1"/>
  <c r="DE50" i="1"/>
  <c r="DE71" i="1"/>
  <c r="DE96" i="1"/>
  <c r="DE46" i="1"/>
  <c r="DE16" i="1"/>
  <c r="DE4" i="1"/>
  <c r="DE17" i="1"/>
  <c r="DE97" i="1"/>
  <c r="DE65" i="1"/>
  <c r="DE98" i="1"/>
  <c r="DE56" i="1"/>
  <c r="DE45" i="1"/>
  <c r="DE18" i="1"/>
  <c r="DE100" i="1"/>
  <c r="DE117" i="1"/>
  <c r="DE118" i="1"/>
  <c r="DE75" i="1"/>
  <c r="DE19" i="1"/>
  <c r="DE68" i="1"/>
  <c r="DE90" i="1"/>
  <c r="DE41" i="1"/>
  <c r="DE72" i="1"/>
  <c r="DE20" i="1"/>
  <c r="DE21" i="1"/>
  <c r="DE5" i="1"/>
  <c r="DE6" i="1"/>
  <c r="DE66" i="1"/>
  <c r="DE44" i="1"/>
  <c r="DE103" i="1"/>
  <c r="DE22" i="1"/>
  <c r="DE48" i="1"/>
  <c r="DE52" i="1"/>
  <c r="DE53" i="1"/>
  <c r="DE36" i="1"/>
  <c r="DE7" i="1"/>
  <c r="DE8" i="1"/>
  <c r="DE9" i="1"/>
  <c r="DE37" i="1"/>
  <c r="DE47" i="1"/>
  <c r="DE91" i="1"/>
  <c r="DE10" i="1"/>
  <c r="DE57" i="1"/>
  <c r="DE38" i="1"/>
  <c r="DE39" i="1"/>
  <c r="EF43" i="1"/>
  <c r="EF11" i="1"/>
  <c r="EF23" i="1"/>
  <c r="EF24" i="1"/>
  <c r="EF69" i="1"/>
  <c r="EF63" i="1"/>
  <c r="EF12" i="1"/>
  <c r="EF76" i="1"/>
  <c r="EF58" i="1"/>
  <c r="EF64" i="1"/>
  <c r="EF70" i="1"/>
  <c r="EF89" i="1"/>
  <c r="EF60" i="1"/>
  <c r="EF92" i="1"/>
  <c r="EF62" i="1"/>
  <c r="EF93" i="1"/>
  <c r="EF94" i="1"/>
  <c r="EF95" i="1"/>
  <c r="EF55" i="1"/>
  <c r="EF26" i="1"/>
  <c r="EF74" i="1"/>
  <c r="EF73" i="1"/>
  <c r="EF2" i="1"/>
  <c r="EF13" i="1"/>
  <c r="EF51" i="1"/>
  <c r="EF27" i="1"/>
  <c r="EF35" i="1"/>
  <c r="EF14" i="1"/>
  <c r="EF67" i="1"/>
  <c r="EF54" i="1"/>
  <c r="EF28" i="1"/>
  <c r="EF29" i="1"/>
  <c r="EF15" i="1"/>
  <c r="EF3" i="1"/>
  <c r="EF50" i="1"/>
  <c r="EF71" i="1"/>
  <c r="EF96" i="1"/>
  <c r="EF46" i="1"/>
  <c r="EF16" i="1"/>
  <c r="EF4" i="1"/>
  <c r="EF17" i="1"/>
  <c r="EF97" i="1"/>
  <c r="EF65" i="1"/>
  <c r="EF98" i="1"/>
  <c r="EF56" i="1"/>
  <c r="EF30" i="1"/>
  <c r="EF45" i="1"/>
  <c r="EF18" i="1"/>
  <c r="EF75" i="1"/>
  <c r="EF19" i="1"/>
  <c r="EF68" i="1"/>
  <c r="EF90" i="1"/>
  <c r="EF25" i="1"/>
  <c r="EF41" i="1"/>
  <c r="EF72" i="1"/>
  <c r="EF20" i="1"/>
  <c r="EF21" i="1"/>
  <c r="EF5" i="1"/>
  <c r="EF6" i="1"/>
  <c r="EF66" i="1"/>
  <c r="EF44" i="1"/>
  <c r="EF22" i="1"/>
  <c r="EF32" i="1"/>
  <c r="EF33" i="1"/>
  <c r="EF34" i="1"/>
  <c r="EF48" i="1"/>
  <c r="EF52" i="1"/>
  <c r="EF53" i="1"/>
  <c r="EF36" i="1"/>
  <c r="EF7" i="1"/>
  <c r="EF8" i="1"/>
  <c r="EF9" i="1"/>
  <c r="EF37" i="1"/>
  <c r="EF47" i="1"/>
  <c r="EF10" i="1"/>
  <c r="EF57" i="1"/>
  <c r="EF38" i="1"/>
  <c r="EF39" i="1"/>
  <c r="EF40" i="1"/>
  <c r="EF59" i="1"/>
  <c r="EU46" i="1" l="1"/>
  <c r="EX46" i="1"/>
  <c r="EL25" i="1"/>
  <c r="ER46" i="1"/>
  <c r="DV40" i="1"/>
  <c r="DV131" i="1" s="1"/>
  <c r="DQ40" i="1"/>
  <c r="DQ131" i="1" s="1"/>
  <c r="DN40" i="1"/>
  <c r="DN131" i="1" s="1"/>
  <c r="DK40" i="1"/>
  <c r="DK131" i="1" s="1"/>
  <c r="DH40" i="1"/>
  <c r="DH131" i="1" s="1"/>
  <c r="DE40" i="1"/>
  <c r="DE131" i="1" s="1"/>
  <c r="JU90" i="1" l="1"/>
  <c r="AR30" i="1" l="1"/>
  <c r="HN72" i="1" l="1"/>
  <c r="GX72" i="1" s="1"/>
  <c r="HN71" i="1"/>
  <c r="HN70" i="1"/>
  <c r="HN69" i="1"/>
  <c r="GX69" i="1" s="1"/>
  <c r="AE136" i="1" l="1"/>
  <c r="EC48" i="1" l="1"/>
  <c r="DZ113" i="1"/>
  <c r="DZ103" i="1"/>
  <c r="DZ98" i="1"/>
  <c r="DZ96" i="1"/>
  <c r="DZ95" i="1"/>
  <c r="DZ94" i="1"/>
  <c r="DZ93" i="1"/>
  <c r="DZ92" i="1"/>
  <c r="DZ90" i="1"/>
  <c r="DZ74" i="1"/>
  <c r="DZ89" i="1"/>
  <c r="DZ71" i="1"/>
  <c r="DZ70" i="1"/>
  <c r="DZ69" i="1"/>
  <c r="DZ78" i="1"/>
  <c r="DZ72" i="1"/>
  <c r="DZ64" i="1"/>
  <c r="DZ77" i="1"/>
  <c r="DZ73" i="1"/>
  <c r="DZ68" i="1"/>
  <c r="DZ66" i="1"/>
  <c r="DZ67" i="1"/>
  <c r="DZ53" i="1"/>
  <c r="DZ36" i="1"/>
  <c r="DZ65" i="1"/>
  <c r="DZ50" i="1"/>
  <c r="DZ56" i="1"/>
  <c r="DZ76" i="1"/>
  <c r="DZ58" i="1"/>
  <c r="DZ55" i="1"/>
  <c r="DZ54" i="1"/>
  <c r="DZ59" i="1"/>
  <c r="DZ63" i="1"/>
  <c r="DZ60" i="1"/>
  <c r="DZ49" i="1"/>
  <c r="DZ48" i="1"/>
  <c r="DZ62" i="1"/>
  <c r="DZ61" i="1"/>
  <c r="DZ52" i="1"/>
  <c r="DZ44" i="1"/>
  <c r="DZ45" i="1"/>
  <c r="DZ46" i="1"/>
  <c r="DZ43" i="1"/>
  <c r="DZ42" i="1"/>
  <c r="DZ51" i="1"/>
  <c r="DZ41" i="1"/>
  <c r="DZ35" i="1"/>
  <c r="DZ47" i="1"/>
  <c r="DZ57" i="1"/>
  <c r="DZ40" i="1"/>
  <c r="DZ39" i="1"/>
  <c r="DZ38" i="1"/>
  <c r="DZ29" i="1"/>
  <c r="DZ23" i="1"/>
  <c r="DZ24" i="1"/>
  <c r="DZ37" i="1"/>
  <c r="DZ28" i="1"/>
  <c r="DZ27" i="1"/>
  <c r="DZ32" i="1"/>
  <c r="DZ33" i="1"/>
  <c r="DZ34" i="1"/>
  <c r="DZ25" i="1"/>
  <c r="DZ30" i="1"/>
  <c r="DZ31" i="1"/>
  <c r="DZ26" i="1"/>
  <c r="DZ17" i="1"/>
  <c r="DZ19" i="1"/>
  <c r="DZ15" i="1"/>
  <c r="DZ13" i="1"/>
  <c r="DZ12" i="1"/>
  <c r="DZ18" i="1"/>
  <c r="DZ20" i="1"/>
  <c r="DZ21" i="1"/>
  <c r="DZ14" i="1"/>
  <c r="DZ16" i="1"/>
  <c r="DZ22" i="1"/>
  <c r="DZ4" i="1"/>
  <c r="DZ3" i="1"/>
  <c r="DZ5" i="1"/>
  <c r="DZ6" i="1"/>
  <c r="DZ7" i="1"/>
  <c r="DZ8" i="1"/>
  <c r="DZ9" i="1"/>
  <c r="DZ10" i="1"/>
  <c r="DZ97" i="1"/>
  <c r="DZ2" i="1"/>
  <c r="W77" i="1" l="1"/>
  <c r="AI128" i="1"/>
  <c r="AG128" i="1"/>
  <c r="AI132" i="1"/>
  <c r="X75" i="1" l="1"/>
  <c r="W75" i="1"/>
  <c r="W78" i="1"/>
  <c r="X78" i="1"/>
  <c r="X74" i="1"/>
  <c r="W74" i="1"/>
  <c r="W90" i="1"/>
  <c r="X90" i="1"/>
  <c r="W79" i="1"/>
  <c r="X79" i="1"/>
  <c r="AS30" i="1"/>
  <c r="AP30" i="1"/>
  <c r="AT30" i="1"/>
  <c r="AJ128" i="1"/>
  <c r="AJ132" i="1"/>
  <c r="GX71" i="1"/>
  <c r="GX70" i="1"/>
  <c r="IL70" i="1" s="1"/>
  <c r="IA113" i="1"/>
  <c r="HO113" i="1"/>
  <c r="HF113" i="1"/>
  <c r="IA109" i="1"/>
  <c r="HO109" i="1"/>
  <c r="HF109" i="1"/>
  <c r="IK94" i="1"/>
  <c r="II94" i="1"/>
  <c r="IA94" i="1"/>
  <c r="ID94" i="1" s="1"/>
  <c r="HO94" i="1"/>
  <c r="HL94" i="1"/>
  <c r="HF94" i="1"/>
  <c r="IK95" i="1"/>
  <c r="II95" i="1"/>
  <c r="IA95" i="1"/>
  <c r="ID95" i="1" s="1"/>
  <c r="HO95" i="1"/>
  <c r="HL95" i="1"/>
  <c r="HF95" i="1"/>
  <c r="IK93" i="1"/>
  <c r="II93" i="1"/>
  <c r="IA93" i="1"/>
  <c r="ID93" i="1" s="1"/>
  <c r="HO93" i="1"/>
  <c r="HL93" i="1"/>
  <c r="HF93" i="1"/>
  <c r="IK98" i="1"/>
  <c r="II98" i="1"/>
  <c r="IA98" i="1"/>
  <c r="ID98" i="1" s="1"/>
  <c r="HO98" i="1"/>
  <c r="HS98" i="1" s="1"/>
  <c r="HL98" i="1"/>
  <c r="HF98" i="1"/>
  <c r="IK96" i="1"/>
  <c r="II96" i="1"/>
  <c r="IA96" i="1"/>
  <c r="ID96" i="1" s="1"/>
  <c r="HO96" i="1"/>
  <c r="HS96" i="1" s="1"/>
  <c r="HL96" i="1"/>
  <c r="HF96" i="1"/>
  <c r="IK97" i="1"/>
  <c r="II97" i="1"/>
  <c r="IA97" i="1"/>
  <c r="ID97" i="1" s="1"/>
  <c r="HO97" i="1"/>
  <c r="HS97" i="1" s="1"/>
  <c r="HL97" i="1"/>
  <c r="HF97" i="1"/>
  <c r="IK92" i="1"/>
  <c r="II92" i="1"/>
  <c r="IA92" i="1"/>
  <c r="HR92" i="1"/>
  <c r="HL92" i="1"/>
  <c r="HF92" i="1"/>
  <c r="IA103" i="1"/>
  <c r="HO103" i="1"/>
  <c r="HF103" i="1"/>
  <c r="IA100" i="1"/>
  <c r="HO100" i="1"/>
  <c r="HS100" i="1" s="1"/>
  <c r="HF100" i="1"/>
  <c r="IA53" i="1"/>
  <c r="GY53" i="1"/>
  <c r="GZ53" i="1" s="1"/>
  <c r="HF53" i="1"/>
  <c r="IK72" i="1"/>
  <c r="II72" i="1"/>
  <c r="ID72" i="1"/>
  <c r="HS72" i="1"/>
  <c r="HF72" i="1"/>
  <c r="IA90" i="1"/>
  <c r="HO90" i="1"/>
  <c r="HF90" i="1"/>
  <c r="IA75" i="1"/>
  <c r="HF75" i="1"/>
  <c r="IK71" i="1"/>
  <c r="II71" i="1"/>
  <c r="ID71" i="1"/>
  <c r="HS71" i="1"/>
  <c r="HX71" i="1"/>
  <c r="HF71" i="1"/>
  <c r="IA79" i="1"/>
  <c r="HO79" i="1"/>
  <c r="HF79" i="1"/>
  <c r="IA118" i="1"/>
  <c r="HO118" i="1"/>
  <c r="HF118" i="1"/>
  <c r="IA78" i="1"/>
  <c r="HO78" i="1"/>
  <c r="HF78" i="1"/>
  <c r="IK82" i="1"/>
  <c r="II82" i="1"/>
  <c r="IA82" i="1"/>
  <c r="ID82" i="1" s="1"/>
  <c r="HO82" i="1"/>
  <c r="HS82" i="1" s="1"/>
  <c r="HF82" i="1"/>
  <c r="IA117" i="1"/>
  <c r="HO117" i="1"/>
  <c r="HF117" i="1"/>
  <c r="IA74" i="1"/>
  <c r="HO74" i="1"/>
  <c r="HS74" i="1" s="1"/>
  <c r="HF74" i="1"/>
  <c r="IA89" i="1"/>
  <c r="HO89" i="1"/>
  <c r="HS89" i="1" s="1"/>
  <c r="HF89" i="1"/>
  <c r="IK70" i="1"/>
  <c r="II70" i="1"/>
  <c r="ID70" i="1"/>
  <c r="HS70" i="1"/>
  <c r="HR70" i="1"/>
  <c r="HF70" i="1"/>
  <c r="IK69" i="1"/>
  <c r="II69" i="1"/>
  <c r="ID69" i="1"/>
  <c r="HS69" i="1"/>
  <c r="HF69" i="1"/>
  <c r="GX113" i="1"/>
  <c r="GX109" i="1"/>
  <c r="GX94" i="1"/>
  <c r="GX95" i="1"/>
  <c r="GX93" i="1"/>
  <c r="GX98" i="1"/>
  <c r="GX96" i="1"/>
  <c r="IL96" i="1" s="1"/>
  <c r="GX97" i="1"/>
  <c r="GX92" i="1"/>
  <c r="GX103" i="1"/>
  <c r="GX53" i="1"/>
  <c r="IP53" i="1" s="1"/>
  <c r="GX118" i="1"/>
  <c r="GX82" i="1"/>
  <c r="GX117" i="1"/>
  <c r="HX53" i="1" l="1"/>
  <c r="FV53" i="1"/>
  <c r="GY78" i="1"/>
  <c r="GZ78" i="1" s="1"/>
  <c r="HS78" i="1"/>
  <c r="HR95" i="1"/>
  <c r="HS95" i="1"/>
  <c r="GY113" i="1"/>
  <c r="GZ113" i="1" s="1"/>
  <c r="HS113" i="1"/>
  <c r="GY117" i="1"/>
  <c r="GZ117" i="1" s="1"/>
  <c r="HS117" i="1"/>
  <c r="GY90" i="1"/>
  <c r="HS90" i="1"/>
  <c r="GY79" i="1"/>
  <c r="GZ79" i="1" s="1"/>
  <c r="HS79" i="1"/>
  <c r="GY103" i="1"/>
  <c r="GZ103" i="1" s="1"/>
  <c r="HS103" i="1"/>
  <c r="HR93" i="1"/>
  <c r="HS93" i="1"/>
  <c r="HR94" i="1"/>
  <c r="HS94" i="1"/>
  <c r="GY109" i="1"/>
  <c r="HS109" i="1"/>
  <c r="GY118" i="1"/>
  <c r="GZ118" i="1" s="1"/>
  <c r="HS118" i="1"/>
  <c r="HC53" i="1"/>
  <c r="HB53" i="1"/>
  <c r="ID92" i="1"/>
  <c r="GX89" i="1"/>
  <c r="IP89" i="1" s="1"/>
  <c r="GY89" i="1"/>
  <c r="GZ89" i="1" s="1"/>
  <c r="HR98" i="1"/>
  <c r="GY98" i="1"/>
  <c r="HX98" i="1" s="1"/>
  <c r="HR72" i="1"/>
  <c r="HR82" i="1"/>
  <c r="GY82" i="1"/>
  <c r="GZ82" i="1" s="1"/>
  <c r="HR97" i="1"/>
  <c r="GY97" i="1"/>
  <c r="HX97" i="1" s="1"/>
  <c r="GY74" i="1"/>
  <c r="GX100" i="1"/>
  <c r="GY100" i="1"/>
  <c r="HR96" i="1"/>
  <c r="GY96" i="1"/>
  <c r="HX96" i="1" s="1"/>
  <c r="HG95" i="1"/>
  <c r="GX90" i="1"/>
  <c r="IP90" i="1" s="1"/>
  <c r="GX75" i="1"/>
  <c r="HR100" i="1"/>
  <c r="GX78" i="1"/>
  <c r="GX79" i="1"/>
  <c r="HG94" i="1"/>
  <c r="HN74" i="1"/>
  <c r="HG75" i="1"/>
  <c r="HR113" i="1"/>
  <c r="IP117" i="1"/>
  <c r="IP103" i="1"/>
  <c r="HR109" i="1"/>
  <c r="IP71" i="1"/>
  <c r="IP69" i="1"/>
  <c r="IP118" i="1"/>
  <c r="HR117" i="1"/>
  <c r="IL82" i="1"/>
  <c r="IP82" i="1"/>
  <c r="IL72" i="1"/>
  <c r="IP72" i="1"/>
  <c r="IP97" i="1"/>
  <c r="IL97" i="1"/>
  <c r="HR89" i="1"/>
  <c r="IP98" i="1"/>
  <c r="IL98" i="1"/>
  <c r="HX69" i="1"/>
  <c r="HR69" i="1"/>
  <c r="HG71" i="1"/>
  <c r="HA71" i="1"/>
  <c r="HG53" i="1"/>
  <c r="HA53" i="1"/>
  <c r="IP70" i="1"/>
  <c r="IP95" i="1"/>
  <c r="IL95" i="1"/>
  <c r="IP109" i="1"/>
  <c r="HB109" i="1"/>
  <c r="IL109" i="1"/>
  <c r="IP113" i="1"/>
  <c r="HB113" i="1"/>
  <c r="IL113" i="1"/>
  <c r="HR118" i="1"/>
  <c r="HR71" i="1"/>
  <c r="HR53" i="1"/>
  <c r="HR103" i="1"/>
  <c r="IP92" i="1"/>
  <c r="IP96" i="1"/>
  <c r="IP93" i="1"/>
  <c r="IP94" i="1"/>
  <c r="IL69" i="1"/>
  <c r="IL117" i="1"/>
  <c r="IL118" i="1"/>
  <c r="IL71" i="1"/>
  <c r="IL53" i="1"/>
  <c r="IL103" i="1"/>
  <c r="HB103" i="1"/>
  <c r="IL92" i="1"/>
  <c r="IL93" i="1"/>
  <c r="IL94" i="1"/>
  <c r="GZ109" i="1" l="1"/>
  <c r="FV109" i="1"/>
  <c r="FV100" i="1"/>
  <c r="GZ100" i="1"/>
  <c r="HX90" i="1"/>
  <c r="GZ90" i="1"/>
  <c r="HX74" i="1"/>
  <c r="GZ74" i="1"/>
  <c r="HX118" i="1"/>
  <c r="FV118" i="1"/>
  <c r="HX103" i="1"/>
  <c r="FV103" i="1"/>
  <c r="HX113" i="1"/>
  <c r="FV113" i="1"/>
  <c r="HX82" i="1"/>
  <c r="FV82" i="1"/>
  <c r="HX109" i="1"/>
  <c r="HX117" i="1"/>
  <c r="FV117" i="1"/>
  <c r="HX78" i="1"/>
  <c r="FV78" i="1"/>
  <c r="HX79" i="1"/>
  <c r="FV79" i="1"/>
  <c r="HG90" i="1"/>
  <c r="HG109" i="1"/>
  <c r="HG78" i="1"/>
  <c r="HG113" i="1"/>
  <c r="HC78" i="1"/>
  <c r="HG79" i="1"/>
  <c r="HB79" i="1"/>
  <c r="HC118" i="1"/>
  <c r="HB78" i="1"/>
  <c r="HC79" i="1"/>
  <c r="HA118" i="1"/>
  <c r="HA103" i="1"/>
  <c r="HG118" i="1"/>
  <c r="HG103" i="1"/>
  <c r="HB117" i="1"/>
  <c r="HC117" i="1"/>
  <c r="HC90" i="1"/>
  <c r="HC89" i="1"/>
  <c r="HX89" i="1"/>
  <c r="HG72" i="1"/>
  <c r="HX72" i="1"/>
  <c r="HG70" i="1"/>
  <c r="HX70" i="1"/>
  <c r="HB118" i="1"/>
  <c r="HB90" i="1"/>
  <c r="HG100" i="1"/>
  <c r="HX100" i="1"/>
  <c r="HG82" i="1"/>
  <c r="HC82" i="1"/>
  <c r="HB82" i="1"/>
  <c r="HA98" i="1"/>
  <c r="HC98" i="1"/>
  <c r="HB98" i="1"/>
  <c r="HG97" i="1"/>
  <c r="HC97" i="1"/>
  <c r="HB97" i="1"/>
  <c r="HA96" i="1"/>
  <c r="HC96" i="1"/>
  <c r="HB96" i="1"/>
  <c r="HG74" i="1"/>
  <c r="HC74" i="1"/>
  <c r="HB74" i="1"/>
  <c r="HB89" i="1"/>
  <c r="IP100" i="1"/>
  <c r="HB100" i="1"/>
  <c r="IL100" i="1"/>
  <c r="IL89" i="1"/>
  <c r="GX74" i="1"/>
  <c r="IL74" i="1" s="1"/>
  <c r="HA97" i="1"/>
  <c r="HA95" i="1"/>
  <c r="HA72" i="1"/>
  <c r="HG98" i="1"/>
  <c r="HA113" i="1"/>
  <c r="IL79" i="1"/>
  <c r="IL90" i="1"/>
  <c r="HR90" i="1"/>
  <c r="IP75" i="1"/>
  <c r="IL75" i="1"/>
  <c r="HA94" i="1"/>
  <c r="IL78" i="1"/>
  <c r="HA90" i="1"/>
  <c r="HA100" i="1"/>
  <c r="HR75" i="1"/>
  <c r="IP78" i="1"/>
  <c r="IP79" i="1"/>
  <c r="HA78" i="1"/>
  <c r="HR78" i="1"/>
  <c r="HR79" i="1"/>
  <c r="HA79" i="1"/>
  <c r="HA82" i="1"/>
  <c r="HG96" i="1"/>
  <c r="HA75" i="1"/>
  <c r="HR74" i="1"/>
  <c r="HA109" i="1"/>
  <c r="HA70" i="1"/>
  <c r="HG92" i="1"/>
  <c r="HA92" i="1"/>
  <c r="HG89" i="1"/>
  <c r="HA89" i="1"/>
  <c r="HA93" i="1"/>
  <c r="HG93" i="1"/>
  <c r="HG69" i="1"/>
  <c r="HA69" i="1"/>
  <c r="HG117" i="1"/>
  <c r="HA117" i="1"/>
  <c r="IP74" i="1" l="1"/>
  <c r="HA74" i="1"/>
  <c r="EC2" i="1" l="1"/>
  <c r="FE53" i="1" l="1"/>
  <c r="FC53" i="1"/>
  <c r="GG118" i="1"/>
  <c r="FE79" i="1"/>
  <c r="FE89" i="1"/>
  <c r="GG100" i="1"/>
  <c r="FE78" i="1"/>
  <c r="FE90" i="1"/>
  <c r="FE74" i="1"/>
  <c r="GG74" i="1"/>
  <c r="FE77" i="1"/>
  <c r="FE73" i="1"/>
  <c r="GG73" i="1"/>
  <c r="FE65" i="1"/>
  <c r="FE52" i="1"/>
  <c r="FC52" i="1"/>
  <c r="FE36" i="1"/>
  <c r="FE48" i="1"/>
  <c r="FE64" i="1"/>
  <c r="FE68" i="1"/>
  <c r="FE66" i="1"/>
  <c r="FE67" i="1"/>
  <c r="FE76" i="1"/>
  <c r="FE50" i="1"/>
  <c r="FD53" i="1" l="1"/>
  <c r="FD52" i="1"/>
  <c r="GG64" i="1"/>
  <c r="GG78" i="1"/>
  <c r="GG103" i="1"/>
  <c r="GG82" i="1"/>
  <c r="GG76" i="1"/>
  <c r="GG36" i="1"/>
  <c r="GG77" i="1"/>
  <c r="GG67" i="1"/>
  <c r="GG68" i="1"/>
  <c r="GG52" i="1"/>
  <c r="GG90" i="1"/>
  <c r="GG117" i="1"/>
  <c r="GG89" i="1"/>
  <c r="GG79" i="1"/>
  <c r="GG113" i="1"/>
  <c r="GG66" i="1"/>
  <c r="GG65" i="1"/>
  <c r="GG53" i="1"/>
  <c r="EC66" i="1"/>
  <c r="BV64" i="1"/>
  <c r="BV65" i="1"/>
  <c r="BV77" i="1"/>
  <c r="BV78" i="1"/>
  <c r="EC53" i="1"/>
  <c r="FH103" i="1"/>
  <c r="FK103" i="1" s="1"/>
  <c r="FH82" i="1"/>
  <c r="FK82" i="1" s="1"/>
  <c r="BV67" i="1"/>
  <c r="FH52" i="1"/>
  <c r="BV79" i="1"/>
  <c r="FH113" i="1"/>
  <c r="FK113" i="1" s="1"/>
  <c r="EC50" i="1"/>
  <c r="BV66" i="1"/>
  <c r="EC89" i="1"/>
  <c r="FH48" i="1"/>
  <c r="EC52" i="1"/>
  <c r="DA53" i="1"/>
  <c r="EC78" i="1"/>
  <c r="EC67" i="1"/>
  <c r="EC65" i="1"/>
  <c r="EC36" i="1"/>
  <c r="EC64" i="1"/>
  <c r="EC68" i="1"/>
  <c r="BV76" i="1"/>
  <c r="EC77" i="1"/>
  <c r="FH100" i="1"/>
  <c r="FK100" i="1" s="1"/>
  <c r="EC73" i="1"/>
  <c r="FK73" i="1"/>
  <c r="EC90" i="1"/>
  <c r="EC74" i="1"/>
  <c r="FM50" i="1" l="1"/>
  <c r="FO50" i="1" s="1"/>
  <c r="FM73" i="1"/>
  <c r="FO73" i="1" s="1"/>
  <c r="FM113" i="1"/>
  <c r="FO113" i="1" s="1"/>
  <c r="FM82" i="1"/>
  <c r="FO82" i="1" s="1"/>
  <c r="FM100" i="1"/>
  <c r="FO100" i="1" s="1"/>
  <c r="FM103" i="1"/>
  <c r="FO103" i="1" s="1"/>
  <c r="BW89" i="1"/>
  <c r="BV89" i="1"/>
  <c r="BW90" i="1"/>
  <c r="BV90" i="1"/>
  <c r="BW68" i="1"/>
  <c r="BX68" i="1" s="1"/>
  <c r="BY68" i="1" s="1"/>
  <c r="BV68" i="1"/>
  <c r="BW74" i="1"/>
  <c r="BV74" i="1"/>
  <c r="BW73" i="1"/>
  <c r="BV73" i="1"/>
  <c r="BW50" i="1"/>
  <c r="BX50" i="1" s="1"/>
  <c r="BY50" i="1" s="1"/>
  <c r="BV118" i="1"/>
  <c r="BW118" i="1"/>
  <c r="BX118" i="1" s="1"/>
  <c r="BY118" i="1" s="1"/>
  <c r="BW66" i="1"/>
  <c r="BV82" i="1"/>
  <c r="BW82" i="1"/>
  <c r="BX82" i="1" s="1"/>
  <c r="BY82" i="1" s="1"/>
  <c r="BW65" i="1"/>
  <c r="BV100" i="1"/>
  <c r="BW100" i="1"/>
  <c r="BX100" i="1" s="1"/>
  <c r="BY100" i="1" s="1"/>
  <c r="BV113" i="1"/>
  <c r="BW113" i="1"/>
  <c r="BX113" i="1" s="1"/>
  <c r="BY113" i="1" s="1"/>
  <c r="BV117" i="1"/>
  <c r="BW117" i="1"/>
  <c r="BX117" i="1" s="1"/>
  <c r="BY117" i="1" s="1"/>
  <c r="BV103" i="1"/>
  <c r="BW103" i="1"/>
  <c r="BX103" i="1" s="1"/>
  <c r="BY103" i="1" s="1"/>
  <c r="BV36" i="1"/>
  <c r="BW36" i="1"/>
  <c r="BX36" i="1" s="1"/>
  <c r="BY36" i="1" s="1"/>
  <c r="BW76" i="1"/>
  <c r="BX76" i="1" s="1"/>
  <c r="BY76" i="1" s="1"/>
  <c r="BW78" i="1"/>
  <c r="BW64" i="1"/>
  <c r="BW79" i="1"/>
  <c r="BW67" i="1"/>
  <c r="BW77" i="1"/>
  <c r="BX67" i="1" l="1"/>
  <c r="BY67" i="1" s="1"/>
  <c r="BX79" i="1"/>
  <c r="BY79" i="1" s="1"/>
  <c r="BX74" i="1"/>
  <c r="BY74" i="1" s="1"/>
  <c r="BX90" i="1"/>
  <c r="BY90" i="1" s="1"/>
  <c r="BX64" i="1"/>
  <c r="BY64" i="1" s="1"/>
  <c r="BX66" i="1"/>
  <c r="BY66" i="1" s="1"/>
  <c r="BX77" i="1"/>
  <c r="BY77" i="1" s="1"/>
  <c r="BX78" i="1"/>
  <c r="BY78" i="1" s="1"/>
  <c r="BX65" i="1"/>
  <c r="BY65" i="1" s="1"/>
  <c r="BX73" i="1"/>
  <c r="BY73" i="1" s="1"/>
  <c r="BX89" i="1"/>
  <c r="BY89" i="1" s="1"/>
  <c r="FM48" i="1"/>
  <c r="BV48" i="1"/>
  <c r="BW48" i="1"/>
  <c r="BX48" i="1" s="1"/>
  <c r="BY48" i="1" s="1"/>
  <c r="DA48" i="1"/>
  <c r="FO48" i="1" l="1"/>
  <c r="II100" i="1"/>
  <c r="IK100" i="1"/>
  <c r="ID100" i="1"/>
  <c r="HC100" i="1"/>
  <c r="HL117" i="1" l="1"/>
  <c r="IK117" i="1"/>
  <c r="II117" i="1"/>
  <c r="ID117" i="1"/>
  <c r="HL118" i="1" l="1"/>
  <c r="IK118" i="1"/>
  <c r="II118" i="1"/>
  <c r="ID118" i="1"/>
  <c r="CV18" i="1" l="1"/>
  <c r="CV17" i="1"/>
  <c r="CV28" i="1"/>
  <c r="CV27" i="1"/>
  <c r="CV41" i="1" l="1"/>
  <c r="CV131" i="1" s="1"/>
  <c r="J173" i="1" l="1"/>
  <c r="GG75" i="1" l="1"/>
  <c r="EC75" i="1"/>
  <c r="BW75" i="1" l="1"/>
  <c r="BX75" i="1" s="1"/>
  <c r="BY75" i="1" s="1"/>
  <c r="BV75" i="1"/>
  <c r="IK74" i="1" l="1"/>
  <c r="II74" i="1"/>
  <c r="ID74" i="1"/>
  <c r="S74" i="1"/>
  <c r="HZ45" i="1" l="1"/>
  <c r="AW7" i="1" l="1"/>
  <c r="IK90" i="1" l="1"/>
  <c r="II90" i="1"/>
  <c r="ID90" i="1"/>
  <c r="IK103" i="1"/>
  <c r="II103" i="1"/>
  <c r="HC103" i="1"/>
  <c r="ID103" i="1"/>
  <c r="IK89" i="1"/>
  <c r="II89" i="1"/>
  <c r="ID89" i="1"/>
  <c r="S90" i="1"/>
  <c r="X89" i="1"/>
  <c r="W89" i="1"/>
  <c r="HO67" i="1" l="1"/>
  <c r="HS67" i="1" s="1"/>
  <c r="HO49" i="1" l="1"/>
  <c r="GY49" i="1" l="1"/>
  <c r="GZ49" i="1" s="1"/>
  <c r="HS49" i="1"/>
  <c r="HX49" i="1" l="1"/>
  <c r="FV49" i="1"/>
  <c r="HC49" i="1"/>
  <c r="HB49" i="1"/>
  <c r="FE35" i="1" l="1"/>
  <c r="HL54" i="1" l="1"/>
  <c r="HL55" i="1"/>
  <c r="HL60" i="1"/>
  <c r="HL58" i="1"/>
  <c r="HL63" i="1"/>
  <c r="HM54" i="1"/>
  <c r="HM55" i="1"/>
  <c r="HM60" i="1"/>
  <c r="HM58" i="1"/>
  <c r="HM63" i="1"/>
  <c r="HM59" i="1"/>
  <c r="GX65" i="1" l="1"/>
  <c r="HO50" i="1" l="1"/>
  <c r="HS50" i="1" s="1"/>
  <c r="EC39" i="1" l="1"/>
  <c r="EC29" i="1" l="1"/>
  <c r="N180" i="1" l="1"/>
  <c r="N179" i="1"/>
  <c r="N178" i="1"/>
  <c r="N177" i="1"/>
  <c r="N176" i="1"/>
  <c r="N175" i="1"/>
  <c r="N174" i="1"/>
  <c r="N173" i="1"/>
  <c r="L180" i="1"/>
  <c r="L179" i="1"/>
  <c r="L178" i="1"/>
  <c r="L177" i="1"/>
  <c r="L176" i="1"/>
  <c r="L175" i="1"/>
  <c r="L174" i="1"/>
  <c r="L173" i="1"/>
  <c r="J180" i="1"/>
  <c r="J179" i="1"/>
  <c r="J178" i="1"/>
  <c r="J177" i="1"/>
  <c r="J176" i="1"/>
  <c r="J175" i="1"/>
  <c r="J174" i="1"/>
  <c r="H180" i="1"/>
  <c r="H179" i="1"/>
  <c r="H178" i="1"/>
  <c r="H177" i="1"/>
  <c r="H176" i="1"/>
  <c r="H175" i="1"/>
  <c r="H174" i="1"/>
  <c r="F180" i="1"/>
  <c r="F179" i="1"/>
  <c r="F178" i="1"/>
  <c r="F177" i="1"/>
  <c r="F176" i="1"/>
  <c r="F175" i="1"/>
  <c r="F174" i="1"/>
  <c r="F173" i="1"/>
  <c r="D180" i="1"/>
  <c r="D179" i="1"/>
  <c r="D178" i="1"/>
  <c r="D177" i="1"/>
  <c r="D176" i="1"/>
  <c r="D175" i="1"/>
  <c r="D174" i="1"/>
  <c r="D173" i="1"/>
  <c r="P174" i="1" l="1"/>
  <c r="P178" i="1"/>
  <c r="P180" i="1"/>
  <c r="P176" i="1"/>
  <c r="P177" i="1"/>
  <c r="P175" i="1"/>
  <c r="P179" i="1"/>
  <c r="J181" i="1"/>
  <c r="K177" i="1" s="1"/>
  <c r="P173" i="1"/>
  <c r="L181" i="1"/>
  <c r="M179" i="1" s="1"/>
  <c r="N181" i="1"/>
  <c r="O176" i="1" s="1"/>
  <c r="H181" i="1"/>
  <c r="I174" i="1" s="1"/>
  <c r="F181" i="1"/>
  <c r="G179" i="1" s="1"/>
  <c r="D181" i="1"/>
  <c r="E174" i="1" s="1"/>
  <c r="K176" i="1" l="1"/>
  <c r="K174" i="1"/>
  <c r="K175" i="1"/>
  <c r="K173" i="1"/>
  <c r="K180" i="1"/>
  <c r="K178" i="1"/>
  <c r="K179" i="1"/>
  <c r="P181" i="1"/>
  <c r="M175" i="1"/>
  <c r="I173" i="1"/>
  <c r="O180" i="1"/>
  <c r="M178" i="1"/>
  <c r="M174" i="1"/>
  <c r="I180" i="1"/>
  <c r="O178" i="1"/>
  <c r="O174" i="1"/>
  <c r="O179" i="1"/>
  <c r="O173" i="1"/>
  <c r="O177" i="1"/>
  <c r="I176" i="1"/>
  <c r="M176" i="1"/>
  <c r="M180" i="1"/>
  <c r="O175" i="1"/>
  <c r="M173" i="1"/>
  <c r="M177" i="1"/>
  <c r="I177" i="1"/>
  <c r="I179" i="1"/>
  <c r="I178" i="1"/>
  <c r="I175" i="1"/>
  <c r="G176" i="1"/>
  <c r="G173" i="1"/>
  <c r="G175" i="1"/>
  <c r="G180" i="1"/>
  <c r="G178" i="1"/>
  <c r="G177" i="1"/>
  <c r="G174" i="1"/>
  <c r="E177" i="1"/>
  <c r="E180" i="1"/>
  <c r="E178" i="1"/>
  <c r="E175" i="1"/>
  <c r="E173" i="1"/>
  <c r="E176" i="1"/>
  <c r="E179" i="1"/>
  <c r="K181" i="1" l="1"/>
  <c r="I181" i="1"/>
  <c r="M181" i="1"/>
  <c r="O181" i="1"/>
  <c r="G181" i="1"/>
  <c r="E181" i="1"/>
  <c r="K154" i="1" l="1"/>
  <c r="K153" i="1"/>
  <c r="K152" i="1"/>
  <c r="K151" i="1"/>
  <c r="K150" i="1"/>
  <c r="K149" i="1"/>
  <c r="K148" i="1"/>
  <c r="K147" i="1"/>
  <c r="J147" i="1"/>
  <c r="H147" i="1"/>
  <c r="H148" i="1"/>
  <c r="H149" i="1"/>
  <c r="H151" i="1"/>
  <c r="H152" i="1"/>
  <c r="H153" i="1"/>
  <c r="H154" i="1"/>
  <c r="D154" i="1"/>
  <c r="F154" i="1"/>
  <c r="I154" i="1"/>
  <c r="J154" i="1"/>
  <c r="P154" i="1"/>
  <c r="K155" i="1" l="1"/>
  <c r="IA57" i="1"/>
  <c r="HO57" i="1"/>
  <c r="HS57" i="1" s="1"/>
  <c r="HF57" i="1"/>
  <c r="GX57" i="1"/>
  <c r="GY57" i="1" l="1"/>
  <c r="GZ57" i="1" s="1"/>
  <c r="K157" i="1"/>
  <c r="Q180" i="1"/>
  <c r="HR57" i="1"/>
  <c r="IL57" i="1"/>
  <c r="HX57" i="1" l="1"/>
  <c r="FV57" i="1"/>
  <c r="HG57" i="1"/>
  <c r="HC57" i="1"/>
  <c r="HB57" i="1"/>
  <c r="HA57" i="1"/>
  <c r="IP57" i="1"/>
  <c r="EC42" i="1"/>
  <c r="EC57" i="1" l="1"/>
  <c r="FE57" i="1"/>
  <c r="CZ57" i="1"/>
  <c r="CX57" i="1"/>
  <c r="BR46" i="1"/>
  <c r="BR41" i="1"/>
  <c r="BR57" i="1"/>
  <c r="BR42" i="1"/>
  <c r="BT42" i="1" s="1"/>
  <c r="BT57" i="1" l="1"/>
  <c r="BW57" i="1" s="1"/>
  <c r="BX57" i="1" s="1"/>
  <c r="BY57" i="1" s="1"/>
  <c r="BS57" i="1"/>
  <c r="BV57" i="1" s="1"/>
  <c r="V57" i="1"/>
  <c r="T57" i="1"/>
  <c r="U57" i="1"/>
  <c r="DA57" i="1" l="1"/>
  <c r="W57" i="1"/>
  <c r="IK57" i="1"/>
  <c r="II57" i="1"/>
  <c r="ID57" i="1"/>
  <c r="S57" i="1"/>
  <c r="AO57" i="1"/>
  <c r="X57" i="1"/>
  <c r="FD44" i="1" l="1"/>
  <c r="GG44" i="1"/>
  <c r="EC44" i="1"/>
  <c r="AN135" i="1" l="1"/>
  <c r="AH135" i="1" s="1"/>
  <c r="X135" i="1" s="1"/>
  <c r="Y136" i="1" s="1"/>
  <c r="S75" i="1" l="1"/>
  <c r="II75" i="1"/>
  <c r="IK75" i="1"/>
  <c r="ID75" i="1"/>
  <c r="V53" i="1"/>
  <c r="U53" i="1"/>
  <c r="T53" i="1"/>
  <c r="V52" i="1"/>
  <c r="U52" i="1"/>
  <c r="T52" i="1"/>
  <c r="V73" i="1"/>
  <c r="U73" i="1"/>
  <c r="T73" i="1"/>
  <c r="V64" i="1"/>
  <c r="U64" i="1"/>
  <c r="T64" i="1"/>
  <c r="V113" i="1"/>
  <c r="U113" i="1"/>
  <c r="V77" i="1"/>
  <c r="V65" i="1" l="1"/>
  <c r="V36" i="1"/>
  <c r="U65" i="1"/>
  <c r="U36" i="1"/>
  <c r="T65" i="1"/>
  <c r="T36" i="1"/>
  <c r="EC27" i="1" l="1"/>
  <c r="CW35" i="1" l="1"/>
  <c r="CZ35" i="1" l="1"/>
  <c r="CX42" i="1"/>
  <c r="CX28" i="1"/>
  <c r="CX30" i="1"/>
  <c r="CX18" i="1"/>
  <c r="CX22" i="1"/>
  <c r="CX21" i="1"/>
  <c r="CX20" i="1"/>
  <c r="CX15" i="1"/>
  <c r="CX39" i="1"/>
  <c r="CX14" i="1"/>
  <c r="CX32" i="1"/>
  <c r="CX40" i="1"/>
  <c r="CX44" i="1"/>
  <c r="CX38" i="1"/>
  <c r="CX46" i="1"/>
  <c r="CX51" i="1"/>
  <c r="CX41" i="1"/>
  <c r="CX17" i="1"/>
  <c r="CX16" i="1"/>
  <c r="CX19" i="1"/>
  <c r="CX25" i="1"/>
  <c r="CX47" i="1"/>
  <c r="CX43" i="1"/>
  <c r="EC47" i="1"/>
  <c r="EC43" i="1"/>
  <c r="HO45" i="1"/>
  <c r="GY45" i="1" s="1"/>
  <c r="HO73" i="1"/>
  <c r="HO48" i="1"/>
  <c r="HS48" i="1" s="1"/>
  <c r="HO77" i="1"/>
  <c r="HO64" i="1"/>
  <c r="HO36" i="1"/>
  <c r="HS36" i="1" s="1"/>
  <c r="HZ43" i="1"/>
  <c r="HZ42" i="1"/>
  <c r="FC98" i="1"/>
  <c r="FC97" i="1"/>
  <c r="FC96" i="1"/>
  <c r="FC95" i="1"/>
  <c r="FC94" i="1"/>
  <c r="FC93" i="1"/>
  <c r="FC92" i="1"/>
  <c r="FC72" i="1"/>
  <c r="FC71" i="1"/>
  <c r="FC70" i="1"/>
  <c r="FC69" i="1"/>
  <c r="IP49" i="1"/>
  <c r="GY59" i="1"/>
  <c r="HG52" i="1"/>
  <c r="HZ41" i="1"/>
  <c r="FE54" i="1"/>
  <c r="FC54" i="1"/>
  <c r="FE55" i="1"/>
  <c r="FC55" i="1"/>
  <c r="FE60" i="1"/>
  <c r="FC60" i="1"/>
  <c r="FE58" i="1"/>
  <c r="FC58" i="1"/>
  <c r="FE59" i="1"/>
  <c r="FC59" i="1"/>
  <c r="IA21" i="1"/>
  <c r="IA20" i="1"/>
  <c r="HU2" i="1"/>
  <c r="IA2" i="1" s="1"/>
  <c r="IK54" i="1"/>
  <c r="IK55" i="1"/>
  <c r="IK60" i="1"/>
  <c r="IK58" i="1"/>
  <c r="IK63" i="1"/>
  <c r="IK59" i="1"/>
  <c r="GX58" i="1"/>
  <c r="GG30" i="1"/>
  <c r="FH30" i="1"/>
  <c r="HN77" i="1"/>
  <c r="GX77" i="1" s="1"/>
  <c r="HY132" i="1"/>
  <c r="GX55" i="1"/>
  <c r="GX54" i="1"/>
  <c r="GX60" i="1"/>
  <c r="GX59" i="1"/>
  <c r="GX63" i="1"/>
  <c r="GX52" i="1"/>
  <c r="IL52" i="1" s="1"/>
  <c r="GX48" i="1"/>
  <c r="GX73" i="1"/>
  <c r="IL73" i="1" s="1"/>
  <c r="GX36" i="1"/>
  <c r="HS55" i="1"/>
  <c r="HS54" i="1"/>
  <c r="HS60" i="1"/>
  <c r="HS59" i="1"/>
  <c r="HS63" i="1"/>
  <c r="HL59" i="1"/>
  <c r="GX64" i="1"/>
  <c r="BS51" i="1"/>
  <c r="BR35" i="1"/>
  <c r="BT3" i="1"/>
  <c r="BW3" i="1" s="1"/>
  <c r="BX3" i="1" s="1"/>
  <c r="BY3" i="1" s="1"/>
  <c r="BT4" i="1"/>
  <c r="BW4" i="1" s="1"/>
  <c r="BX4" i="1" s="1"/>
  <c r="BY4" i="1" s="1"/>
  <c r="BT5" i="1"/>
  <c r="BW5" i="1" s="1"/>
  <c r="BX5" i="1" s="1"/>
  <c r="BY5" i="1" s="1"/>
  <c r="BT6" i="1"/>
  <c r="BW6" i="1" s="1"/>
  <c r="BX6" i="1" s="1"/>
  <c r="BY6" i="1" s="1"/>
  <c r="BT7" i="1"/>
  <c r="BW7" i="1" s="1"/>
  <c r="BX7" i="1" s="1"/>
  <c r="BY7" i="1" s="1"/>
  <c r="BT8" i="1"/>
  <c r="BW8" i="1" s="1"/>
  <c r="BX8" i="1" s="1"/>
  <c r="BY8" i="1" s="1"/>
  <c r="BT9" i="1"/>
  <c r="BW9" i="1" s="1"/>
  <c r="BX9" i="1" s="1"/>
  <c r="BY9" i="1" s="1"/>
  <c r="BT10" i="1"/>
  <c r="BW10" i="1" s="1"/>
  <c r="BX10" i="1" s="1"/>
  <c r="BY10" i="1" s="1"/>
  <c r="BT11" i="1"/>
  <c r="BW11" i="1" s="1"/>
  <c r="BT16" i="1"/>
  <c r="BW16" i="1" s="1"/>
  <c r="BT13" i="1"/>
  <c r="BW13" i="1" s="1"/>
  <c r="BT14" i="1"/>
  <c r="BW14" i="1" s="1"/>
  <c r="BT15" i="1"/>
  <c r="BW15" i="1" s="1"/>
  <c r="BT28" i="1"/>
  <c r="BW28" i="1" s="1"/>
  <c r="BT17" i="1"/>
  <c r="BW17" i="1" s="1"/>
  <c r="BT18" i="1"/>
  <c r="BW18" i="1" s="1"/>
  <c r="BT19" i="1"/>
  <c r="BW19" i="1" s="1"/>
  <c r="BT20" i="1"/>
  <c r="BW20" i="1" s="1"/>
  <c r="BT21" i="1"/>
  <c r="BW21" i="1" s="1"/>
  <c r="BT22" i="1"/>
  <c r="BW22" i="1" s="1"/>
  <c r="BT27" i="1"/>
  <c r="BW27" i="1" s="1"/>
  <c r="BT12" i="1"/>
  <c r="BW12" i="1" s="1"/>
  <c r="BT26" i="1"/>
  <c r="BW26" i="1" s="1"/>
  <c r="BT31" i="1"/>
  <c r="BW31" i="1" s="1"/>
  <c r="BT29" i="1"/>
  <c r="BW29" i="1" s="1"/>
  <c r="BT25" i="1"/>
  <c r="BT30" i="1"/>
  <c r="BW30" i="1" s="1"/>
  <c r="BX30" i="1" s="1"/>
  <c r="BY30" i="1" s="1"/>
  <c r="BT39" i="1"/>
  <c r="BW39" i="1" s="1"/>
  <c r="BT40" i="1"/>
  <c r="BW40" i="1" s="1"/>
  <c r="BT32" i="1"/>
  <c r="BW32" i="1" s="1"/>
  <c r="BT33" i="1"/>
  <c r="BW33" i="1" s="1"/>
  <c r="BT34" i="1"/>
  <c r="BW34" i="1" s="1"/>
  <c r="BT45" i="1"/>
  <c r="BW45" i="1" s="1"/>
  <c r="BT37" i="1"/>
  <c r="BW37" i="1" s="1"/>
  <c r="BT38" i="1"/>
  <c r="BW38" i="1" s="1"/>
  <c r="BT23" i="1"/>
  <c r="BW23" i="1" s="1"/>
  <c r="BT24" i="1"/>
  <c r="BW24" i="1" s="1"/>
  <c r="BW42" i="1"/>
  <c r="BX42" i="1" s="1"/>
  <c r="BY42" i="1" s="1"/>
  <c r="BW43" i="1"/>
  <c r="BX43" i="1" s="1"/>
  <c r="BY43" i="1" s="1"/>
  <c r="BT49" i="1"/>
  <c r="BT46" i="1"/>
  <c r="BW46" i="1" s="1"/>
  <c r="BX46" i="1" s="1"/>
  <c r="BY46" i="1" s="1"/>
  <c r="BT41" i="1"/>
  <c r="BW41" i="1" s="1"/>
  <c r="BX41" i="1" s="1"/>
  <c r="BY41" i="1" s="1"/>
  <c r="BT44" i="1"/>
  <c r="BW44" i="1" s="1"/>
  <c r="BX44" i="1" s="1"/>
  <c r="BY44" i="1" s="1"/>
  <c r="BT47" i="1"/>
  <c r="BW47" i="1" s="1"/>
  <c r="BX47" i="1" s="1"/>
  <c r="BY47" i="1" s="1"/>
  <c r="BT56" i="1"/>
  <c r="BT2" i="1"/>
  <c r="BW2" i="1" s="1"/>
  <c r="BX2" i="1" s="1"/>
  <c r="BY2" i="1" s="1"/>
  <c r="BS2" i="1"/>
  <c r="BS3" i="1"/>
  <c r="BS4" i="1"/>
  <c r="BS5" i="1"/>
  <c r="BS6" i="1"/>
  <c r="BS7" i="1"/>
  <c r="BS8" i="1"/>
  <c r="BS9" i="1"/>
  <c r="BS10" i="1"/>
  <c r="BS11" i="1"/>
  <c r="BS16" i="1"/>
  <c r="BS13" i="1"/>
  <c r="BS14" i="1"/>
  <c r="BV14" i="1" s="1"/>
  <c r="BS15" i="1"/>
  <c r="BV15" i="1" s="1"/>
  <c r="BS28" i="1"/>
  <c r="BV28" i="1" s="1"/>
  <c r="BS17" i="1"/>
  <c r="BV17" i="1" s="1"/>
  <c r="BS18" i="1"/>
  <c r="BV18" i="1" s="1"/>
  <c r="BS19" i="1"/>
  <c r="BV19" i="1" s="1"/>
  <c r="BS20" i="1"/>
  <c r="BV20" i="1" s="1"/>
  <c r="BS21" i="1"/>
  <c r="BV21" i="1" s="1"/>
  <c r="BS22" i="1"/>
  <c r="BV22" i="1" s="1"/>
  <c r="BS27" i="1"/>
  <c r="BV27" i="1" s="1"/>
  <c r="BS12" i="1"/>
  <c r="BS26" i="1"/>
  <c r="BS31" i="1"/>
  <c r="BS29" i="1"/>
  <c r="BV29" i="1" s="1"/>
  <c r="BS25" i="1"/>
  <c r="BS30" i="1"/>
  <c r="BV30" i="1" s="1"/>
  <c r="BS39" i="1"/>
  <c r="BS40" i="1"/>
  <c r="BS32" i="1"/>
  <c r="BV32" i="1" s="1"/>
  <c r="BS33" i="1"/>
  <c r="BV33" i="1" s="1"/>
  <c r="BS34" i="1"/>
  <c r="BV34" i="1" s="1"/>
  <c r="BS45" i="1"/>
  <c r="BS37" i="1"/>
  <c r="BV37" i="1" s="1"/>
  <c r="BS38" i="1"/>
  <c r="BS23" i="1"/>
  <c r="BV23" i="1" s="1"/>
  <c r="BS24" i="1"/>
  <c r="BS42" i="1"/>
  <c r="BS43" i="1"/>
  <c r="BS46" i="1"/>
  <c r="BS41" i="1"/>
  <c r="BS44" i="1"/>
  <c r="BS47" i="1"/>
  <c r="BS56" i="1"/>
  <c r="GX76" i="1"/>
  <c r="IL76" i="1" s="1"/>
  <c r="J153" i="1"/>
  <c r="I153" i="1"/>
  <c r="F153" i="1"/>
  <c r="D153" i="1"/>
  <c r="J152" i="1"/>
  <c r="I152" i="1"/>
  <c r="F152" i="1"/>
  <c r="D152" i="1"/>
  <c r="J151" i="1"/>
  <c r="F151" i="1"/>
  <c r="D151" i="1"/>
  <c r="J150" i="1"/>
  <c r="J148" i="1"/>
  <c r="J149" i="1"/>
  <c r="I150" i="1"/>
  <c r="H150" i="1"/>
  <c r="F150" i="1"/>
  <c r="D150" i="1"/>
  <c r="I149" i="1"/>
  <c r="I147" i="1"/>
  <c r="I148" i="1"/>
  <c r="F149" i="1"/>
  <c r="D149" i="1"/>
  <c r="F148" i="1"/>
  <c r="D148" i="1"/>
  <c r="F147" i="1"/>
  <c r="P160" i="1"/>
  <c r="G236" i="1"/>
  <c r="F236" i="1"/>
  <c r="E236" i="1"/>
  <c r="D236" i="1"/>
  <c r="C236" i="1"/>
  <c r="P158" i="1"/>
  <c r="G235" i="1"/>
  <c r="F235" i="1"/>
  <c r="E235" i="1"/>
  <c r="D235" i="1"/>
  <c r="C235" i="1"/>
  <c r="P157" i="1"/>
  <c r="G234" i="1"/>
  <c r="F234" i="1"/>
  <c r="E234" i="1"/>
  <c r="D234" i="1"/>
  <c r="C234" i="1"/>
  <c r="P156" i="1"/>
  <c r="G233" i="1"/>
  <c r="F233" i="1"/>
  <c r="F231" i="1"/>
  <c r="F232" i="1"/>
  <c r="E233" i="1"/>
  <c r="D233" i="1"/>
  <c r="C233" i="1"/>
  <c r="P155" i="1"/>
  <c r="G232" i="1"/>
  <c r="E232" i="1"/>
  <c r="D232" i="1"/>
  <c r="D231" i="1"/>
  <c r="C232" i="1"/>
  <c r="G231" i="1"/>
  <c r="E231" i="1"/>
  <c r="C231" i="1"/>
  <c r="C227" i="1"/>
  <c r="C226" i="1"/>
  <c r="C225" i="1"/>
  <c r="C224" i="1"/>
  <c r="C223" i="1"/>
  <c r="C222" i="1"/>
  <c r="IB142" i="1"/>
  <c r="C221" i="1"/>
  <c r="HZ141" i="1"/>
  <c r="HY141" i="1"/>
  <c r="C220" i="1"/>
  <c r="IB140" i="1"/>
  <c r="C219" i="1"/>
  <c r="IB139" i="1"/>
  <c r="IC138" i="1" s="1"/>
  <c r="C218" i="1"/>
  <c r="HZ138" i="1"/>
  <c r="HY138" i="1"/>
  <c r="IB137" i="1"/>
  <c r="IB136" i="1"/>
  <c r="HZ135" i="1"/>
  <c r="HY135" i="1"/>
  <c r="IN132" i="1"/>
  <c r="IM132" i="1"/>
  <c r="IJ132" i="1"/>
  <c r="IG132" i="1"/>
  <c r="HW132" i="1"/>
  <c r="HQ132" i="1"/>
  <c r="HP132" i="1"/>
  <c r="AG132" i="1"/>
  <c r="HQ128" i="1"/>
  <c r="HP128" i="1"/>
  <c r="JU109" i="1"/>
  <c r="JU58" i="1"/>
  <c r="II58" i="1"/>
  <c r="IA58" i="1"/>
  <c r="ID58" i="1" s="1"/>
  <c r="JU96" i="1"/>
  <c r="JU97" i="1"/>
  <c r="JU98" i="1"/>
  <c r="JU95" i="1"/>
  <c r="JU94" i="1"/>
  <c r="JU92" i="1"/>
  <c r="JU93" i="1"/>
  <c r="JU69" i="1"/>
  <c r="JU72" i="1"/>
  <c r="JU70" i="1"/>
  <c r="JU71" i="1"/>
  <c r="JU55" i="1"/>
  <c r="II55" i="1"/>
  <c r="IA55" i="1"/>
  <c r="ID55" i="1" s="1"/>
  <c r="JU54" i="1"/>
  <c r="II54" i="1"/>
  <c r="IA54" i="1"/>
  <c r="ID54" i="1" s="1"/>
  <c r="JU60" i="1"/>
  <c r="II60" i="1"/>
  <c r="IA60" i="1"/>
  <c r="ID60" i="1" s="1"/>
  <c r="JU59" i="1"/>
  <c r="II59" i="1"/>
  <c r="IA59" i="1"/>
  <c r="ID59" i="1" s="1"/>
  <c r="JU63" i="1"/>
  <c r="II63" i="1"/>
  <c r="IA63" i="1"/>
  <c r="ID63" i="1" s="1"/>
  <c r="IA52" i="1"/>
  <c r="HR52" i="1"/>
  <c r="HM52" i="1"/>
  <c r="HF52" i="1"/>
  <c r="JU73" i="1"/>
  <c r="IA73" i="1"/>
  <c r="HM73" i="1"/>
  <c r="HF73" i="1"/>
  <c r="IA36" i="1"/>
  <c r="HM36" i="1"/>
  <c r="HF36" i="1"/>
  <c r="IA64" i="1"/>
  <c r="HF64" i="1"/>
  <c r="AT64" i="1"/>
  <c r="AS64" i="1"/>
  <c r="AR64" i="1"/>
  <c r="AQ64" i="1"/>
  <c r="AP64" i="1"/>
  <c r="JU113" i="1"/>
  <c r="IA48" i="1"/>
  <c r="HM48" i="1"/>
  <c r="HF48" i="1"/>
  <c r="S48" i="1"/>
  <c r="V48" i="1"/>
  <c r="U48" i="1"/>
  <c r="T48" i="1"/>
  <c r="IA77" i="1"/>
  <c r="HM77" i="1"/>
  <c r="HF77" i="1"/>
  <c r="IA65" i="1"/>
  <c r="HO65" i="1"/>
  <c r="HM65" i="1"/>
  <c r="HF65" i="1"/>
  <c r="S65" i="1"/>
  <c r="IA68" i="1"/>
  <c r="HO68" i="1"/>
  <c r="HM68" i="1"/>
  <c r="HF68" i="1"/>
  <c r="GX68" i="1"/>
  <c r="AW68" i="1"/>
  <c r="V68" i="1"/>
  <c r="U68" i="1"/>
  <c r="HV67" i="1"/>
  <c r="HM67" i="1"/>
  <c r="HF67" i="1"/>
  <c r="GX67" i="1"/>
  <c r="V67" i="1"/>
  <c r="U67" i="1"/>
  <c r="T67" i="1"/>
  <c r="IA62" i="1"/>
  <c r="HO62" i="1"/>
  <c r="HI62" i="1"/>
  <c r="HD62" i="1"/>
  <c r="FE62" i="1"/>
  <c r="AO62" i="1"/>
  <c r="T62" i="1"/>
  <c r="S62" i="1"/>
  <c r="V62" i="1"/>
  <c r="HV66" i="1"/>
  <c r="HO66" i="1"/>
  <c r="HS66" i="1" s="1"/>
  <c r="HN66" i="1"/>
  <c r="GX66" i="1" s="1"/>
  <c r="HM66" i="1"/>
  <c r="HF66" i="1"/>
  <c r="T66" i="1"/>
  <c r="IA56" i="1"/>
  <c r="HO56" i="1"/>
  <c r="HN56" i="1"/>
  <c r="GX56" i="1" s="1"/>
  <c r="IL56" i="1" s="1"/>
  <c r="HM56" i="1"/>
  <c r="HF56" i="1"/>
  <c r="FE56" i="1"/>
  <c r="FC56" i="1"/>
  <c r="V56" i="1"/>
  <c r="U56" i="1"/>
  <c r="T56" i="1"/>
  <c r="HV50" i="1"/>
  <c r="HR50" i="1"/>
  <c r="HM50" i="1"/>
  <c r="HF50" i="1"/>
  <c r="V50" i="1"/>
  <c r="U50" i="1"/>
  <c r="T50" i="1"/>
  <c r="HV76" i="1"/>
  <c r="HO76" i="1"/>
  <c r="HS76" i="1" s="1"/>
  <c r="HM76" i="1"/>
  <c r="HF76" i="1"/>
  <c r="AQ76" i="1"/>
  <c r="V76" i="1"/>
  <c r="U76" i="1"/>
  <c r="T76" i="1"/>
  <c r="HU47" i="1"/>
  <c r="IA47" i="1" s="1"/>
  <c r="HO47" i="1"/>
  <c r="HM47" i="1"/>
  <c r="HF47" i="1"/>
  <c r="FE47" i="1"/>
  <c r="CW47" i="1"/>
  <c r="AW47" i="1"/>
  <c r="AH47" i="1"/>
  <c r="AE47" i="1" s="1"/>
  <c r="V47" i="1"/>
  <c r="U47" i="1"/>
  <c r="IA44" i="1"/>
  <c r="HO44" i="1"/>
  <c r="HM44" i="1"/>
  <c r="HM12" i="1"/>
  <c r="HM11" i="1"/>
  <c r="HM31" i="1"/>
  <c r="HM37" i="1"/>
  <c r="HM45" i="1"/>
  <c r="HM39" i="1"/>
  <c r="HM13" i="1"/>
  <c r="HM25" i="1"/>
  <c r="HM40" i="1"/>
  <c r="HM23" i="1"/>
  <c r="HM29" i="1"/>
  <c r="HM19" i="1"/>
  <c r="HM16" i="1"/>
  <c r="HM17" i="1"/>
  <c r="HM24" i="1"/>
  <c r="HM61" i="1"/>
  <c r="HM49" i="1"/>
  <c r="HM38" i="1"/>
  <c r="HM46" i="1"/>
  <c r="HM32" i="1"/>
  <c r="HM14" i="1"/>
  <c r="HM35" i="1"/>
  <c r="HM15" i="1"/>
  <c r="HM20" i="1"/>
  <c r="HM21" i="1"/>
  <c r="HM22" i="1"/>
  <c r="HM18" i="1"/>
  <c r="HM30" i="1"/>
  <c r="HM51" i="1"/>
  <c r="HM28" i="1"/>
  <c r="HM43" i="1"/>
  <c r="HM41" i="1"/>
  <c r="HM27" i="1"/>
  <c r="HM33" i="1"/>
  <c r="HM34" i="1"/>
  <c r="HM26" i="1"/>
  <c r="HF44" i="1"/>
  <c r="GX44" i="1"/>
  <c r="FE44" i="1"/>
  <c r="CW44" i="1"/>
  <c r="AR44" i="1"/>
  <c r="V44" i="1"/>
  <c r="U44" i="1"/>
  <c r="T44" i="1"/>
  <c r="IA41" i="1"/>
  <c r="HO41" i="1"/>
  <c r="HF41" i="1"/>
  <c r="GX41" i="1"/>
  <c r="FE41" i="1"/>
  <c r="CW41" i="1"/>
  <c r="AS41" i="1"/>
  <c r="V41" i="1"/>
  <c r="U41" i="1"/>
  <c r="T41" i="1"/>
  <c r="IA46" i="1"/>
  <c r="HO46" i="1"/>
  <c r="HS46" i="1" s="1"/>
  <c r="HF46" i="1"/>
  <c r="GX46" i="1"/>
  <c r="CW46" i="1"/>
  <c r="AW46" i="1"/>
  <c r="T46" i="1"/>
  <c r="U46" i="1"/>
  <c r="IA49" i="1"/>
  <c r="HR49" i="1"/>
  <c r="HF49" i="1"/>
  <c r="GX49" i="1"/>
  <c r="FE49" i="1"/>
  <c r="FC49" i="1"/>
  <c r="FH49" i="1" s="1"/>
  <c r="V49" i="1"/>
  <c r="U49" i="1"/>
  <c r="T49" i="1"/>
  <c r="IA61" i="1"/>
  <c r="HO61" i="1"/>
  <c r="HS61" i="1" s="1"/>
  <c r="HF61" i="1"/>
  <c r="GX61" i="1"/>
  <c r="FE61" i="1"/>
  <c r="GG61" i="1"/>
  <c r="X61" i="1"/>
  <c r="T61" i="1"/>
  <c r="S61" i="1"/>
  <c r="IA43" i="1"/>
  <c r="HO43" i="1"/>
  <c r="HS43" i="1" s="1"/>
  <c r="HF43" i="1"/>
  <c r="GX43" i="1"/>
  <c r="FE43" i="1"/>
  <c r="CW43" i="1"/>
  <c r="V43" i="1"/>
  <c r="U43" i="1"/>
  <c r="T43" i="1"/>
  <c r="IK42" i="1"/>
  <c r="II42" i="1"/>
  <c r="IA42" i="1"/>
  <c r="ID42" i="1" s="1"/>
  <c r="HO42" i="1"/>
  <c r="HF42" i="1"/>
  <c r="GX42" i="1"/>
  <c r="CW42" i="1"/>
  <c r="AS42" i="1"/>
  <c r="AR42" i="1"/>
  <c r="X42" i="1"/>
  <c r="W42" i="1"/>
  <c r="V42" i="1"/>
  <c r="U42" i="1"/>
  <c r="T42" i="1"/>
  <c r="IA24" i="1"/>
  <c r="HO24" i="1"/>
  <c r="HF24" i="1"/>
  <c r="GX24" i="1"/>
  <c r="HG24" i="1" s="1"/>
  <c r="FE24" i="1"/>
  <c r="FN24" i="1"/>
  <c r="FO24" i="1" s="1"/>
  <c r="CW24" i="1"/>
  <c r="AW24" i="1"/>
  <c r="AT24" i="1"/>
  <c r="AS24" i="1"/>
  <c r="AR24" i="1"/>
  <c r="AQ24" i="1"/>
  <c r="IA23" i="1"/>
  <c r="HO23" i="1"/>
  <c r="HF23" i="1"/>
  <c r="GX23" i="1"/>
  <c r="HG23" i="1" s="1"/>
  <c r="FE23" i="1"/>
  <c r="FN23" i="1"/>
  <c r="FO23" i="1" s="1"/>
  <c r="CW23" i="1"/>
  <c r="AW23" i="1"/>
  <c r="AT23" i="1"/>
  <c r="AS23" i="1"/>
  <c r="AO23" i="1"/>
  <c r="W23" i="1"/>
  <c r="U23" i="1"/>
  <c r="T23" i="1"/>
  <c r="S23" i="1"/>
  <c r="HV38" i="1"/>
  <c r="HO38" i="1"/>
  <c r="HS38" i="1" s="1"/>
  <c r="HF38" i="1"/>
  <c r="FE38" i="1"/>
  <c r="FN38" i="1"/>
  <c r="FO38" i="1" s="1"/>
  <c r="CW38" i="1"/>
  <c r="AW38" i="1"/>
  <c r="V38" i="1"/>
  <c r="U38" i="1"/>
  <c r="T38" i="1"/>
  <c r="HV37" i="1"/>
  <c r="HO37" i="1"/>
  <c r="HF37" i="1"/>
  <c r="GX37" i="1"/>
  <c r="FE37" i="1"/>
  <c r="GG37" i="1"/>
  <c r="FN37" i="1"/>
  <c r="FO37" i="1" s="1"/>
  <c r="CW37" i="1"/>
  <c r="W37" i="1"/>
  <c r="V37" i="1"/>
  <c r="U37" i="1"/>
  <c r="IA45" i="1"/>
  <c r="HN45" i="1"/>
  <c r="HF45" i="1"/>
  <c r="FE45" i="1"/>
  <c r="FN45" i="1"/>
  <c r="FO45" i="1" s="1"/>
  <c r="V45" i="1"/>
  <c r="AH45" i="1"/>
  <c r="S45" i="1"/>
  <c r="AW45" i="1"/>
  <c r="IA35" i="1"/>
  <c r="HO35" i="1"/>
  <c r="HF35" i="1"/>
  <c r="AW35" i="1"/>
  <c r="AO35" i="1"/>
  <c r="Y35" i="1"/>
  <c r="V35" i="1"/>
  <c r="U35" i="1"/>
  <c r="T35" i="1"/>
  <c r="IA51" i="1"/>
  <c r="HO51" i="1"/>
  <c r="HF51" i="1"/>
  <c r="FE51" i="1"/>
  <c r="FN51" i="1"/>
  <c r="FO51" i="1" s="1"/>
  <c r="CW51" i="1"/>
  <c r="AW51" i="1"/>
  <c r="IK51" i="1"/>
  <c r="V51" i="1"/>
  <c r="U51" i="1"/>
  <c r="IA34" i="1"/>
  <c r="HO34" i="1"/>
  <c r="HF34" i="1"/>
  <c r="GX34" i="1"/>
  <c r="HG34" i="1" s="1"/>
  <c r="FN34" i="1"/>
  <c r="FO34" i="1" s="1"/>
  <c r="EC34" i="1"/>
  <c r="CW34" i="1"/>
  <c r="BP34" i="1"/>
  <c r="AW34" i="1"/>
  <c r="IA33" i="1"/>
  <c r="HO33" i="1"/>
  <c r="HF33" i="1"/>
  <c r="GX33" i="1"/>
  <c r="HG33" i="1" s="1"/>
  <c r="FN33" i="1"/>
  <c r="FO33" i="1" s="1"/>
  <c r="EC33" i="1"/>
  <c r="CW33" i="1"/>
  <c r="BP33" i="1"/>
  <c r="AW33" i="1"/>
  <c r="IK33" i="1"/>
  <c r="U33" i="1"/>
  <c r="T33" i="1"/>
  <c r="IA32" i="1"/>
  <c r="HO32" i="1"/>
  <c r="HS32" i="1" s="1"/>
  <c r="HF32" i="1"/>
  <c r="GX32" i="1"/>
  <c r="HG32" i="1" s="1"/>
  <c r="FH32" i="1"/>
  <c r="FN32" i="1"/>
  <c r="FO32" i="1" s="1"/>
  <c r="EC32" i="1"/>
  <c r="CW32" i="1"/>
  <c r="BP32" i="1"/>
  <c r="AW32" i="1"/>
  <c r="II32" i="1"/>
  <c r="V32" i="1"/>
  <c r="U32" i="1"/>
  <c r="T32" i="1"/>
  <c r="IA40" i="1"/>
  <c r="HO40" i="1"/>
  <c r="HS40" i="1" s="1"/>
  <c r="HF40" i="1"/>
  <c r="GX40" i="1"/>
  <c r="FE40" i="1"/>
  <c r="FN40" i="1"/>
  <c r="FO40" i="1" s="1"/>
  <c r="AW40" i="1"/>
  <c r="V40" i="1"/>
  <c r="U40" i="1"/>
  <c r="T40" i="1"/>
  <c r="HV39" i="1"/>
  <c r="HO39" i="1"/>
  <c r="HN39" i="1"/>
  <c r="GX39" i="1" s="1"/>
  <c r="HF39" i="1"/>
  <c r="FE39" i="1"/>
  <c r="FN39" i="1"/>
  <c r="FO39" i="1" s="1"/>
  <c r="CZ39" i="1"/>
  <c r="AW39" i="1"/>
  <c r="V39" i="1"/>
  <c r="U39" i="1"/>
  <c r="T39" i="1"/>
  <c r="IA30" i="1"/>
  <c r="HO30" i="1"/>
  <c r="HF30" i="1"/>
  <c r="GX30" i="1"/>
  <c r="HG30" i="1" s="1"/>
  <c r="FE30" i="1"/>
  <c r="EC30" i="1"/>
  <c r="CW30" i="1"/>
  <c r="BP30" i="1"/>
  <c r="AW30" i="1"/>
  <c r="V30" i="1"/>
  <c r="U30" i="1"/>
  <c r="IA25" i="1"/>
  <c r="HO25" i="1"/>
  <c r="GY25" i="1" s="1"/>
  <c r="HF25" i="1"/>
  <c r="GX25" i="1"/>
  <c r="FE25" i="1"/>
  <c r="FN25" i="1"/>
  <c r="FO25" i="1" s="1"/>
  <c r="EC25" i="1"/>
  <c r="CW25" i="1"/>
  <c r="BP25" i="1"/>
  <c r="AW25" i="1"/>
  <c r="II25" i="1"/>
  <c r="V25" i="1"/>
  <c r="U25" i="1"/>
  <c r="T25" i="1"/>
  <c r="IA29" i="1"/>
  <c r="HO29" i="1"/>
  <c r="GY29" i="1" s="1"/>
  <c r="HF29" i="1"/>
  <c r="GX29" i="1"/>
  <c r="HG29" i="1" s="1"/>
  <c r="FE29" i="1"/>
  <c r="FN29" i="1"/>
  <c r="FO29" i="1" s="1"/>
  <c r="CW29" i="1"/>
  <c r="BP29" i="1"/>
  <c r="V29" i="1"/>
  <c r="S29" i="1"/>
  <c r="IA31" i="1"/>
  <c r="HO31" i="1"/>
  <c r="HF31" i="1"/>
  <c r="GX31" i="1"/>
  <c r="FE31" i="1"/>
  <c r="FN31" i="1"/>
  <c r="FO31" i="1" s="1"/>
  <c r="EC31" i="1"/>
  <c r="CW31" i="1"/>
  <c r="BP31" i="1"/>
  <c r="AW31" i="1"/>
  <c r="V31" i="1"/>
  <c r="U31" i="1"/>
  <c r="IA26" i="1"/>
  <c r="HO26" i="1"/>
  <c r="HF26" i="1"/>
  <c r="GX26" i="1"/>
  <c r="HG26" i="1" s="1"/>
  <c r="FE26" i="1"/>
  <c r="FN26" i="1"/>
  <c r="FO26" i="1" s="1"/>
  <c r="EC26" i="1"/>
  <c r="CW26" i="1"/>
  <c r="BP26" i="1"/>
  <c r="AW26" i="1"/>
  <c r="V26" i="1"/>
  <c r="U26" i="1"/>
  <c r="T26" i="1"/>
  <c r="IA12" i="1"/>
  <c r="HO12" i="1"/>
  <c r="HF12" i="1"/>
  <c r="FE12" i="1"/>
  <c r="FN12" i="1"/>
  <c r="FO12" i="1" s="1"/>
  <c r="EC12" i="1"/>
  <c r="CW12" i="1"/>
  <c r="AW12" i="1"/>
  <c r="V12" i="1"/>
  <c r="U12" i="1"/>
  <c r="T12" i="1"/>
  <c r="IA27" i="1"/>
  <c r="HO27" i="1"/>
  <c r="GY27" i="1" s="1"/>
  <c r="HF27" i="1"/>
  <c r="GX27" i="1"/>
  <c r="HG27" i="1" s="1"/>
  <c r="FE27" i="1"/>
  <c r="FN27" i="1"/>
  <c r="FO27" i="1" s="1"/>
  <c r="CW27" i="1"/>
  <c r="BP27" i="1"/>
  <c r="AW27" i="1"/>
  <c r="IK27" i="1"/>
  <c r="V27" i="1"/>
  <c r="U27" i="1"/>
  <c r="T27" i="1"/>
  <c r="IA22" i="1"/>
  <c r="IK22" i="1"/>
  <c r="HO22" i="1"/>
  <c r="HF22" i="1"/>
  <c r="HG22" i="1"/>
  <c r="GG22" i="1"/>
  <c r="FN22" i="1"/>
  <c r="FO22" i="1" s="1"/>
  <c r="EC22" i="1"/>
  <c r="CW22" i="1"/>
  <c r="AW22" i="1"/>
  <c r="V22" i="1"/>
  <c r="U22" i="1"/>
  <c r="HO21" i="1"/>
  <c r="HS21" i="1" s="1"/>
  <c r="HF21" i="1"/>
  <c r="HG21" i="1"/>
  <c r="GG21" i="1"/>
  <c r="FN21" i="1"/>
  <c r="FO21" i="1" s="1"/>
  <c r="EC21" i="1"/>
  <c r="CW21" i="1"/>
  <c r="HO20" i="1"/>
  <c r="HF20" i="1"/>
  <c r="GG20" i="1"/>
  <c r="FN20" i="1"/>
  <c r="FO20" i="1" s="1"/>
  <c r="EC20" i="1"/>
  <c r="CW20" i="1"/>
  <c r="AW20" i="1"/>
  <c r="U20" i="1"/>
  <c r="IA19" i="1"/>
  <c r="HO19" i="1"/>
  <c r="HS19" i="1" s="1"/>
  <c r="HF19" i="1"/>
  <c r="HG19" i="1"/>
  <c r="FN19" i="1"/>
  <c r="FO19" i="1" s="1"/>
  <c r="EC19" i="1"/>
  <c r="CW19" i="1"/>
  <c r="AW19" i="1"/>
  <c r="AT19" i="1"/>
  <c r="V19" i="1"/>
  <c r="U19" i="1"/>
  <c r="T19" i="1"/>
  <c r="HU18" i="1"/>
  <c r="IA18" i="1" s="1"/>
  <c r="HO18" i="1"/>
  <c r="HF18" i="1"/>
  <c r="FE18" i="1"/>
  <c r="FN18" i="1"/>
  <c r="FO18" i="1" s="1"/>
  <c r="EC18" i="1"/>
  <c r="CW18" i="1"/>
  <c r="AV18" i="1"/>
  <c r="W18" i="1"/>
  <c r="V18" i="1"/>
  <c r="U18" i="1"/>
  <c r="T18" i="1"/>
  <c r="HU17" i="1"/>
  <c r="IA17" i="1" s="1"/>
  <c r="HO17" i="1"/>
  <c r="HF17" i="1"/>
  <c r="HG17" i="1"/>
  <c r="FE17" i="1"/>
  <c r="FN17" i="1"/>
  <c r="FO17" i="1" s="1"/>
  <c r="EC17" i="1"/>
  <c r="CW17" i="1"/>
  <c r="AW17" i="1"/>
  <c r="AO17" i="1"/>
  <c r="V17" i="1"/>
  <c r="U17" i="1"/>
  <c r="T17" i="1"/>
  <c r="IA28" i="1"/>
  <c r="HO28" i="1"/>
  <c r="GY28" i="1" s="1"/>
  <c r="HF28" i="1"/>
  <c r="GX28" i="1"/>
  <c r="HG28" i="1" s="1"/>
  <c r="GG28" i="1"/>
  <c r="FE28" i="1"/>
  <c r="FN28" i="1"/>
  <c r="FO28" i="1" s="1"/>
  <c r="EC28" i="1"/>
  <c r="CW28" i="1"/>
  <c r="BP28" i="1"/>
  <c r="V28" i="1"/>
  <c r="IA15" i="1"/>
  <c r="HO15" i="1"/>
  <c r="HS15" i="1" s="1"/>
  <c r="HF15" i="1"/>
  <c r="HG15" i="1"/>
  <c r="FE15" i="1"/>
  <c r="FN15" i="1"/>
  <c r="FO15" i="1" s="1"/>
  <c r="EC15" i="1"/>
  <c r="CW15" i="1"/>
  <c r="AW15" i="1"/>
  <c r="AQ15" i="1"/>
  <c r="V15" i="1"/>
  <c r="U15" i="1"/>
  <c r="T15" i="1"/>
  <c r="IA14" i="1"/>
  <c r="HO14" i="1"/>
  <c r="HF14" i="1"/>
  <c r="HG14" i="1"/>
  <c r="GG14" i="1"/>
  <c r="FN14" i="1"/>
  <c r="FO14" i="1" s="1"/>
  <c r="EC14" i="1"/>
  <c r="CW14" i="1"/>
  <c r="AW14" i="1"/>
  <c r="V14" i="1"/>
  <c r="U14" i="1"/>
  <c r="T14" i="1"/>
  <c r="IA13" i="1"/>
  <c r="HO13" i="1"/>
  <c r="HF13" i="1"/>
  <c r="HG13" i="1"/>
  <c r="GG13" i="1"/>
  <c r="FN13" i="1"/>
  <c r="FO13" i="1" s="1"/>
  <c r="EC13" i="1"/>
  <c r="CW13" i="1"/>
  <c r="AW13" i="1"/>
  <c r="X13" i="1"/>
  <c r="V13" i="1"/>
  <c r="U13" i="1"/>
  <c r="T13" i="1"/>
  <c r="HU16" i="1"/>
  <c r="IA16" i="1" s="1"/>
  <c r="HO16" i="1"/>
  <c r="HF16" i="1"/>
  <c r="HG16" i="1"/>
  <c r="GG16" i="1"/>
  <c r="FN16" i="1"/>
  <c r="FO16" i="1" s="1"/>
  <c r="EC16" i="1"/>
  <c r="CW16" i="1"/>
  <c r="AW16" i="1"/>
  <c r="AU16" i="1"/>
  <c r="IK16" i="1"/>
  <c r="V16" i="1"/>
  <c r="U16" i="1"/>
  <c r="T16" i="1"/>
  <c r="HU11" i="1"/>
  <c r="IA11" i="1" s="1"/>
  <c r="HO11" i="1"/>
  <c r="HS11" i="1" s="1"/>
  <c r="HF11" i="1"/>
  <c r="HG11" i="1"/>
  <c r="FN11" i="1"/>
  <c r="FO11" i="1" s="1"/>
  <c r="EC11" i="1"/>
  <c r="CW11" i="1"/>
  <c r="AW11" i="1"/>
  <c r="AO11" i="1"/>
  <c r="V11" i="1"/>
  <c r="U11" i="1"/>
  <c r="T11" i="1"/>
  <c r="IA10" i="1"/>
  <c r="HO10" i="1"/>
  <c r="HS10" i="1" s="1"/>
  <c r="HM10" i="1"/>
  <c r="HG10" i="1"/>
  <c r="HF10" i="1"/>
  <c r="GG10" i="1"/>
  <c r="EC10" i="1"/>
  <c r="AW10" i="1"/>
  <c r="II10" i="1"/>
  <c r="V10" i="1"/>
  <c r="U10" i="1"/>
  <c r="IA9" i="1"/>
  <c r="HO9" i="1"/>
  <c r="HS9" i="1" s="1"/>
  <c r="HM9" i="1"/>
  <c r="HG9" i="1"/>
  <c r="HF9" i="1"/>
  <c r="GG9" i="1"/>
  <c r="EC9" i="1"/>
  <c r="AW9" i="1"/>
  <c r="AO9" i="1"/>
  <c r="IA8" i="1"/>
  <c r="HO8" i="1"/>
  <c r="HM8" i="1"/>
  <c r="HG8" i="1"/>
  <c r="HF8" i="1"/>
  <c r="GG8" i="1"/>
  <c r="EC8" i="1"/>
  <c r="AW8" i="1"/>
  <c r="U8" i="1"/>
  <c r="T8" i="1"/>
  <c r="IA7" i="1"/>
  <c r="HO7" i="1"/>
  <c r="HS7" i="1" s="1"/>
  <c r="HM7" i="1"/>
  <c r="HG7" i="1"/>
  <c r="HF7" i="1"/>
  <c r="GG7" i="1"/>
  <c r="EC7" i="1"/>
  <c r="V7" i="1"/>
  <c r="U7" i="1"/>
  <c r="HU6" i="1"/>
  <c r="IA6" i="1" s="1"/>
  <c r="HO6" i="1"/>
  <c r="HS6" i="1" s="1"/>
  <c r="HM6" i="1"/>
  <c r="HG6" i="1"/>
  <c r="HF6" i="1"/>
  <c r="GG6" i="1"/>
  <c r="EC6" i="1"/>
  <c r="AW6" i="1"/>
  <c r="AU6" i="1"/>
  <c r="II6" i="1"/>
  <c r="V6" i="1"/>
  <c r="U6" i="1"/>
  <c r="T6" i="1"/>
  <c r="HU5" i="1"/>
  <c r="IA5" i="1" s="1"/>
  <c r="HO5" i="1"/>
  <c r="HS5" i="1" s="1"/>
  <c r="HM5" i="1"/>
  <c r="HG5" i="1"/>
  <c r="HF5" i="1"/>
  <c r="GG5" i="1"/>
  <c r="EC5" i="1"/>
  <c r="HU4" i="1"/>
  <c r="HO4" i="1"/>
  <c r="HM4" i="1"/>
  <c r="HG4" i="1"/>
  <c r="HF4" i="1"/>
  <c r="GG4" i="1"/>
  <c r="EC4" i="1"/>
  <c r="V4" i="1"/>
  <c r="HU3" i="1"/>
  <c r="HO3" i="1"/>
  <c r="HS3" i="1" s="1"/>
  <c r="HM3" i="1"/>
  <c r="HG3" i="1"/>
  <c r="HF3" i="1"/>
  <c r="GG3" i="1"/>
  <c r="EC3" i="1"/>
  <c r="AW3" i="1"/>
  <c r="V3" i="1"/>
  <c r="U3" i="1"/>
  <c r="T3" i="1"/>
  <c r="HO2" i="1"/>
  <c r="HM2" i="1"/>
  <c r="HG2" i="1"/>
  <c r="HF2" i="1"/>
  <c r="GG2" i="1"/>
  <c r="AW2" i="1"/>
  <c r="V2" i="1"/>
  <c r="U2" i="1"/>
  <c r="T2" i="1"/>
  <c r="EC24" i="1"/>
  <c r="HG18" i="1"/>
  <c r="V8" i="1"/>
  <c r="EC23" i="1"/>
  <c r="HG20" i="1"/>
  <c r="EC40" i="1"/>
  <c r="HG12" i="1"/>
  <c r="GG62" i="1"/>
  <c r="AF47" i="1" l="1"/>
  <c r="Z47" i="1"/>
  <c r="HS64" i="1"/>
  <c r="GY64" i="1"/>
  <c r="HO131" i="1"/>
  <c r="HG25" i="1"/>
  <c r="HF62" i="1"/>
  <c r="HF131" i="1" s="1"/>
  <c r="HD131" i="1"/>
  <c r="HI132" i="1"/>
  <c r="HI131" i="1"/>
  <c r="FV28" i="1"/>
  <c r="GZ28" i="1"/>
  <c r="FV29" i="1"/>
  <c r="GZ29" i="1"/>
  <c r="FV45" i="1"/>
  <c r="GZ45" i="1"/>
  <c r="FV27" i="1"/>
  <c r="GZ27" i="1"/>
  <c r="D155" i="1"/>
  <c r="BX23" i="1"/>
  <c r="BY23" i="1" s="1"/>
  <c r="BX31" i="1"/>
  <c r="BY31" i="1" s="1"/>
  <c r="BX18" i="1"/>
  <c r="BY18" i="1" s="1"/>
  <c r="BX14" i="1"/>
  <c r="BY14" i="1" s="1"/>
  <c r="BX34" i="1"/>
  <c r="BY34" i="1" s="1"/>
  <c r="BX22" i="1"/>
  <c r="BY22" i="1" s="1"/>
  <c r="BX38" i="1"/>
  <c r="BY38" i="1" s="1"/>
  <c r="BX33" i="1"/>
  <c r="BY33" i="1" s="1"/>
  <c r="BX26" i="1"/>
  <c r="BY26" i="1" s="1"/>
  <c r="BX21" i="1"/>
  <c r="BY21" i="1" s="1"/>
  <c r="BX17" i="1"/>
  <c r="BY17" i="1" s="1"/>
  <c r="BX13" i="1"/>
  <c r="BY13" i="1" s="1"/>
  <c r="BX39" i="1"/>
  <c r="BY39" i="1" s="1"/>
  <c r="BX37" i="1"/>
  <c r="BY37" i="1" s="1"/>
  <c r="BX32" i="1"/>
  <c r="BY32" i="1" s="1"/>
  <c r="BX12" i="1"/>
  <c r="BY12" i="1" s="1"/>
  <c r="BX20" i="1"/>
  <c r="BY20" i="1" s="1"/>
  <c r="BX28" i="1"/>
  <c r="BY28" i="1" s="1"/>
  <c r="BX16" i="1"/>
  <c r="BY16" i="1" s="1"/>
  <c r="BX24" i="1"/>
  <c r="BY24" i="1" s="1"/>
  <c r="BX45" i="1"/>
  <c r="BY45" i="1" s="1"/>
  <c r="BX40" i="1"/>
  <c r="BY40" i="1" s="1"/>
  <c r="BX29" i="1"/>
  <c r="BY29" i="1" s="1"/>
  <c r="BX27" i="1"/>
  <c r="BY27" i="1" s="1"/>
  <c r="BX19" i="1"/>
  <c r="BY19" i="1" s="1"/>
  <c r="BX15" i="1"/>
  <c r="BY15" i="1" s="1"/>
  <c r="BX11" i="1"/>
  <c r="BY11" i="1" s="1"/>
  <c r="HX63" i="1"/>
  <c r="FV63" i="1"/>
  <c r="HX59" i="1"/>
  <c r="FV59" i="1"/>
  <c r="FD49" i="1"/>
  <c r="FD56" i="1"/>
  <c r="FD45" i="1"/>
  <c r="FD63" i="1"/>
  <c r="FD60" i="1"/>
  <c r="FD54" i="1"/>
  <c r="FD70" i="1"/>
  <c r="FD93" i="1"/>
  <c r="FD97" i="1"/>
  <c r="FD71" i="1"/>
  <c r="FD94" i="1"/>
  <c r="FD98" i="1"/>
  <c r="FD72" i="1"/>
  <c r="FD95" i="1"/>
  <c r="FD69" i="1"/>
  <c r="FD92" i="1"/>
  <c r="FD96" i="1"/>
  <c r="FH59" i="1"/>
  <c r="FK59" i="1" s="1"/>
  <c r="FM59" i="1" s="1"/>
  <c r="FO59" i="1" s="1"/>
  <c r="FD59" i="1"/>
  <c r="GG55" i="1"/>
  <c r="FD55" i="1"/>
  <c r="FH58" i="1"/>
  <c r="FK58" i="1" s="1"/>
  <c r="FM58" i="1" s="1"/>
  <c r="FD58" i="1"/>
  <c r="HZ128" i="1"/>
  <c r="AW18" i="1"/>
  <c r="AV131" i="1"/>
  <c r="AU131" i="1"/>
  <c r="AE45" i="1"/>
  <c r="Z45" i="1" s="1"/>
  <c r="AH131" i="1"/>
  <c r="DA39" i="1"/>
  <c r="CZ131" i="1"/>
  <c r="BP131" i="1"/>
  <c r="GG45" i="1"/>
  <c r="CX131" i="1"/>
  <c r="BW25" i="1"/>
  <c r="BX25" i="1" s="1"/>
  <c r="BY25" i="1" s="1"/>
  <c r="CW131" i="1"/>
  <c r="FH56" i="1"/>
  <c r="GG49" i="1"/>
  <c r="BT51" i="1"/>
  <c r="BV51" i="1" s="1"/>
  <c r="BS35" i="1"/>
  <c r="BV16" i="1" s="1"/>
  <c r="BT35" i="1"/>
  <c r="BW35" i="1" s="1"/>
  <c r="BX35" i="1" s="1"/>
  <c r="IA39" i="1"/>
  <c r="ID39" i="1" s="1"/>
  <c r="IC39" i="1"/>
  <c r="IB39" i="1"/>
  <c r="HS18" i="1"/>
  <c r="GY18" i="1"/>
  <c r="HS34" i="1"/>
  <c r="GY34" i="1"/>
  <c r="HS37" i="1"/>
  <c r="GY37" i="1"/>
  <c r="HS17" i="1"/>
  <c r="GY17" i="1"/>
  <c r="HS30" i="1"/>
  <c r="GY30" i="1"/>
  <c r="GZ30" i="1" s="1"/>
  <c r="HS33" i="1"/>
  <c r="GY33" i="1"/>
  <c r="GZ33" i="1" s="1"/>
  <c r="HS26" i="1"/>
  <c r="GY26" i="1"/>
  <c r="GZ26" i="1" s="1"/>
  <c r="HS12" i="1"/>
  <c r="GY12" i="1"/>
  <c r="HS25" i="1"/>
  <c r="GZ25" i="1"/>
  <c r="HS31" i="1"/>
  <c r="GY31" i="1"/>
  <c r="GZ31" i="1" s="1"/>
  <c r="HS39" i="1"/>
  <c r="GY39" i="1"/>
  <c r="GZ39" i="1" s="1"/>
  <c r="HS23" i="1"/>
  <c r="GY23" i="1"/>
  <c r="GZ23" i="1" s="1"/>
  <c r="HS24" i="1"/>
  <c r="GY24" i="1"/>
  <c r="IA66" i="1"/>
  <c r="ID66" i="1" s="1"/>
  <c r="IC66" i="1"/>
  <c r="IB66" i="1"/>
  <c r="GY67" i="1"/>
  <c r="IC67" i="1"/>
  <c r="IB67" i="1"/>
  <c r="GY65" i="1"/>
  <c r="GZ65" i="1" s="1"/>
  <c r="HS65" i="1"/>
  <c r="HX45" i="1"/>
  <c r="GY77" i="1"/>
  <c r="GZ77" i="1" s="1"/>
  <c r="HS77" i="1"/>
  <c r="IB38" i="1"/>
  <c r="IC38" i="1"/>
  <c r="HR16" i="1"/>
  <c r="HS16" i="1"/>
  <c r="GY20" i="1"/>
  <c r="HS20" i="1"/>
  <c r="HX27" i="1"/>
  <c r="HS27" i="1"/>
  <c r="HX29" i="1"/>
  <c r="HS29" i="1"/>
  <c r="GY51" i="1"/>
  <c r="GZ51" i="1" s="1"/>
  <c r="HS51" i="1"/>
  <c r="HS35" i="1"/>
  <c r="IB37" i="1"/>
  <c r="GY44" i="1"/>
  <c r="GZ44" i="1" s="1"/>
  <c r="HS44" i="1"/>
  <c r="HS47" i="1"/>
  <c r="GY56" i="1"/>
  <c r="GZ56" i="1" s="1"/>
  <c r="HS56" i="1"/>
  <c r="GY62" i="1"/>
  <c r="GZ62" i="1" s="1"/>
  <c r="HS62" i="1"/>
  <c r="GY68" i="1"/>
  <c r="HS68" i="1"/>
  <c r="HL47" i="1"/>
  <c r="IB47" i="1"/>
  <c r="IC47" i="1"/>
  <c r="HR2" i="1"/>
  <c r="HS2" i="1"/>
  <c r="GY8" i="1"/>
  <c r="HS8" i="1"/>
  <c r="GY13" i="1"/>
  <c r="HS13" i="1"/>
  <c r="GY42" i="1"/>
  <c r="GZ42" i="1" s="1"/>
  <c r="HS42" i="1"/>
  <c r="IB76" i="1"/>
  <c r="IC76" i="1"/>
  <c r="GY4" i="1"/>
  <c r="HS4" i="1"/>
  <c r="HR14" i="1"/>
  <c r="HS14" i="1"/>
  <c r="HX28" i="1"/>
  <c r="HS28" i="1"/>
  <c r="HR22" i="1"/>
  <c r="HS22" i="1"/>
  <c r="GY41" i="1"/>
  <c r="GZ41" i="1" s="1"/>
  <c r="HS41" i="1"/>
  <c r="IC50" i="1"/>
  <c r="IB50" i="1"/>
  <c r="GY73" i="1"/>
  <c r="GZ73" i="1" s="1"/>
  <c r="HS73" i="1"/>
  <c r="GG51" i="1"/>
  <c r="GG70" i="1"/>
  <c r="GG109" i="1"/>
  <c r="GG96" i="1"/>
  <c r="GG59" i="1"/>
  <c r="GG58" i="1"/>
  <c r="GG71" i="1"/>
  <c r="GG93" i="1"/>
  <c r="GG97" i="1"/>
  <c r="GG56" i="1"/>
  <c r="GG72" i="1"/>
  <c r="GG94" i="1"/>
  <c r="GG98" i="1"/>
  <c r="GG63" i="1"/>
  <c r="GG60" i="1"/>
  <c r="GG54" i="1"/>
  <c r="GG69" i="1"/>
  <c r="GG92" i="1"/>
  <c r="GG95" i="1"/>
  <c r="FH62" i="1"/>
  <c r="FH61" i="1"/>
  <c r="GY66" i="1"/>
  <c r="GZ66" i="1" s="1"/>
  <c r="HR24" i="1"/>
  <c r="HR19" i="1"/>
  <c r="GY19" i="1"/>
  <c r="GY38" i="1"/>
  <c r="GZ38" i="1" s="1"/>
  <c r="HR5" i="1"/>
  <c r="GY5" i="1"/>
  <c r="HR25" i="1"/>
  <c r="HR46" i="1"/>
  <c r="GY46" i="1"/>
  <c r="GZ46" i="1" s="1"/>
  <c r="HR33" i="1"/>
  <c r="HR26" i="1"/>
  <c r="HR31" i="1"/>
  <c r="HR34" i="1"/>
  <c r="HR37" i="1"/>
  <c r="HR47" i="1"/>
  <c r="GY47" i="1"/>
  <c r="GZ47" i="1" s="1"/>
  <c r="GY48" i="1"/>
  <c r="GZ48" i="1" s="1"/>
  <c r="HR9" i="1"/>
  <c r="GY9" i="1"/>
  <c r="HR76" i="1"/>
  <c r="GY76" i="1"/>
  <c r="IA50" i="1"/>
  <c r="ID50" i="1" s="1"/>
  <c r="HR21" i="1"/>
  <c r="GY21" i="1"/>
  <c r="GY40" i="1"/>
  <c r="GZ40" i="1" s="1"/>
  <c r="HR43" i="1"/>
  <c r="GY43" i="1"/>
  <c r="GZ43" i="1" s="1"/>
  <c r="GY61" i="1"/>
  <c r="GZ61" i="1" s="1"/>
  <c r="HR36" i="1"/>
  <c r="GY36" i="1"/>
  <c r="GZ36" i="1" s="1"/>
  <c r="EC37" i="1"/>
  <c r="EC70" i="1"/>
  <c r="FH109" i="1"/>
  <c r="FK109" i="1" s="1"/>
  <c r="FH96" i="1"/>
  <c r="FK96" i="1" s="1"/>
  <c r="FH63" i="1"/>
  <c r="FK63" i="1" s="1"/>
  <c r="FH60" i="1"/>
  <c r="FK60" i="1" s="1"/>
  <c r="FH54" i="1"/>
  <c r="FK54" i="1" s="1"/>
  <c r="FH71" i="1"/>
  <c r="FK71" i="1" s="1"/>
  <c r="EC93" i="1"/>
  <c r="EC97" i="1"/>
  <c r="FH72" i="1"/>
  <c r="FK72" i="1" s="1"/>
  <c r="FH94" i="1"/>
  <c r="FK94" i="1" s="1"/>
  <c r="EC98" i="1"/>
  <c r="FH69" i="1"/>
  <c r="FK69" i="1" s="1"/>
  <c r="FH92" i="1"/>
  <c r="FK92" i="1" s="1"/>
  <c r="FH95" i="1"/>
  <c r="FK95" i="1" s="1"/>
  <c r="AH132" i="1"/>
  <c r="AH128" i="1"/>
  <c r="IK113" i="1"/>
  <c r="II113" i="1"/>
  <c r="ID113" i="1"/>
  <c r="HC113" i="1"/>
  <c r="IK53" i="1"/>
  <c r="II53" i="1"/>
  <c r="ID53" i="1"/>
  <c r="II79" i="1"/>
  <c r="IK79" i="1"/>
  <c r="ID79" i="1"/>
  <c r="IK109" i="1"/>
  <c r="II109" i="1"/>
  <c r="HC109" i="1"/>
  <c r="ID109" i="1"/>
  <c r="II78" i="1"/>
  <c r="IK78" i="1"/>
  <c r="ID78" i="1"/>
  <c r="AR67" i="1"/>
  <c r="W67" i="1"/>
  <c r="V33" i="1"/>
  <c r="IP58" i="1"/>
  <c r="HR48" i="1"/>
  <c r="BV47" i="1"/>
  <c r="Q174" i="1"/>
  <c r="BV46" i="1"/>
  <c r="IP60" i="1"/>
  <c r="BV38" i="1"/>
  <c r="BV42" i="1"/>
  <c r="EC51" i="1"/>
  <c r="EC61" i="1"/>
  <c r="HR73" i="1"/>
  <c r="FH93" i="1"/>
  <c r="FK93" i="1" s="1"/>
  <c r="AW37" i="1"/>
  <c r="IB138" i="1"/>
  <c r="S51" i="1"/>
  <c r="IK40" i="1"/>
  <c r="BV13" i="1"/>
  <c r="W113" i="1"/>
  <c r="AO113" i="1"/>
  <c r="S113" i="1"/>
  <c r="IK21" i="1"/>
  <c r="AO21" i="1"/>
  <c r="AO34" i="1"/>
  <c r="AO77" i="1"/>
  <c r="S77" i="1"/>
  <c r="X77" i="1"/>
  <c r="AO53" i="1"/>
  <c r="S53" i="1"/>
  <c r="X53" i="1"/>
  <c r="W53" i="1"/>
  <c r="W64" i="1"/>
  <c r="AO64" i="1"/>
  <c r="S64" i="1"/>
  <c r="X64" i="1"/>
  <c r="IK73" i="1"/>
  <c r="W73" i="1"/>
  <c r="AO73" i="1"/>
  <c r="S73" i="1"/>
  <c r="X73" i="1"/>
  <c r="X52" i="1"/>
  <c r="S52" i="1"/>
  <c r="W52" i="1"/>
  <c r="AO78" i="1"/>
  <c r="S78" i="1"/>
  <c r="S79" i="1"/>
  <c r="IK65" i="1"/>
  <c r="W65" i="1"/>
  <c r="X65" i="1"/>
  <c r="AO36" i="1"/>
  <c r="S36" i="1"/>
  <c r="W36" i="1"/>
  <c r="X36" i="1"/>
  <c r="IP65" i="1"/>
  <c r="EC54" i="1"/>
  <c r="IP59" i="1"/>
  <c r="U28" i="1"/>
  <c r="T28" i="1"/>
  <c r="AW28" i="1"/>
  <c r="HR39" i="1"/>
  <c r="T45" i="1"/>
  <c r="FH98" i="1"/>
  <c r="FK98" i="1" s="1"/>
  <c r="EC69" i="1"/>
  <c r="IL59" i="1"/>
  <c r="HZ132" i="1"/>
  <c r="T29" i="1"/>
  <c r="IL65" i="1"/>
  <c r="IB141" i="1"/>
  <c r="U29" i="1"/>
  <c r="U45" i="1"/>
  <c r="HS58" i="1"/>
  <c r="T4" i="1"/>
  <c r="AW29" i="1"/>
  <c r="IB135" i="1"/>
  <c r="HR66" i="1"/>
  <c r="U4" i="1"/>
  <c r="AW4" i="1"/>
  <c r="T37" i="1"/>
  <c r="GX47" i="1"/>
  <c r="EC59" i="1"/>
  <c r="IP52" i="1"/>
  <c r="IL60" i="1"/>
  <c r="BV26" i="1"/>
  <c r="EC45" i="1"/>
  <c r="IL58" i="1"/>
  <c r="BV39" i="1"/>
  <c r="S31" i="1"/>
  <c r="BV43" i="1"/>
  <c r="HA52" i="1"/>
  <c r="EC63" i="1"/>
  <c r="HR64" i="1"/>
  <c r="IP55" i="1"/>
  <c r="X41" i="1"/>
  <c r="AS67" i="1"/>
  <c r="AR49" i="1"/>
  <c r="W44" i="1"/>
  <c r="S76" i="1"/>
  <c r="EC58" i="1"/>
  <c r="HE132" i="1"/>
  <c r="AS50" i="1"/>
  <c r="W28" i="1"/>
  <c r="BV11" i="1"/>
  <c r="IP48" i="1"/>
  <c r="BV25" i="1"/>
  <c r="HD128" i="1"/>
  <c r="S10" i="1"/>
  <c r="HJ132" i="1"/>
  <c r="S15" i="1"/>
  <c r="II67" i="1"/>
  <c r="ID49" i="1"/>
  <c r="AP76" i="1"/>
  <c r="AR15" i="1"/>
  <c r="EC56" i="1"/>
  <c r="HR40" i="1"/>
  <c r="S49" i="1"/>
  <c r="II76" i="1"/>
  <c r="IL54" i="1"/>
  <c r="AR76" i="1"/>
  <c r="II49" i="1"/>
  <c r="IK44" i="1"/>
  <c r="II16" i="1"/>
  <c r="AS44" i="1"/>
  <c r="X44" i="1"/>
  <c r="II43" i="1"/>
  <c r="AS76" i="1"/>
  <c r="W15" i="1"/>
  <c r="HD132" i="1"/>
  <c r="II40" i="1"/>
  <c r="W31" i="1"/>
  <c r="X28" i="1"/>
  <c r="S27" i="1"/>
  <c r="ID33" i="1"/>
  <c r="ID43" i="1"/>
  <c r="IK76" i="1"/>
  <c r="II52" i="1"/>
  <c r="S44" i="1"/>
  <c r="HI128" i="1"/>
  <c r="AO33" i="1"/>
  <c r="II17" i="1"/>
  <c r="W17" i="1"/>
  <c r="AR16" i="1"/>
  <c r="AO37" i="1"/>
  <c r="AQ67" i="1"/>
  <c r="AO43" i="1"/>
  <c r="ID17" i="1"/>
  <c r="EC95" i="1"/>
  <c r="IK52" i="1"/>
  <c r="IA76" i="1"/>
  <c r="ID76" i="1" s="1"/>
  <c r="W49" i="1"/>
  <c r="II44" i="1"/>
  <c r="X49" i="1"/>
  <c r="IK43" i="1"/>
  <c r="X37" i="1"/>
  <c r="HR65" i="1"/>
  <c r="IK49" i="1"/>
  <c r="AO76" i="1"/>
  <c r="IL77" i="1"/>
  <c r="ID40" i="1"/>
  <c r="IL63" i="1"/>
  <c r="II15" i="1"/>
  <c r="T31" i="1"/>
  <c r="X38" i="1"/>
  <c r="AO38" i="1"/>
  <c r="X27" i="1"/>
  <c r="AO15" i="1"/>
  <c r="BV24" i="1"/>
  <c r="GY16" i="1"/>
  <c r="X17" i="1"/>
  <c r="II31" i="1"/>
  <c r="AO28" i="1"/>
  <c r="X25" i="1"/>
  <c r="AT15" i="1"/>
  <c r="X14" i="1"/>
  <c r="S40" i="1"/>
  <c r="II28" i="1"/>
  <c r="AQ44" i="1"/>
  <c r="AO49" i="1"/>
  <c r="AO44" i="1"/>
  <c r="AS49" i="1"/>
  <c r="W38" i="1"/>
  <c r="IP56" i="1"/>
  <c r="X76" i="1"/>
  <c r="AQ49" i="1"/>
  <c r="S33" i="1"/>
  <c r="AP14" i="1"/>
  <c r="AO16" i="1"/>
  <c r="IK17" i="1"/>
  <c r="X31" i="1"/>
  <c r="AP15" i="1"/>
  <c r="AQ43" i="1"/>
  <c r="II27" i="1"/>
  <c r="HR8" i="1"/>
  <c r="W76" i="1"/>
  <c r="AO40" i="1"/>
  <c r="GY2" i="1"/>
  <c r="S38" i="1"/>
  <c r="IK31" i="1"/>
  <c r="AS28" i="1"/>
  <c r="IK6" i="1"/>
  <c r="HR29" i="1"/>
  <c r="ID6" i="1"/>
  <c r="W16" i="1"/>
  <c r="AQ16" i="1"/>
  <c r="ID31" i="1"/>
  <c r="HY146" i="1"/>
  <c r="IC146" i="1" s="1"/>
  <c r="ID47" i="1"/>
  <c r="ID36" i="1"/>
  <c r="ID41" i="1"/>
  <c r="W41" i="1"/>
  <c r="AT41" i="1"/>
  <c r="AS11" i="1"/>
  <c r="S41" i="1"/>
  <c r="S39" i="1"/>
  <c r="AO19" i="1"/>
  <c r="IK41" i="1"/>
  <c r="W47" i="1"/>
  <c r="II41" i="1"/>
  <c r="W51" i="1"/>
  <c r="AR41" i="1"/>
  <c r="AO41" i="1"/>
  <c r="IK66" i="1"/>
  <c r="ID52" i="1"/>
  <c r="ID73" i="1"/>
  <c r="IP63" i="1"/>
  <c r="IP54" i="1"/>
  <c r="IP77" i="1"/>
  <c r="HN62" i="1"/>
  <c r="HR62" i="1" s="1"/>
  <c r="II46" i="1"/>
  <c r="T51" i="1"/>
  <c r="AT39" i="1"/>
  <c r="II22" i="1"/>
  <c r="AS39" i="1"/>
  <c r="HR23" i="1"/>
  <c r="AO4" i="1"/>
  <c r="AN132" i="1"/>
  <c r="EC60" i="1"/>
  <c r="AR39" i="1"/>
  <c r="IK29" i="1"/>
  <c r="AP11" i="1"/>
  <c r="IK46" i="1"/>
  <c r="HR61" i="1"/>
  <c r="AT51" i="1"/>
  <c r="IK39" i="1"/>
  <c r="IL36" i="1"/>
  <c r="BV12" i="1"/>
  <c r="ID15" i="1"/>
  <c r="X46" i="1"/>
  <c r="IL48" i="1"/>
  <c r="IP36" i="1"/>
  <c r="II19" i="1"/>
  <c r="ID21" i="1"/>
  <c r="IK32" i="1"/>
  <c r="AT68" i="1"/>
  <c r="AQ68" i="1"/>
  <c r="AS68" i="1"/>
  <c r="IK68" i="1"/>
  <c r="W68" i="1"/>
  <c r="X68" i="1"/>
  <c r="AP68" i="1"/>
  <c r="II77" i="1"/>
  <c r="AR68" i="1"/>
  <c r="AO68" i="1"/>
  <c r="IK62" i="1"/>
  <c r="GY15" i="1"/>
  <c r="HR15" i="1"/>
  <c r="T30" i="1"/>
  <c r="S30" i="1"/>
  <c r="IK35" i="1"/>
  <c r="AP35" i="1"/>
  <c r="AR35" i="1"/>
  <c r="II38" i="1"/>
  <c r="AO24" i="1"/>
  <c r="W62" i="1"/>
  <c r="U62" i="1"/>
  <c r="T68" i="1"/>
  <c r="S68" i="1"/>
  <c r="HE128" i="1"/>
  <c r="II36" i="1"/>
  <c r="IK36" i="1"/>
  <c r="II73" i="1"/>
  <c r="X8" i="1"/>
  <c r="IK12" i="1"/>
  <c r="AO12" i="1"/>
  <c r="IK30" i="1"/>
  <c r="HR56" i="1"/>
  <c r="V66" i="1"/>
  <c r="U66" i="1"/>
  <c r="II62" i="1"/>
  <c r="X62" i="1"/>
  <c r="AP62" i="1"/>
  <c r="AR62" i="1"/>
  <c r="AR12" i="1"/>
  <c r="AQ73" i="1"/>
  <c r="IA37" i="1"/>
  <c r="ID37" i="1" s="1"/>
  <c r="W32" i="1"/>
  <c r="II68" i="1"/>
  <c r="W35" i="1"/>
  <c r="IK77" i="1"/>
  <c r="AQ62" i="1"/>
  <c r="X16" i="1"/>
  <c r="S16" i="1"/>
  <c r="X15" i="1"/>
  <c r="Q147" i="1"/>
  <c r="AO13" i="1"/>
  <c r="HR20" i="1"/>
  <c r="F237" i="1"/>
  <c r="S17" i="1"/>
  <c r="S37" i="1"/>
  <c r="IK67" i="1"/>
  <c r="ID68" i="1"/>
  <c r="ID77" i="1"/>
  <c r="ID65" i="1"/>
  <c r="ID64" i="1"/>
  <c r="F155" i="1"/>
  <c r="HY147" i="1"/>
  <c r="AO46" i="1"/>
  <c r="HN38" i="1"/>
  <c r="X29" i="1"/>
  <c r="ID46" i="1"/>
  <c r="II51" i="1"/>
  <c r="AP39" i="1"/>
  <c r="EC46" i="1"/>
  <c r="AR28" i="1"/>
  <c r="W27" i="1"/>
  <c r="S46" i="1"/>
  <c r="AR51" i="1"/>
  <c r="X40" i="1"/>
  <c r="X39" i="1"/>
  <c r="AT11" i="1"/>
  <c r="AO26" i="1"/>
  <c r="S14" i="1"/>
  <c r="W11" i="1"/>
  <c r="IK25" i="1"/>
  <c r="AO31" i="1"/>
  <c r="AT28" i="1"/>
  <c r="AQ11" i="1"/>
  <c r="ID51" i="1"/>
  <c r="GY22" i="1"/>
  <c r="II4" i="1"/>
  <c r="S3" i="1"/>
  <c r="S56" i="1"/>
  <c r="AR56" i="1"/>
  <c r="AQ66" i="1"/>
  <c r="HJ128" i="1"/>
  <c r="X48" i="1"/>
  <c r="W48" i="1"/>
  <c r="X66" i="1"/>
  <c r="W66" i="1"/>
  <c r="II3" i="1"/>
  <c r="ID48" i="1"/>
  <c r="II8" i="1"/>
  <c r="AO8" i="1"/>
  <c r="W10" i="1"/>
  <c r="HR11" i="1"/>
  <c r="HR13" i="1"/>
  <c r="HR17" i="1"/>
  <c r="AO18" i="1"/>
  <c r="S18" i="1"/>
  <c r="AP12" i="1"/>
  <c r="X12" i="1"/>
  <c r="W12" i="1"/>
  <c r="II12" i="1"/>
  <c r="AS12" i="1"/>
  <c r="HR12" i="1"/>
  <c r="AO30" i="1"/>
  <c r="HR30" i="1"/>
  <c r="AO32" i="1"/>
  <c r="X32" i="1"/>
  <c r="S32" i="1"/>
  <c r="GY32" i="1"/>
  <c r="GZ32" i="1" s="1"/>
  <c r="HR32" i="1"/>
  <c r="HN51" i="1"/>
  <c r="GX51" i="1" s="1"/>
  <c r="AS35" i="1"/>
  <c r="AQ35" i="1"/>
  <c r="AT35" i="1"/>
  <c r="X35" i="1"/>
  <c r="S35" i="1"/>
  <c r="II37" i="1"/>
  <c r="IC37" i="1"/>
  <c r="II23" i="1"/>
  <c r="IK23" i="1"/>
  <c r="ID23" i="1"/>
  <c r="II24" i="1"/>
  <c r="ID24" i="1"/>
  <c r="IK24" i="1"/>
  <c r="W61" i="1"/>
  <c r="V61" i="1"/>
  <c r="AO61" i="1"/>
  <c r="V46" i="1"/>
  <c r="W46" i="1"/>
  <c r="IL67" i="1"/>
  <c r="IP67" i="1"/>
  <c r="II65" i="1"/>
  <c r="II64" i="1"/>
  <c r="IK64" i="1"/>
  <c r="HO128" i="1"/>
  <c r="II48" i="1"/>
  <c r="X56" i="1"/>
  <c r="II18" i="1"/>
  <c r="AQ12" i="1"/>
  <c r="W3" i="1"/>
  <c r="IK48" i="1"/>
  <c r="IA3" i="1"/>
  <c r="ID3" i="1" s="1"/>
  <c r="Q145" i="1"/>
  <c r="X6" i="1"/>
  <c r="S6" i="1"/>
  <c r="AO65" i="1"/>
  <c r="S12" i="1"/>
  <c r="AO66" i="1"/>
  <c r="ID32" i="1"/>
  <c r="AO7" i="1"/>
  <c r="X11" i="1"/>
  <c r="ID28" i="1"/>
  <c r="AS14" i="1"/>
  <c r="AR11" i="1"/>
  <c r="AO27" i="1"/>
  <c r="ID35" i="1"/>
  <c r="W2" i="1"/>
  <c r="X2" i="1"/>
  <c r="IB2" i="1"/>
  <c r="S2" i="1"/>
  <c r="IK2" i="1"/>
  <c r="HR77" i="1"/>
  <c r="HG49" i="1"/>
  <c r="IL64" i="1"/>
  <c r="HR27" i="1"/>
  <c r="ID25" i="1"/>
  <c r="IP64" i="1"/>
  <c r="IP76" i="1"/>
  <c r="IL49" i="1"/>
  <c r="HA49" i="1"/>
  <c r="HL2" i="1"/>
  <c r="EC49" i="1"/>
  <c r="AS16" i="1"/>
  <c r="AT16" i="1"/>
  <c r="S13" i="1"/>
  <c r="W13" i="1"/>
  <c r="II13" i="1"/>
  <c r="IK13" i="1"/>
  <c r="ID13" i="1"/>
  <c r="AS15" i="1"/>
  <c r="IK15" i="1"/>
  <c r="II29" i="1"/>
  <c r="II39" i="1"/>
  <c r="AQ39" i="1"/>
  <c r="FH55" i="1"/>
  <c r="FK55" i="1" s="1"/>
  <c r="EC55" i="1"/>
  <c r="FH70" i="1"/>
  <c r="FK70" i="1" s="1"/>
  <c r="IA4" i="1"/>
  <c r="ID4" i="1" s="1"/>
  <c r="HU132" i="1"/>
  <c r="Q149" i="1"/>
  <c r="II11" i="1"/>
  <c r="IK11" i="1"/>
  <c r="S11" i="1"/>
  <c r="ID11" i="1"/>
  <c r="IA67" i="1"/>
  <c r="ID67" i="1" s="1"/>
  <c r="HV132" i="1"/>
  <c r="IL68" i="1"/>
  <c r="IP68" i="1"/>
  <c r="X43" i="1"/>
  <c r="EC71" i="1"/>
  <c r="HR3" i="1"/>
  <c r="AT14" i="1"/>
  <c r="AQ14" i="1"/>
  <c r="AR14" i="1"/>
  <c r="W14" i="1"/>
  <c r="II14" i="1"/>
  <c r="IK14" i="1"/>
  <c r="AO14" i="1"/>
  <c r="S28" i="1"/>
  <c r="IK28" i="1"/>
  <c r="HR28" i="1"/>
  <c r="HR18" i="1"/>
  <c r="IK19" i="1"/>
  <c r="X19" i="1"/>
  <c r="W19" i="1"/>
  <c r="AR19" i="1"/>
  <c r="II21" i="1"/>
  <c r="AO22" i="1"/>
  <c r="X22" i="1"/>
  <c r="W22" i="1"/>
  <c r="W26" i="1"/>
  <c r="II26" i="1"/>
  <c r="S26" i="1"/>
  <c r="AO29" i="1"/>
  <c r="W29" i="1"/>
  <c r="AS19" i="1"/>
  <c r="ID29" i="1"/>
  <c r="AO51" i="1"/>
  <c r="AO6" i="1"/>
  <c r="W25" i="1"/>
  <c r="Q146" i="1"/>
  <c r="T47" i="1"/>
  <c r="AT40" i="1"/>
  <c r="X51" i="1"/>
  <c r="II33" i="1"/>
  <c r="AS40" i="1"/>
  <c r="W6" i="1"/>
  <c r="AO25" i="1"/>
  <c r="Q148" i="1"/>
  <c r="Q150" i="1"/>
  <c r="II35" i="1"/>
  <c r="AS51" i="1"/>
  <c r="GY11" i="1"/>
  <c r="W40" i="1"/>
  <c r="ID14" i="1"/>
  <c r="ID12" i="1"/>
  <c r="EC72" i="1"/>
  <c r="ID10" i="1"/>
  <c r="ID27" i="1"/>
  <c r="ID44" i="1"/>
  <c r="GY3" i="1"/>
  <c r="CW132" i="1"/>
  <c r="II5" i="1"/>
  <c r="EC62" i="1"/>
  <c r="W8" i="1"/>
  <c r="ID8" i="1"/>
  <c r="HR41" i="1"/>
  <c r="AO10" i="1"/>
  <c r="X10" i="1"/>
  <c r="IK10" i="1"/>
  <c r="AO5" i="1"/>
  <c r="IK50" i="1"/>
  <c r="IK3" i="1"/>
  <c r="AO3" i="1"/>
  <c r="X3" i="1"/>
  <c r="X67" i="1"/>
  <c r="AT67" i="1"/>
  <c r="S67" i="1"/>
  <c r="HR67" i="1"/>
  <c r="HR68" i="1"/>
  <c r="Q142" i="1"/>
  <c r="Q139" i="1"/>
  <c r="Q140" i="1"/>
  <c r="HU128" i="1"/>
  <c r="Q141" i="1"/>
  <c r="T10" i="1"/>
  <c r="ID9" i="1"/>
  <c r="IK8" i="1"/>
  <c r="IK5" i="1"/>
  <c r="IK9" i="1"/>
  <c r="II9" i="1"/>
  <c r="ID30" i="1"/>
  <c r="X30" i="1"/>
  <c r="W30" i="1"/>
  <c r="II30" i="1"/>
  <c r="IK56" i="1"/>
  <c r="II56" i="1"/>
  <c r="AS56" i="1"/>
  <c r="AO56" i="1"/>
  <c r="ID56" i="1"/>
  <c r="AP56" i="1"/>
  <c r="W56" i="1"/>
  <c r="AQ56" i="1"/>
  <c r="S66" i="1"/>
  <c r="AS66" i="1"/>
  <c r="AR66" i="1"/>
  <c r="II66" i="1"/>
  <c r="HR10" i="1"/>
  <c r="GY10" i="1"/>
  <c r="HR44" i="1"/>
  <c r="GY14" i="1"/>
  <c r="AO2" i="1"/>
  <c r="W39" i="1"/>
  <c r="U61" i="1"/>
  <c r="IA38" i="1"/>
  <c r="ID38" i="1" s="1"/>
  <c r="IK38" i="1"/>
  <c r="S8" i="1"/>
  <c r="S25" i="1"/>
  <c r="W33" i="1"/>
  <c r="X33" i="1"/>
  <c r="T22" i="1"/>
  <c r="S22" i="1"/>
  <c r="HR35" i="1"/>
  <c r="GX45" i="1"/>
  <c r="HR45" i="1"/>
  <c r="AT61" i="1"/>
  <c r="AS61" i="1"/>
  <c r="II61" i="1"/>
  <c r="IK61" i="1"/>
  <c r="ID61" i="1"/>
  <c r="AP50" i="1"/>
  <c r="S50" i="1"/>
  <c r="AQ50" i="1"/>
  <c r="AR50" i="1"/>
  <c r="W50" i="1"/>
  <c r="II50" i="1"/>
  <c r="X50" i="1"/>
  <c r="AO50" i="1"/>
  <c r="AD161" i="1"/>
  <c r="E237" i="1"/>
  <c r="GY6" i="1"/>
  <c r="HR6" i="1"/>
  <c r="HO132" i="1"/>
  <c r="T7" i="1"/>
  <c r="S7" i="1"/>
  <c r="II7" i="1"/>
  <c r="AS7" i="1"/>
  <c r="IK7" i="1"/>
  <c r="X7" i="1"/>
  <c r="W7" i="1"/>
  <c r="AR7" i="1"/>
  <c r="T20" i="1"/>
  <c r="II20" i="1"/>
  <c r="ID20" i="1"/>
  <c r="IK20" i="1"/>
  <c r="AO20" i="1"/>
  <c r="BV40" i="1"/>
  <c r="HG31" i="1"/>
  <c r="ID2" i="1"/>
  <c r="II2" i="1"/>
  <c r="ID5" i="1"/>
  <c r="AT12" i="1"/>
  <c r="ID26" i="1"/>
  <c r="X26" i="1"/>
  <c r="IK26" i="1"/>
  <c r="AO39" i="1"/>
  <c r="W43" i="1"/>
  <c r="HR4" i="1"/>
  <c r="ID19" i="1"/>
  <c r="S19" i="1"/>
  <c r="IK34" i="1"/>
  <c r="ID34" i="1"/>
  <c r="IP66" i="1"/>
  <c r="IL66" i="1"/>
  <c r="HM62" i="1"/>
  <c r="HM131" i="1" s="1"/>
  <c r="I155" i="1"/>
  <c r="G155" i="1"/>
  <c r="EC96" i="1"/>
  <c r="ID7" i="1"/>
  <c r="IL55" i="1"/>
  <c r="EC94" i="1"/>
  <c r="S4" i="1"/>
  <c r="IK4" i="1"/>
  <c r="II34" i="1"/>
  <c r="IK37" i="1"/>
  <c r="HR7" i="1"/>
  <c r="GY7" i="1"/>
  <c r="IK18" i="1"/>
  <c r="X18" i="1"/>
  <c r="HV128" i="1"/>
  <c r="W4" i="1"/>
  <c r="X4" i="1"/>
  <c r="ID18" i="1"/>
  <c r="ID16" i="1"/>
  <c r="EC41" i="1"/>
  <c r="BV41" i="1"/>
  <c r="ID62" i="1"/>
  <c r="ID22" i="1"/>
  <c r="G237" i="1"/>
  <c r="C228" i="1"/>
  <c r="AE161" i="1"/>
  <c r="D237" i="1"/>
  <c r="H155" i="1"/>
  <c r="BV31" i="1"/>
  <c r="P161" i="1"/>
  <c r="J155" i="1"/>
  <c r="C237" i="1"/>
  <c r="FH97" i="1"/>
  <c r="FK97" i="1" s="1"/>
  <c r="EC92" i="1"/>
  <c r="AF45" i="1" l="1"/>
  <c r="HM132" i="1"/>
  <c r="GG131" i="1"/>
  <c r="GX38" i="1"/>
  <c r="HA38" i="1" s="1"/>
  <c r="HN131" i="1"/>
  <c r="GZ2" i="1"/>
  <c r="GZ37" i="1"/>
  <c r="HB37" i="1"/>
  <c r="HX3" i="1"/>
  <c r="GZ3" i="1"/>
  <c r="HX11" i="1"/>
  <c r="GZ11" i="1"/>
  <c r="HX7" i="1"/>
  <c r="GZ7" i="1"/>
  <c r="HX14" i="1"/>
  <c r="GZ14" i="1"/>
  <c r="HX9" i="1"/>
  <c r="GZ9" i="1"/>
  <c r="FV64" i="1"/>
  <c r="GZ64" i="1"/>
  <c r="HX19" i="1"/>
  <c r="GZ19" i="1"/>
  <c r="HX13" i="1"/>
  <c r="GZ13" i="1"/>
  <c r="HX12" i="1"/>
  <c r="GZ12" i="1"/>
  <c r="HX17" i="1"/>
  <c r="GZ17" i="1"/>
  <c r="HX34" i="1"/>
  <c r="GZ34" i="1"/>
  <c r="HX15" i="1"/>
  <c r="GZ15" i="1"/>
  <c r="HX76" i="1"/>
  <c r="GZ76" i="1"/>
  <c r="HX5" i="1"/>
  <c r="GZ5" i="1"/>
  <c r="HX68" i="1"/>
  <c r="GZ68" i="1"/>
  <c r="HX6" i="1"/>
  <c r="GZ6" i="1"/>
  <c r="HX10" i="1"/>
  <c r="GZ10" i="1"/>
  <c r="HX22" i="1"/>
  <c r="GZ22" i="1"/>
  <c r="HX16" i="1"/>
  <c r="GZ16" i="1"/>
  <c r="HX21" i="1"/>
  <c r="GZ21" i="1"/>
  <c r="HX4" i="1"/>
  <c r="GZ4" i="1"/>
  <c r="HX8" i="1"/>
  <c r="GZ8" i="1"/>
  <c r="HX20" i="1"/>
  <c r="GZ20" i="1"/>
  <c r="HX67" i="1"/>
  <c r="GZ67" i="1"/>
  <c r="HX24" i="1"/>
  <c r="GZ24" i="1"/>
  <c r="HX18" i="1"/>
  <c r="GZ18" i="1"/>
  <c r="HX38" i="1"/>
  <c r="FV38" i="1"/>
  <c r="HX66" i="1"/>
  <c r="FV66" i="1"/>
  <c r="HX36" i="1"/>
  <c r="FV36" i="1"/>
  <c r="HX44" i="1"/>
  <c r="FV44" i="1"/>
  <c r="HX51" i="1"/>
  <c r="FV51" i="1"/>
  <c r="HX77" i="1"/>
  <c r="FV77" i="1"/>
  <c r="HX23" i="1"/>
  <c r="FV23" i="1"/>
  <c r="HX31" i="1"/>
  <c r="FV31" i="1"/>
  <c r="HX33" i="1"/>
  <c r="HX43" i="1"/>
  <c r="FV43" i="1"/>
  <c r="HX62" i="1"/>
  <c r="FV62" i="1"/>
  <c r="HX65" i="1"/>
  <c r="FV65" i="1"/>
  <c r="HA40" i="1"/>
  <c r="FV40" i="1"/>
  <c r="HX48" i="1"/>
  <c r="FV48" i="1"/>
  <c r="HX46" i="1"/>
  <c r="FV46" i="1"/>
  <c r="HX56" i="1"/>
  <c r="FV56" i="1"/>
  <c r="HX32" i="1"/>
  <c r="FV32" i="1"/>
  <c r="HX61" i="1"/>
  <c r="FV61" i="1"/>
  <c r="HX47" i="1"/>
  <c r="FV47" i="1"/>
  <c r="HX73" i="1"/>
  <c r="FV73" i="1"/>
  <c r="HX41" i="1"/>
  <c r="FV41" i="1"/>
  <c r="HX42" i="1"/>
  <c r="FV42" i="1"/>
  <c r="IL39" i="1"/>
  <c r="FV39" i="1"/>
  <c r="HX25" i="1"/>
  <c r="FV25" i="1"/>
  <c r="HX26" i="1"/>
  <c r="FV26" i="1"/>
  <c r="HX30" i="1"/>
  <c r="FV30" i="1"/>
  <c r="HX37" i="1"/>
  <c r="FV37" i="1"/>
  <c r="BY35" i="1"/>
  <c r="AW131" i="1"/>
  <c r="FD131" i="1"/>
  <c r="FM56" i="1"/>
  <c r="FO56" i="1" s="1"/>
  <c r="FO58" i="1"/>
  <c r="FM49" i="1"/>
  <c r="ID45" i="1"/>
  <c r="ID128" i="1" s="1"/>
  <c r="D220" i="1"/>
  <c r="D224" i="1"/>
  <c r="IB45" i="1"/>
  <c r="IB128" i="1" s="1"/>
  <c r="FM96" i="1"/>
  <c r="FO96" i="1" s="1"/>
  <c r="D218" i="1"/>
  <c r="D219" i="1"/>
  <c r="HU146" i="1"/>
  <c r="IB146" i="1" s="1"/>
  <c r="HU149" i="1"/>
  <c r="IB149" i="1" s="1"/>
  <c r="FM70" i="1"/>
  <c r="FO70" i="1" s="1"/>
  <c r="AO45" i="1"/>
  <c r="W45" i="1"/>
  <c r="FM98" i="1"/>
  <c r="FO98" i="1" s="1"/>
  <c r="FM93" i="1"/>
  <c r="FO93" i="1" s="1"/>
  <c r="FM95" i="1"/>
  <c r="FO95" i="1" s="1"/>
  <c r="FM69" i="1"/>
  <c r="FO69" i="1" s="1"/>
  <c r="FM94" i="1"/>
  <c r="FO94" i="1" s="1"/>
  <c r="FM54" i="1"/>
  <c r="FO54" i="1" s="1"/>
  <c r="FM63" i="1"/>
  <c r="FO63" i="1" s="1"/>
  <c r="IC45" i="1"/>
  <c r="IC128" i="1" s="1"/>
  <c r="D226" i="1"/>
  <c r="D227" i="1"/>
  <c r="D225" i="1"/>
  <c r="HU147" i="1"/>
  <c r="IB147" i="1" s="1"/>
  <c r="X45" i="1"/>
  <c r="FM109" i="1"/>
  <c r="FO109" i="1" s="1"/>
  <c r="HL45" i="1"/>
  <c r="HL131" i="1" s="1"/>
  <c r="HS45" i="1"/>
  <c r="HS131" i="1" s="1"/>
  <c r="FM97" i="1"/>
  <c r="FO97" i="1" s="1"/>
  <c r="D221" i="1"/>
  <c r="D223" i="1"/>
  <c r="FM55" i="1"/>
  <c r="FO55" i="1" s="1"/>
  <c r="IH45" i="1"/>
  <c r="IH128" i="1" s="1"/>
  <c r="FM92" i="1"/>
  <c r="FM72" i="1"/>
  <c r="FO72" i="1" s="1"/>
  <c r="FM71" i="1"/>
  <c r="FO71" i="1" s="1"/>
  <c r="FM60" i="1"/>
  <c r="FO60" i="1" s="1"/>
  <c r="BW56" i="1"/>
  <c r="BX56" i="1" s="1"/>
  <c r="BY56" i="1" s="1"/>
  <c r="AE131" i="1"/>
  <c r="AT131" i="1"/>
  <c r="AP131" i="1"/>
  <c r="AR131" i="1"/>
  <c r="BW49" i="1"/>
  <c r="BX49" i="1" s="1"/>
  <c r="BY49" i="1" s="1"/>
  <c r="BT131" i="1"/>
  <c r="AQ131" i="1"/>
  <c r="AS131" i="1"/>
  <c r="BW51" i="1"/>
  <c r="BX51" i="1" s="1"/>
  <c r="BY51" i="1" s="1"/>
  <c r="BV70" i="1"/>
  <c r="BW70" i="1"/>
  <c r="BX70" i="1" s="1"/>
  <c r="BY70" i="1" s="1"/>
  <c r="BV97" i="1"/>
  <c r="BW97" i="1"/>
  <c r="BX97" i="1" s="1"/>
  <c r="BY97" i="1" s="1"/>
  <c r="BV92" i="1"/>
  <c r="BW92" i="1"/>
  <c r="BX92" i="1" s="1"/>
  <c r="BY92" i="1" s="1"/>
  <c r="BV58" i="1"/>
  <c r="BW58" i="1"/>
  <c r="BX58" i="1" s="1"/>
  <c r="BY58" i="1" s="1"/>
  <c r="BV72" i="1"/>
  <c r="BW72" i="1"/>
  <c r="BX72" i="1" s="1"/>
  <c r="BY72" i="1" s="1"/>
  <c r="BV54" i="1"/>
  <c r="BW54" i="1"/>
  <c r="BX54" i="1" s="1"/>
  <c r="BY54" i="1" s="1"/>
  <c r="BV63" i="1"/>
  <c r="BW63" i="1"/>
  <c r="BX63" i="1" s="1"/>
  <c r="BY63" i="1" s="1"/>
  <c r="BV96" i="1"/>
  <c r="BW96" i="1"/>
  <c r="BX96" i="1" s="1"/>
  <c r="BY96" i="1" s="1"/>
  <c r="IP51" i="1"/>
  <c r="BV93" i="1"/>
  <c r="BW93" i="1"/>
  <c r="BX93" i="1" s="1"/>
  <c r="BY93" i="1" s="1"/>
  <c r="BV95" i="1"/>
  <c r="BW95" i="1"/>
  <c r="BX95" i="1" s="1"/>
  <c r="BY95" i="1" s="1"/>
  <c r="BV69" i="1"/>
  <c r="BW69" i="1"/>
  <c r="BX69" i="1" s="1"/>
  <c r="BY69" i="1" s="1"/>
  <c r="BV59" i="1"/>
  <c r="BW59" i="1"/>
  <c r="BX59" i="1" s="1"/>
  <c r="BY59" i="1" s="1"/>
  <c r="BV94" i="1"/>
  <c r="BW94" i="1"/>
  <c r="BX94" i="1" s="1"/>
  <c r="BY94" i="1" s="1"/>
  <c r="BV71" i="1"/>
  <c r="BW71" i="1"/>
  <c r="BX71" i="1" s="1"/>
  <c r="BY71" i="1" s="1"/>
  <c r="BV60" i="1"/>
  <c r="BW60" i="1"/>
  <c r="BX60" i="1" s="1"/>
  <c r="BY60" i="1" s="1"/>
  <c r="BV109" i="1"/>
  <c r="BW109" i="1"/>
  <c r="BX109" i="1" s="1"/>
  <c r="BY109" i="1" s="1"/>
  <c r="BV55" i="1"/>
  <c r="BW55" i="1"/>
  <c r="BX55" i="1" s="1"/>
  <c r="BY55" i="1" s="1"/>
  <c r="HA13" i="1"/>
  <c r="HG65" i="1"/>
  <c r="BV98" i="1"/>
  <c r="BW98" i="1"/>
  <c r="BX98" i="1" s="1"/>
  <c r="BY98" i="1" s="1"/>
  <c r="HA20" i="1"/>
  <c r="HX39" i="1"/>
  <c r="IL20" i="1"/>
  <c r="IP20" i="1"/>
  <c r="IP8" i="1"/>
  <c r="IL4" i="1"/>
  <c r="HA65" i="1"/>
  <c r="HG42" i="1"/>
  <c r="IL13" i="1"/>
  <c r="IP13" i="1"/>
  <c r="IL29" i="1"/>
  <c r="HB44" i="1"/>
  <c r="HA8" i="1"/>
  <c r="HA4" i="1"/>
  <c r="HA28" i="1"/>
  <c r="HA67" i="1"/>
  <c r="IL8" i="1"/>
  <c r="IP4" i="1"/>
  <c r="IL28" i="1"/>
  <c r="HB77" i="1"/>
  <c r="HC27" i="1"/>
  <c r="HB65" i="1"/>
  <c r="HB27" i="1"/>
  <c r="HB45" i="1"/>
  <c r="HC20" i="1"/>
  <c r="HB62" i="1"/>
  <c r="HB42" i="1"/>
  <c r="IP28" i="1"/>
  <c r="HB51" i="1"/>
  <c r="HC4" i="1"/>
  <c r="HC51" i="1"/>
  <c r="HB56" i="1"/>
  <c r="HC13" i="1"/>
  <c r="HB68" i="1"/>
  <c r="HC56" i="1"/>
  <c r="HC68" i="1"/>
  <c r="HB20" i="1"/>
  <c r="HG62" i="1"/>
  <c r="HC62" i="1"/>
  <c r="GX62" i="1"/>
  <c r="HA62" i="1" s="1"/>
  <c r="IP62" i="1"/>
  <c r="IL62" i="1"/>
  <c r="HB67" i="1"/>
  <c r="HG36" i="1"/>
  <c r="HB73" i="1"/>
  <c r="HB4" i="1"/>
  <c r="HB28" i="1"/>
  <c r="HB8" i="1"/>
  <c r="HB41" i="1"/>
  <c r="HB29" i="1"/>
  <c r="IP73" i="1"/>
  <c r="HC28" i="1"/>
  <c r="HC41" i="1"/>
  <c r="HC29" i="1"/>
  <c r="HG40" i="1"/>
  <c r="HX40" i="1"/>
  <c r="HA64" i="1"/>
  <c r="HX64" i="1"/>
  <c r="HC44" i="1"/>
  <c r="HC67" i="1"/>
  <c r="HC8" i="1"/>
  <c r="HC45" i="1"/>
  <c r="HC73" i="1"/>
  <c r="HC42" i="1"/>
  <c r="HC65" i="1"/>
  <c r="HC77" i="1"/>
  <c r="HB13" i="1"/>
  <c r="IP40" i="1"/>
  <c r="HC11" i="1"/>
  <c r="HB11" i="1"/>
  <c r="HB32" i="1"/>
  <c r="HC32" i="1"/>
  <c r="IL17" i="1"/>
  <c r="HB17" i="1"/>
  <c r="HC17" i="1"/>
  <c r="HC16" i="1"/>
  <c r="HB16" i="1"/>
  <c r="IL40" i="1"/>
  <c r="HC40" i="1"/>
  <c r="HB40" i="1"/>
  <c r="HC9" i="1"/>
  <c r="HB9" i="1"/>
  <c r="HC31" i="1"/>
  <c r="HB31" i="1"/>
  <c r="HC23" i="1"/>
  <c r="HB23" i="1"/>
  <c r="HG64" i="1"/>
  <c r="HC64" i="1"/>
  <c r="HB64" i="1"/>
  <c r="HC37" i="1"/>
  <c r="IL15" i="1"/>
  <c r="HC15" i="1"/>
  <c r="HB15" i="1"/>
  <c r="HG61" i="1"/>
  <c r="HC61" i="1"/>
  <c r="HB61" i="1"/>
  <c r="IP30" i="1"/>
  <c r="HC30" i="1"/>
  <c r="HB30" i="1"/>
  <c r="HB33" i="1"/>
  <c r="HC33" i="1"/>
  <c r="IP25" i="1"/>
  <c r="HB25" i="1"/>
  <c r="HC25" i="1"/>
  <c r="HC5" i="1"/>
  <c r="HB5" i="1"/>
  <c r="IP19" i="1"/>
  <c r="HC19" i="1"/>
  <c r="HB19" i="1"/>
  <c r="HC66" i="1"/>
  <c r="HB66" i="1"/>
  <c r="HC6" i="1"/>
  <c r="HB6" i="1"/>
  <c r="HC18" i="1"/>
  <c r="HB18" i="1"/>
  <c r="HB12" i="1"/>
  <c r="HC12" i="1"/>
  <c r="HA43" i="1"/>
  <c r="HC43" i="1"/>
  <c r="HB43" i="1"/>
  <c r="IL21" i="1"/>
  <c r="HC21" i="1"/>
  <c r="HB21" i="1"/>
  <c r="HB76" i="1"/>
  <c r="HC76" i="1"/>
  <c r="HG48" i="1"/>
  <c r="HC48" i="1"/>
  <c r="HB48" i="1"/>
  <c r="HC34" i="1"/>
  <c r="HB34" i="1"/>
  <c r="HA26" i="1"/>
  <c r="HC26" i="1"/>
  <c r="HB26" i="1"/>
  <c r="HC39" i="1"/>
  <c r="HB39" i="1"/>
  <c r="HB14" i="1"/>
  <c r="HC14" i="1"/>
  <c r="HC3" i="1"/>
  <c r="HB3" i="1"/>
  <c r="HC7" i="1"/>
  <c r="HB7" i="1"/>
  <c r="HC10" i="1"/>
  <c r="HB10" i="1"/>
  <c r="HC22" i="1"/>
  <c r="HB22" i="1"/>
  <c r="HC36" i="1"/>
  <c r="HB36" i="1"/>
  <c r="HC47" i="1"/>
  <c r="HB47" i="1"/>
  <c r="IP46" i="1"/>
  <c r="HB46" i="1"/>
  <c r="HC46" i="1"/>
  <c r="IL38" i="1"/>
  <c r="HC38" i="1"/>
  <c r="HB38" i="1"/>
  <c r="HC24" i="1"/>
  <c r="HB24" i="1"/>
  <c r="V20" i="1"/>
  <c r="HA29" i="1"/>
  <c r="IP29" i="1"/>
  <c r="IA128" i="1"/>
  <c r="HA48" i="1"/>
  <c r="HA73" i="1"/>
  <c r="HG73" i="1"/>
  <c r="IP61" i="1"/>
  <c r="HA61" i="1"/>
  <c r="IL61" i="1"/>
  <c r="IL23" i="1"/>
  <c r="IP23" i="1"/>
  <c r="HA23" i="1"/>
  <c r="D222" i="1"/>
  <c r="DA35" i="1"/>
  <c r="IK47" i="1"/>
  <c r="IK128" i="1" s="1"/>
  <c r="II47" i="1"/>
  <c r="II128" i="1" s="1"/>
  <c r="S47" i="1"/>
  <c r="AO47" i="1"/>
  <c r="BV35" i="1"/>
  <c r="V23" i="1"/>
  <c r="BV45" i="1"/>
  <c r="AE134" i="1"/>
  <c r="X47" i="1"/>
  <c r="ID132" i="1"/>
  <c r="Q173" i="1"/>
  <c r="C155" i="1"/>
  <c r="IL42" i="1"/>
  <c r="IP42" i="1"/>
  <c r="BV56" i="1"/>
  <c r="BV49" i="1"/>
  <c r="HX2" i="1"/>
  <c r="I157" i="1"/>
  <c r="Q178" i="1"/>
  <c r="J157" i="1"/>
  <c r="Q179" i="1"/>
  <c r="D157" i="1"/>
  <c r="H157" i="1"/>
  <c r="Q177" i="1"/>
  <c r="G157" i="1"/>
  <c r="Q176" i="1"/>
  <c r="F157" i="1"/>
  <c r="Q175" i="1"/>
  <c r="BV44" i="1"/>
  <c r="HA32" i="1"/>
  <c r="HA45" i="1"/>
  <c r="IP45" i="1"/>
  <c r="HG45" i="1"/>
  <c r="IP38" i="1"/>
  <c r="HG38" i="1"/>
  <c r="HG67" i="1"/>
  <c r="HN128" i="1"/>
  <c r="HA31" i="1"/>
  <c r="IL2" i="1"/>
  <c r="HM128" i="1"/>
  <c r="HA9" i="1"/>
  <c r="HA51" i="1"/>
  <c r="IP17" i="1"/>
  <c r="HA17" i="1"/>
  <c r="IL32" i="1"/>
  <c r="IP32" i="1"/>
  <c r="HA19" i="1"/>
  <c r="HN132" i="1"/>
  <c r="HB2" i="1"/>
  <c r="HA36" i="1"/>
  <c r="HG56" i="1"/>
  <c r="HA56" i="1"/>
  <c r="HR38" i="1"/>
  <c r="IP39" i="1"/>
  <c r="IL26" i="1"/>
  <c r="IA132" i="1"/>
  <c r="HG76" i="1"/>
  <c r="HA76" i="1"/>
  <c r="HA25" i="1"/>
  <c r="HG39" i="1"/>
  <c r="HA16" i="1"/>
  <c r="IP21" i="1"/>
  <c r="IP16" i="1"/>
  <c r="IL19" i="1"/>
  <c r="HC2" i="1"/>
  <c r="IP2" i="1"/>
  <c r="HA2" i="1"/>
  <c r="HA21" i="1"/>
  <c r="IL34" i="1"/>
  <c r="IP34" i="1"/>
  <c r="IL22" i="1"/>
  <c r="HA34" i="1"/>
  <c r="HF132" i="1"/>
  <c r="HA15" i="1"/>
  <c r="IP26" i="1"/>
  <c r="IL33" i="1"/>
  <c r="IL31" i="1"/>
  <c r="IP31" i="1"/>
  <c r="IL16" i="1"/>
  <c r="HR51" i="1"/>
  <c r="IP15" i="1"/>
  <c r="IL25" i="1"/>
  <c r="HG43" i="1"/>
  <c r="IL37" i="1"/>
  <c r="IP9" i="1"/>
  <c r="IL46" i="1"/>
  <c r="IL5" i="1"/>
  <c r="HA30" i="1"/>
  <c r="IP22" i="1"/>
  <c r="HA22" i="1"/>
  <c r="HA33" i="1"/>
  <c r="IP33" i="1"/>
  <c r="IP12" i="1"/>
  <c r="IL12" i="1"/>
  <c r="HA12" i="1"/>
  <c r="IP37" i="1"/>
  <c r="HG37" i="1"/>
  <c r="HA37" i="1"/>
  <c r="HG51" i="1"/>
  <c r="IL51" i="1"/>
  <c r="IL30" i="1"/>
  <c r="IP5" i="1"/>
  <c r="IL27" i="1"/>
  <c r="HA27" i="1"/>
  <c r="IP27" i="1"/>
  <c r="HA77" i="1"/>
  <c r="HG77" i="1"/>
  <c r="IP43" i="1"/>
  <c r="IL43" i="1"/>
  <c r="HG46" i="1"/>
  <c r="IL9" i="1"/>
  <c r="HA46" i="1"/>
  <c r="HA11" i="1"/>
  <c r="IL11" i="1"/>
  <c r="IP11" i="1"/>
  <c r="HA66" i="1"/>
  <c r="HG66" i="1"/>
  <c r="HA39" i="1"/>
  <c r="HA5" i="1"/>
  <c r="HA18" i="1"/>
  <c r="IP18" i="1"/>
  <c r="IL18" i="1"/>
  <c r="HA24" i="1"/>
  <c r="IP24" i="1"/>
  <c r="IL24" i="1"/>
  <c r="HA3" i="1"/>
  <c r="IP3" i="1"/>
  <c r="IL3" i="1"/>
  <c r="IP10" i="1"/>
  <c r="IL10" i="1"/>
  <c r="HA10" i="1"/>
  <c r="IP14" i="1"/>
  <c r="IL14" i="1"/>
  <c r="HA14" i="1"/>
  <c r="HG68" i="1"/>
  <c r="HA68" i="1"/>
  <c r="IL41" i="1"/>
  <c r="HA41" i="1"/>
  <c r="IP41" i="1"/>
  <c r="HG41" i="1"/>
  <c r="IL44" i="1"/>
  <c r="IP44" i="1"/>
  <c r="HA44" i="1"/>
  <c r="HG44" i="1"/>
  <c r="IP47" i="1"/>
  <c r="IL47" i="1"/>
  <c r="HG47" i="1"/>
  <c r="IL6" i="1"/>
  <c r="IP6" i="1"/>
  <c r="HA6" i="1"/>
  <c r="IP7" i="1"/>
  <c r="HA7" i="1"/>
  <c r="IL7" i="1"/>
  <c r="HR131" i="1" l="1"/>
  <c r="C157" i="1"/>
  <c r="AO131" i="1"/>
  <c r="BY131" i="1"/>
  <c r="BX131" i="1"/>
  <c r="FO92" i="1"/>
  <c r="FO49" i="1"/>
  <c r="FM131" i="1"/>
  <c r="D228" i="1"/>
  <c r="IH132" i="1"/>
  <c r="II132" i="1" s="1"/>
  <c r="IL45" i="1"/>
  <c r="BW131" i="1"/>
  <c r="DA131" i="1"/>
  <c r="X23" i="1"/>
  <c r="W20" i="1"/>
  <c r="S20" i="1"/>
  <c r="X20" i="1"/>
  <c r="Y135" i="1" s="1"/>
  <c r="AO132" i="1"/>
  <c r="H135" i="1"/>
  <c r="HS132" i="1"/>
  <c r="U133" i="1"/>
  <c r="AH133" i="1"/>
  <c r="AG133" i="1"/>
  <c r="IC132" i="1"/>
  <c r="HL132" i="1"/>
  <c r="IB132" i="1"/>
  <c r="BV50" i="1"/>
  <c r="BV131" i="1" s="1"/>
  <c r="HR128" i="1"/>
  <c r="HR132" i="1"/>
  <c r="FO131" i="1" l="1"/>
  <c r="IK132" i="1"/>
  <c r="IO50" i="1"/>
  <c r="GY50" i="1" l="1"/>
  <c r="GX50" i="1"/>
  <c r="FV50" i="1" l="1"/>
  <c r="GZ50" i="1"/>
  <c r="IL50" i="1"/>
  <c r="HC50" i="1"/>
  <c r="HG50" i="1"/>
  <c r="HA50" i="1"/>
  <c r="IP50" i="1"/>
  <c r="HB50" i="1"/>
  <c r="HX50" i="1"/>
  <c r="IO35" i="1" l="1"/>
  <c r="GY35" i="1" l="1"/>
  <c r="IO128" i="1"/>
  <c r="GX35" i="1"/>
  <c r="GX131" i="1" s="1"/>
  <c r="IO132" i="1"/>
  <c r="GZ35" i="1" l="1"/>
  <c r="GZ131" i="1" s="1"/>
  <c r="GY131" i="1"/>
  <c r="FV35" i="1"/>
  <c r="FV33" i="1"/>
  <c r="GX132" i="1"/>
  <c r="GX128" i="1"/>
  <c r="IL35" i="1"/>
  <c r="IL128" i="1" s="1"/>
  <c r="GY132" i="1"/>
  <c r="HB35" i="1"/>
  <c r="HB131" i="1" s="1"/>
  <c r="HC35" i="1"/>
  <c r="HC131" i="1" s="1"/>
  <c r="HG35" i="1"/>
  <c r="HG131" i="1" s="1"/>
  <c r="GY128" i="1"/>
  <c r="HA35" i="1"/>
  <c r="HA131" i="1" s="1"/>
  <c r="IP35" i="1"/>
  <c r="HX35" i="1"/>
  <c r="HX128" i="1" s="1"/>
  <c r="FV131" i="1" l="1"/>
  <c r="IP128" i="1"/>
  <c r="IP132" i="1"/>
  <c r="GY136" i="1"/>
  <c r="GY135" i="1"/>
  <c r="HB132" i="1"/>
  <c r="HC132" i="1"/>
  <c r="HA128" i="1"/>
  <c r="HA132" i="1"/>
  <c r="HU133" i="1"/>
  <c r="HI133" i="1"/>
  <c r="GY137" i="1" l="1"/>
</calcChain>
</file>

<file path=xl/comments1.xml><?xml version="1.0" encoding="utf-8"?>
<comments xmlns="http://schemas.openxmlformats.org/spreadsheetml/2006/main">
  <authors>
    <author>Nathalie BLANDINO</author>
  </authors>
  <commentList>
    <comment ref="GX11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2 368 881</t>
        </r>
      </text>
    </comment>
    <comment ref="IO1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HT19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2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JM35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28/08/17</t>
        </r>
      </text>
    </comment>
    <comment ref="JO40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JQ40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JK41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07/09/17</t>
        </r>
      </text>
    </comment>
    <comment ref="JK4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01/09/17</t>
        </r>
      </text>
    </comment>
    <comment ref="JJ4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terrassements</t>
        </r>
      </text>
    </comment>
    <comment ref="JK4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09/10/17</t>
        </r>
      </text>
    </comment>
    <comment ref="HE51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assiette défisc</t>
        </r>
      </text>
    </comment>
    <comment ref="JP51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partie</t>
        </r>
      </text>
    </comment>
    <comment ref="ET5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JO5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AN6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EM6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JH6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DK7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</commentList>
</comments>
</file>

<file path=xl/sharedStrings.xml><?xml version="1.0" encoding="utf-8"?>
<sst xmlns="http://schemas.openxmlformats.org/spreadsheetml/2006/main" count="2462" uniqueCount="976">
  <si>
    <t>OPERATION</t>
  </si>
  <si>
    <t>COMMUNE</t>
  </si>
  <si>
    <t>CODE</t>
  </si>
  <si>
    <t>N</t>
  </si>
  <si>
    <t>Structure</t>
  </si>
  <si>
    <t>Arrangeur</t>
  </si>
  <si>
    <t>Convention CAF</t>
  </si>
  <si>
    <t>Arrêté LBU</t>
  </si>
  <si>
    <t>Date Dépôt DRFIP</t>
  </si>
  <si>
    <t>CAO</t>
  </si>
  <si>
    <t>RO</t>
  </si>
  <si>
    <t>OFOI</t>
  </si>
  <si>
    <t>INGEPAR</t>
  </si>
  <si>
    <t>Notaire Terrain</t>
  </si>
  <si>
    <t>Signature Acte</t>
  </si>
  <si>
    <t>LLS</t>
  </si>
  <si>
    <t>LLTS</t>
  </si>
  <si>
    <t>ECART PRP</t>
  </si>
  <si>
    <t>ECART DEFISC</t>
  </si>
  <si>
    <t>BE PRIORISE</t>
  </si>
  <si>
    <t>ECART BE</t>
  </si>
  <si>
    <t>% BE / PRP</t>
  </si>
  <si>
    <t>FONCIER</t>
  </si>
  <si>
    <t>CONSTRUCTION</t>
  </si>
  <si>
    <t>ECART PRÊT</t>
  </si>
  <si>
    <t>ECART LBU y/c CAF</t>
  </si>
  <si>
    <t>ECART LBU/lgt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</si>
  <si>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</si>
  <si>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</si>
  <si>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</si>
  <si>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</si>
  <si>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</si>
  <si>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</si>
  <si>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</si>
  <si>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</si>
  <si>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</si>
  <si>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</si>
  <si>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</si>
  <si>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</si>
  <si>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</si>
  <si>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</si>
  <si>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</si>
  <si>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</si>
  <si>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</si>
  <si>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</si>
  <si>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</si>
  <si>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</si>
  <si>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</si>
  <si>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</si>
  <si>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</si>
  <si>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</si>
  <si>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</si>
  <si>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</si>
  <si>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</si>
  <si>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</si>
  <si>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N opér°</t>
  </si>
  <si>
    <t>N lgt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</si>
  <si>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</si>
  <si>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</si>
  <si>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</si>
  <si>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</si>
  <si>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</si>
  <si>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</si>
  <si>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</si>
  <si>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</si>
  <si>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</si>
  <si>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</si>
  <si>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</si>
  <si>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</si>
  <si>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SF</t>
  </si>
  <si>
    <t>PRP /m² SF</t>
  </si>
  <si>
    <t>Prog</t>
  </si>
  <si>
    <t xml:space="preserve">Avenue Raymond Barre </t>
  </si>
  <si>
    <t>Desiré 2</t>
  </si>
  <si>
    <t xml:space="preserve">Sceau de Salomon 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</si>
  <si>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</si>
  <si>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</si>
  <si>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</si>
  <si>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</si>
  <si>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</si>
  <si>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</si>
  <si>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</si>
  <si>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</si>
  <si>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</si>
  <si>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</si>
  <si>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</si>
  <si>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</si>
  <si>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</si>
  <si>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</si>
  <si>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</si>
  <si>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</si>
  <si>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</si>
  <si>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>Étiquettes de lignes</t>
  </si>
  <si>
    <t>Total général</t>
  </si>
  <si>
    <t>Somme de N</t>
  </si>
  <si>
    <t>Étiquettes de colonnes</t>
  </si>
  <si>
    <t xml:space="preserve">PRP TTC </t>
  </si>
  <si>
    <t>BE</t>
  </si>
  <si>
    <t xml:space="preserve">PRÊT </t>
  </si>
  <si>
    <t xml:space="preserve">LBU y/c CAF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</si>
  <si>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</si>
  <si>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</si>
  <si>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</si>
  <si>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</si>
  <si>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</si>
  <si>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</si>
  <si>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</si>
  <si>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</si>
  <si>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</si>
  <si>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</si>
  <si>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</si>
  <si>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</si>
  <si>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</si>
  <si>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</si>
  <si>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</si>
  <si>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</si>
  <si>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</si>
  <si>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</si>
  <si>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</si>
  <si>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</si>
  <si>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</si>
  <si>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</si>
  <si>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</si>
  <si>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</si>
  <si>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</si>
  <si>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</si>
  <si>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LOGIS 4</t>
  </si>
  <si>
    <t>Dubois</t>
  </si>
  <si>
    <t>ok</t>
  </si>
  <si>
    <t>Priorisation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</si>
  <si>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</si>
  <si>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</si>
  <si>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</si>
  <si>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</si>
  <si>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</si>
  <si>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</si>
  <si>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LS 74</t>
  </si>
  <si>
    <t>Notaire VEFA</t>
  </si>
  <si>
    <t>QUINOT</t>
  </si>
  <si>
    <t>LS 75</t>
  </si>
  <si>
    <t>FONDS PROPRES CONSTRUCTION</t>
  </si>
  <si>
    <t>FANFAN</t>
  </si>
  <si>
    <t>LS 76</t>
  </si>
  <si>
    <t>DUBOIS</t>
  </si>
  <si>
    <t>BARET/GILLOT</t>
  </si>
  <si>
    <t>LOGIS 5</t>
  </si>
  <si>
    <t>BBL</t>
  </si>
  <si>
    <t>LS 73</t>
  </si>
  <si>
    <t>DOMBEYA 3</t>
  </si>
  <si>
    <t>MAREL</t>
  </si>
  <si>
    <t>LS 77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</si>
  <si>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</si>
  <si>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</si>
  <si>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</si>
  <si>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</si>
  <si>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</si>
  <si>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</si>
  <si>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</si>
  <si>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AUTRES SUBVENTIONS</t>
  </si>
  <si>
    <t>PRLC 0160</t>
  </si>
  <si>
    <t>PRLC 0156</t>
  </si>
  <si>
    <t>St Louis</t>
  </si>
  <si>
    <t>PRLC 0153</t>
  </si>
  <si>
    <t>Terrain Michel CV</t>
  </si>
  <si>
    <t>PRLC 0151</t>
  </si>
  <si>
    <t>PRLC 0155</t>
  </si>
  <si>
    <t>PRP GLOBAL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</si>
  <si>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</si>
  <si>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</si>
  <si>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</si>
  <si>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</si>
  <si>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</si>
  <si>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</si>
  <si>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</si>
  <si>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</si>
  <si>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</si>
  <si>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PRO</t>
  </si>
  <si>
    <t>Transmission garanties à CDC</t>
  </si>
  <si>
    <t>CR + CASUD = 19/12/13
CG = 15/01/14
Commune = 15/01/14</t>
  </si>
  <si>
    <t>SRI</t>
  </si>
  <si>
    <t>NLE</t>
  </si>
  <si>
    <t>DBE</t>
  </si>
  <si>
    <t>BELLANGER</t>
  </si>
  <si>
    <t>Loyer max</t>
  </si>
  <si>
    <t>Loyer d'équilibre</t>
  </si>
  <si>
    <t>% AIDES PUBLIQUES</t>
  </si>
  <si>
    <t xml:space="preserve">PRP TTC  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</si>
  <si>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</si>
  <si>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</si>
  <si>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</si>
  <si>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</si>
  <si>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</si>
  <si>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</si>
  <si>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</si>
  <si>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</si>
  <si>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</si>
  <si>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</si>
  <si>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</si>
  <si>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</si>
  <si>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MICHEL</t>
  </si>
  <si>
    <t>PRLC 0161</t>
  </si>
  <si>
    <t>CAF</t>
  </si>
  <si>
    <t xml:space="preserve">CR + CASUD = 19/12/13
CG = 15/01/14
CM = OK - mank attest° affichage
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</si>
  <si>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</si>
  <si>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</si>
  <si>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</si>
  <si>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</si>
  <si>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</si>
  <si>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</si>
  <si>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</si>
  <si>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</si>
  <si>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</si>
  <si>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</si>
  <si>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</si>
  <si>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</si>
  <si>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</si>
  <si>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</si>
  <si>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</si>
  <si>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</si>
  <si>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</si>
  <si>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</si>
  <si>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</si>
  <si>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</si>
  <si>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</si>
  <si>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t>LS 12</t>
  </si>
  <si>
    <t>LS 5</t>
  </si>
  <si>
    <t>LOGIS 1</t>
  </si>
  <si>
    <t>LOGIS 2</t>
  </si>
  <si>
    <t>LS 55</t>
  </si>
  <si>
    <t>LOGIS 3</t>
  </si>
  <si>
    <t>LS 20</t>
  </si>
  <si>
    <t>LS 19</t>
  </si>
  <si>
    <t>LS 44</t>
  </si>
  <si>
    <t>LS 11</t>
  </si>
  <si>
    <t>LS 56</t>
  </si>
  <si>
    <t>LS 4</t>
  </si>
  <si>
    <t>LS 97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</si>
  <si>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</si>
  <si>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LS 101</t>
  </si>
  <si>
    <t>IONIQUE 4</t>
  </si>
  <si>
    <t>PRIX VEFA HT</t>
  </si>
  <si>
    <t>PRIX AMENAGE/ LGT</t>
  </si>
  <si>
    <t>PRLC 0166</t>
  </si>
  <si>
    <t>ESQ</t>
  </si>
  <si>
    <t>SNC DORIQUE</t>
  </si>
  <si>
    <t>?</t>
  </si>
  <si>
    <t>LS 79</t>
  </si>
  <si>
    <t>INTERINVEST</t>
  </si>
  <si>
    <t>Ilot 6.2</t>
  </si>
  <si>
    <t>DCE</t>
  </si>
  <si>
    <t>patrimoine</t>
  </si>
  <si>
    <t>PRLC 0129</t>
  </si>
  <si>
    <t>PRLC 0157</t>
  </si>
  <si>
    <t>PRLC 0173</t>
  </si>
  <si>
    <t>PRLC 0167</t>
  </si>
  <si>
    <t>PRLC 0174</t>
  </si>
  <si>
    <t>Dde dossier Ass</t>
  </si>
  <si>
    <t>Signature VEFA / Placement defisc</t>
  </si>
  <si>
    <t>Travaux</t>
  </si>
  <si>
    <t>OS</t>
  </si>
  <si>
    <t>22/10/2014
cr 24/11/14 - modif à faire</t>
  </si>
  <si>
    <t>Avirons</t>
  </si>
  <si>
    <t>28/10/2014
12/01/15</t>
  </si>
  <si>
    <t>UB4</t>
  </si>
  <si>
    <t>Lacaussade 3</t>
  </si>
  <si>
    <t xml:space="preserve">PRIX BRUT / LGT </t>
  </si>
  <si>
    <t>RPA mixte St Philippe</t>
  </si>
  <si>
    <t>Tx rétrocession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</si>
  <si>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</si>
  <si>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23/01/2015
transmis à DAF 11/03/15</t>
  </si>
  <si>
    <t>Limite validité Ct prêt</t>
  </si>
  <si>
    <t>Prosp</t>
  </si>
  <si>
    <t>Phase</t>
  </si>
  <si>
    <t>LOGIS 9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</si>
  <si>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</si>
  <si>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</si>
  <si>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</si>
  <si>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</si>
  <si>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</si>
  <si>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</si>
  <si>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</si>
  <si>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CIVIS 25/05/15
Région 12/06/15
Commune 29/06/15
CG 30/06/15</t>
  </si>
  <si>
    <t>EGI</t>
  </si>
  <si>
    <t>LS 118</t>
  </si>
  <si>
    <t>Transmission Ct Prêt à DAF</t>
  </si>
  <si>
    <t>PRLC 0178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</si>
  <si>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</si>
  <si>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</si>
  <si>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</si>
  <si>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</si>
  <si>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</si>
  <si>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</si>
  <si>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</si>
  <si>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</si>
  <si>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</si>
  <si>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</si>
  <si>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</si>
  <si>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</si>
  <si>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t>Fleurs jaunes (Ilôt 6.1)</t>
  </si>
  <si>
    <t>Archi conseil DEAL</t>
  </si>
  <si>
    <t>CA</t>
  </si>
  <si>
    <t>Clôture DO</t>
  </si>
  <si>
    <t>DAT</t>
  </si>
  <si>
    <t>Avenant global</t>
  </si>
  <si>
    <t>PRLC 0181</t>
  </si>
  <si>
    <t>PRLC 0180</t>
  </si>
  <si>
    <t>Transmission à DAF</t>
  </si>
  <si>
    <t>Ville 18/03/15
Région 17/06/15
CG 30/06/15
CASUD 29/09/15</t>
  </si>
  <si>
    <t>17/02/2014
09/10/14</t>
  </si>
  <si>
    <t>en cours</t>
  </si>
  <si>
    <t>DGD</t>
  </si>
  <si>
    <t>Date limite d'utilisation des fonds</t>
  </si>
  <si>
    <t>à faire</t>
  </si>
  <si>
    <t>CASUD = 02/07/14
CG : OK
Région : OK
Mairie : OK</t>
  </si>
  <si>
    <t>Transmission patrimoine</t>
  </si>
  <si>
    <t>05/03/2014
07/10/14</t>
  </si>
  <si>
    <t>Jules Arlandas (Alamandas)</t>
  </si>
  <si>
    <t>FBR</t>
  </si>
  <si>
    <t>DOE</t>
  </si>
  <si>
    <t>20/03/2014 &amp; 06/11/14
13/10/15</t>
  </si>
  <si>
    <t>x</t>
  </si>
  <si>
    <t>Mairie 02/11/15</t>
  </si>
  <si>
    <t>CONTRÔLE DEAL</t>
  </si>
  <si>
    <t>PARCELLE</t>
  </si>
  <si>
    <t>BX 855</t>
  </si>
  <si>
    <t>RPA Du Parc</t>
  </si>
  <si>
    <t>07/06/2012
06/11/15</t>
  </si>
  <si>
    <t>conv° réserv° 17/09/15
G 09/11/15</t>
  </si>
  <si>
    <t>19/06/2014
18/11/15</t>
  </si>
  <si>
    <t>PRLC 0165</t>
  </si>
  <si>
    <t>RFCT</t>
  </si>
  <si>
    <t>LOGIS 8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</si>
  <si>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</si>
  <si>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</si>
  <si>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</si>
  <si>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</si>
  <si>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</si>
  <si>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</si>
  <si>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</si>
  <si>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</si>
  <si>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</si>
  <si>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</si>
  <si>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</si>
  <si>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</si>
  <si>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</si>
  <si>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>Mail 16/12/15</t>
  </si>
  <si>
    <t xml:space="preserve">Les Platanes </t>
  </si>
  <si>
    <t xml:space="preserve">env DEAL 2015 </t>
  </si>
  <si>
    <t>P1</t>
  </si>
  <si>
    <t>P2</t>
  </si>
  <si>
    <t xml:space="preserve">env DEAL 2014 </t>
  </si>
  <si>
    <t>AS 603</t>
  </si>
  <si>
    <t>BO 206-352</t>
  </si>
  <si>
    <t>AO 433</t>
  </si>
  <si>
    <t>AH 449 à 451</t>
  </si>
  <si>
    <t xml:space="preserve">Hortensias </t>
  </si>
  <si>
    <t>CD 61 Rue Bertaut LLTS</t>
  </si>
  <si>
    <t>AF FONDATIONS</t>
  </si>
  <si>
    <t>16/12/15 Région
20/01/16 CG
25/01/16 Mairie
10/02/16 CASUD</t>
  </si>
  <si>
    <t>TCO 08/01/2016</t>
  </si>
  <si>
    <t>Transmission VEFA à DAF</t>
  </si>
  <si>
    <t>doc jur 30/11/15</t>
  </si>
  <si>
    <t>RDV RO DDAD</t>
  </si>
  <si>
    <t>LYCEE SCHOELCHER</t>
  </si>
  <si>
    <t>RHI BC</t>
  </si>
  <si>
    <t>17/11/2015
27/01/16
15/03/16</t>
  </si>
  <si>
    <t>07/12/2015
15/03/16</t>
  </si>
  <si>
    <t xml:space="preserve">PC 95 </t>
  </si>
  <si>
    <t xml:space="preserve">PC 97 </t>
  </si>
  <si>
    <t>BH 228</t>
  </si>
  <si>
    <t>CX 671 / 1141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</si>
  <si>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</si>
  <si>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</si>
  <si>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MICHEL plus OK</t>
  </si>
  <si>
    <t>APU</t>
  </si>
  <si>
    <t>acte signé</t>
  </si>
  <si>
    <t>convention paroi clouée OK / notaire doit rédiger une constitution de servitude</t>
  </si>
  <si>
    <t>30/06/2014
08/04/16</t>
  </si>
  <si>
    <t>FVA</t>
  </si>
  <si>
    <t>ADE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</si>
  <si>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</si>
  <si>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</si>
  <si>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</si>
  <si>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</si>
  <si>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</si>
  <si>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</si>
  <si>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Etude</t>
  </si>
  <si>
    <t>attente retour conv° garantie par signée CG &amp; transmise au CG 11/05/16</t>
  </si>
  <si>
    <t>16/12/15 Région 
16/12/15 Commune
10/02/16 CIVIS
11/05/16 CG</t>
  </si>
  <si>
    <t>16/10/2014
20/05/2016</t>
  </si>
  <si>
    <t>HONORAIRES</t>
  </si>
  <si>
    <t>NH PROG</t>
  </si>
  <si>
    <t>NH APS</t>
  </si>
  <si>
    <t>NH PC</t>
  </si>
  <si>
    <t>NH APD</t>
  </si>
  <si>
    <t>NH PRO</t>
  </si>
  <si>
    <t>Résiliations marchés</t>
  </si>
  <si>
    <t>CD 61 Rue Bertaut LLS</t>
  </si>
  <si>
    <t>Harry PAYET (Les Mimosas)</t>
  </si>
  <si>
    <t xml:space="preserve">Dakota </t>
  </si>
  <si>
    <t>EK 250</t>
  </si>
  <si>
    <t>Arizona</t>
  </si>
  <si>
    <t>Californie</t>
  </si>
  <si>
    <t>EK 286</t>
  </si>
  <si>
    <t>Faisa</t>
  </si>
  <si>
    <t>PRLC 0184</t>
  </si>
  <si>
    <t>PRLC 0185</t>
  </si>
  <si>
    <t>PRLC 0187</t>
  </si>
  <si>
    <t>PRLC 0186</t>
  </si>
  <si>
    <t>24/6/16 (mail)</t>
  </si>
  <si>
    <t>RTA</t>
  </si>
  <si>
    <t>CAL</t>
  </si>
  <si>
    <t>LOGIS 10</t>
  </si>
  <si>
    <t>ET 909 / 1256</t>
  </si>
  <si>
    <t>LS 119</t>
  </si>
  <si>
    <t>30/06/2014
09/09/16</t>
  </si>
  <si>
    <t>14/09/2016
retour 28/09 pour signature</t>
  </si>
  <si>
    <t>06/10/2016
renvoyé le 04/10/16 à CDC</t>
  </si>
  <si>
    <t>à déposer</t>
  </si>
  <si>
    <t>CUMUL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</si>
  <si>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</si>
  <si>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</si>
  <si>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</si>
  <si>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</si>
  <si>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</si>
  <si>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</si>
  <si>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</si>
  <si>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</si>
  <si>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</si>
  <si>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</si>
  <si>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</si>
  <si>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</si>
  <si>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</si>
  <si>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</si>
  <si>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</si>
  <si>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100 marches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</si>
  <si>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</si>
  <si>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</si>
  <si>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</si>
  <si>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</si>
  <si>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</si>
  <si>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</si>
  <si>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</si>
  <si>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</si>
  <si>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</si>
  <si>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</si>
  <si>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</si>
  <si>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</si>
  <si>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</si>
  <si>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</si>
  <si>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</si>
  <si>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</si>
  <si>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</si>
  <si>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</si>
  <si>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</si>
  <si>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</si>
  <si>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</si>
  <si>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</si>
  <si>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Les Orchidées</t>
  </si>
  <si>
    <t>Le Choka Bleu</t>
  </si>
  <si>
    <t>La Cure 2</t>
  </si>
  <si>
    <t>AP 1535</t>
  </si>
  <si>
    <t>BT 920</t>
  </si>
  <si>
    <t>VAF</t>
  </si>
  <si>
    <t>RAS</t>
  </si>
  <si>
    <t>env DEAL 2016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</si>
  <si>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</si>
  <si>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</si>
  <si>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</si>
  <si>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</si>
  <si>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</si>
  <si>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</si>
  <si>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</si>
  <si>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</si>
  <si>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</si>
  <si>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</si>
  <si>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</si>
  <si>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</si>
  <si>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</si>
  <si>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</si>
  <si>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</si>
  <si>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</si>
  <si>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</si>
  <si>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</si>
  <si>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</si>
  <si>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</si>
  <si>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</si>
  <si>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</si>
  <si>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</si>
  <si>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</si>
  <si>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</si>
  <si>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</si>
  <si>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</si>
  <si>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</si>
  <si>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coordonnées des propriétaires limitrophes transmis à APU
courriers faits par BJE aux riverains pour une rencontre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</si>
  <si>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</si>
  <si>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</si>
  <si>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</si>
  <si>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</si>
  <si>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</si>
  <si>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</si>
  <si>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NH VEFA</t>
  </si>
  <si>
    <t>NH OS</t>
  </si>
  <si>
    <t>avec OS</t>
  </si>
  <si>
    <t>Baux</t>
  </si>
  <si>
    <t>NH Fondations</t>
  </si>
  <si>
    <t>NH R+1</t>
  </si>
  <si>
    <t>IONIQUE 5</t>
  </si>
  <si>
    <t>PRLC 0163</t>
  </si>
  <si>
    <t>24/02/2016
06/09/2016</t>
  </si>
  <si>
    <t>12/01/2017 mail
30/01/2017 papier</t>
  </si>
  <si>
    <t>env DEAL 2017</t>
  </si>
  <si>
    <t>LLS / LLTS</t>
  </si>
  <si>
    <t>30/08/2016
01/02/17</t>
  </si>
  <si>
    <t>PHBB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</si>
  <si>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</si>
  <si>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</si>
  <si>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</si>
  <si>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</si>
  <si>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</si>
  <si>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</si>
  <si>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</si>
  <si>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Envoi papier : 23/12/16 (pièces complémentaires envoyées entre le 30/01 et le 09/02)</t>
  </si>
  <si>
    <t>14/09/2016
21/02/16</t>
  </si>
  <si>
    <t>23/12/2016
21/02/17</t>
  </si>
  <si>
    <t>14/12/2016
21/02/17</t>
  </si>
  <si>
    <t>dossier envoyé 22/02/17</t>
  </si>
  <si>
    <t>sans P2</t>
  </si>
  <si>
    <t>ENV 2017</t>
  </si>
  <si>
    <t>37/38 000 000 €</t>
  </si>
  <si>
    <t>13/12/2016
23/02/17</t>
  </si>
  <si>
    <t>13/12/2016
24/02/17</t>
  </si>
  <si>
    <t xml:space="preserve">OK </t>
  </si>
  <si>
    <t>sauf Peinture</t>
  </si>
  <si>
    <t>12/12/2016
28/02/17</t>
  </si>
  <si>
    <t>Année Inauguration</t>
  </si>
  <si>
    <t>IMPREVUS AU DEMARRAGE</t>
  </si>
  <si>
    <t>22/12/2016
22/03/17</t>
  </si>
  <si>
    <t>NH HDE</t>
  </si>
  <si>
    <t>-</t>
  </si>
  <si>
    <t>MAIL 03/04/17</t>
  </si>
  <si>
    <t>MAIL 04/04/2017</t>
  </si>
  <si>
    <t>LIMITE AF FONDATIONS</t>
  </si>
  <si>
    <t>ACHEVEMENT VEFA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</si>
  <si>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</si>
  <si>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</si>
  <si>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</si>
  <si>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</si>
  <si>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</si>
  <si>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</si>
  <si>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</si>
  <si>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</si>
  <si>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</si>
  <si>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</si>
  <si>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S terrain</t>
  </si>
  <si>
    <t>PRLC 0197</t>
  </si>
  <si>
    <t>PRLC 0191</t>
  </si>
  <si>
    <t>Amgt / CO</t>
  </si>
  <si>
    <t>ESQ ==&gt; APD</t>
  </si>
  <si>
    <t>Fin études/AO</t>
  </si>
  <si>
    <t>Clôture défisc</t>
  </si>
  <si>
    <t>REPARTITION TRAVAUX NEUFS &amp; REHABILITATION</t>
  </si>
  <si>
    <t>H2</t>
  </si>
  <si>
    <t>05/10/2016
28/02/17</t>
  </si>
  <si>
    <t>NH HDA</t>
  </si>
  <si>
    <t>notifiés en mai</t>
  </si>
  <si>
    <t>Bras de la Plaine</t>
  </si>
  <si>
    <t>1e partie envoyée à OFOI le 08/02/17
dernière partie envoyée à OFOI le 14/06/2017</t>
  </si>
  <si>
    <t>déposé DRFIP 16/06/17</t>
  </si>
  <si>
    <t>CG 12/01/17
Commune 18/01/17
CIVIS 18/01/17
Région 19/06/17</t>
  </si>
  <si>
    <t>ok
Région 19/06/17</t>
  </si>
  <si>
    <t>CG 12/01/17
Commune 18/01/17
CIVIS 18/01/17
Région 22/06/17</t>
  </si>
  <si>
    <t>Commune 21/12/16
CG 12/01/17
Région 19/06/17
CASUD 29/06/17</t>
  </si>
  <si>
    <t>Commune 05/05/17
Région 13/12/16
CASUD 29/06/17
CG 12/01/17</t>
  </si>
  <si>
    <t>CG 29/03/17
Région 28/06/17
CASUD 29/06/2017</t>
  </si>
  <si>
    <t>Commune 16/11/16
Région 13/12/16
CASUD 29/06/2017
CDC 21/06/17</t>
  </si>
  <si>
    <t>NH CLOISONS</t>
  </si>
  <si>
    <t>SAFER</t>
  </si>
  <si>
    <t>TURPIN</t>
  </si>
  <si>
    <t>PRLC 0192</t>
  </si>
  <si>
    <t>Foyer de Charité</t>
  </si>
  <si>
    <t>PRLC 0198</t>
  </si>
  <si>
    <t>PRLC 0199</t>
  </si>
  <si>
    <t>PRLC 0200</t>
  </si>
  <si>
    <t>PRLC 0201</t>
  </si>
  <si>
    <t>voie intérieure à rétrocéder
récupérer DOE
faire le DA : FVA s'en occupe</t>
  </si>
  <si>
    <t>AV 120</t>
  </si>
  <si>
    <t>AT 222/223/224</t>
  </si>
  <si>
    <t>Rapport de fin d'opération</t>
  </si>
  <si>
    <t>19/07/2017
05/09/17</t>
  </si>
  <si>
    <t>terrain acheté
projet de bornage transmis à FBR</t>
  </si>
  <si>
    <t>dossier chez OFOI 08/03/2017</t>
  </si>
  <si>
    <t>dossier transmis à OFOI 05/09/16</t>
  </si>
  <si>
    <t>Dépôt DDA définitif</t>
  </si>
  <si>
    <t>CH 162</t>
  </si>
  <si>
    <t>SITA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</si>
  <si>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</si>
  <si>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</si>
  <si>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</si>
  <si>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</si>
  <si>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</si>
  <si>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</si>
  <si>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</si>
  <si>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Mairie 09/10/17
CG 17/10/17</t>
  </si>
  <si>
    <t>OCTAVIE LLTS</t>
  </si>
  <si>
    <t>OCTAVIE LLS</t>
  </si>
  <si>
    <t>ES 15/10/17
CG 19/10/17</t>
  </si>
  <si>
    <t>DESIRE 3</t>
  </si>
  <si>
    <t>AK 661 - 770</t>
  </si>
  <si>
    <t>Mairie / privé</t>
  </si>
  <si>
    <t>GGO</t>
  </si>
  <si>
    <t>EM 628 p</t>
  </si>
  <si>
    <t>AH 893 / AH 975</t>
  </si>
  <si>
    <t>AP 728</t>
  </si>
  <si>
    <t>BENJAMIN HOAREAU</t>
  </si>
  <si>
    <t>VINCENDO CAFE</t>
  </si>
  <si>
    <t>CW 730,731, 732,656, 627,29</t>
  </si>
  <si>
    <t>BX 420</t>
  </si>
  <si>
    <t>GORBATCHEV</t>
  </si>
  <si>
    <t>BY 284</t>
  </si>
  <si>
    <t>BV 024,213 AO 716,726</t>
  </si>
  <si>
    <t>Mairie 04/12/17
CG 17/10/17</t>
  </si>
  <si>
    <t>Avenant EPFR signé
Convention avec riverain signée</t>
  </si>
  <si>
    <t>avenant 1 EPFR  signé - acquisition à mai 2018</t>
  </si>
  <si>
    <t>bornage signé mais remis en cause / servitude de tréfonds SAPHIR
prorogation EPFR jusqu'au 11/09/2019 : avenant à recevoir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</si>
  <si>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</si>
  <si>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</si>
  <si>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</si>
  <si>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</si>
  <si>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</si>
  <si>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</si>
  <si>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abandon</t>
  </si>
  <si>
    <t>10/07/2017
11/12/17</t>
  </si>
  <si>
    <t>NH ESQ</t>
  </si>
  <si>
    <t>COCO TURPIN</t>
  </si>
  <si>
    <t>CH 483 / 102</t>
  </si>
  <si>
    <t>REHAB</t>
  </si>
  <si>
    <t>(vide)</t>
  </si>
  <si>
    <t>Kakis</t>
  </si>
  <si>
    <t>ECART Arrêté DEAL / OS</t>
  </si>
  <si>
    <t>ANNEE DEMARRAGE</t>
  </si>
  <si>
    <t xml:space="preserve">CANNELLE </t>
  </si>
  <si>
    <t xml:space="preserve">PAPYRUS </t>
  </si>
  <si>
    <t>MMA</t>
  </si>
  <si>
    <t>PRLC 0204</t>
  </si>
  <si>
    <t>CPV DAMOUR OK
manque CPV sur CH 102</t>
  </si>
  <si>
    <t xml:space="preserve">AX 24p / 25 / 429p / 28 / 27p
actualisation topo en cours
zone RHI
</t>
  </si>
  <si>
    <t>envoi Lydie 29/01/18</t>
  </si>
  <si>
    <t>sem 12/02 : T5</t>
  </si>
  <si>
    <t>CREDIT IMPOT</t>
  </si>
  <si>
    <t xml:space="preserve">Taux conformité DCE au CRATE </t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</si>
  <si>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</si>
  <si>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</si>
  <si>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</si>
  <si>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</si>
  <si>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</si>
  <si>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</si>
  <si>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</si>
  <si>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NH CAO</t>
  </si>
  <si>
    <t>NH DAT</t>
  </si>
  <si>
    <t>NH RDC</t>
  </si>
  <si>
    <t>Bilan final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</si>
  <si>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</si>
  <si>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</si>
  <si>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</si>
  <si>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</si>
  <si>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</si>
  <si>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</si>
  <si>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</si>
  <si>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</si>
  <si>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</si>
  <si>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</si>
  <si>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</si>
  <si>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</si>
  <si>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</si>
  <si>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</si>
  <si>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</si>
  <si>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</si>
  <si>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</si>
  <si>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Charpente / Couv - Prévu</t>
  </si>
  <si>
    <t>Charpente / Couv - Réalisé</t>
  </si>
  <si>
    <t>Clos - Prévu</t>
  </si>
  <si>
    <t>Clos -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</si>
  <si>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</si>
  <si>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</si>
  <si>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</si>
  <si>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</si>
  <si>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</si>
  <si>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</si>
  <si>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</si>
  <si>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</si>
  <si>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</si>
  <si>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</si>
  <si>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Problémes chantier</t>
  </si>
  <si>
    <t>Observations générales</t>
  </si>
  <si>
    <t>FMA / FHO</t>
  </si>
  <si>
    <t>FMA / YFR</t>
  </si>
  <si>
    <t>décalage de programmation</t>
  </si>
  <si>
    <t>SFE / AGA / FVA</t>
  </si>
  <si>
    <t xml:space="preserve">problématique juridique INTERINVEST qui a mis beaucoup de temps à se solutionner
retard SBIM / AMEDEE
convention MOD EDF très tardive
</t>
  </si>
  <si>
    <t>JMO / NBL / FBR</t>
  </si>
  <si>
    <t>JMO / FBR</t>
  </si>
  <si>
    <t>JMO / AGA / FVA</t>
  </si>
  <si>
    <t>SFE / APU</t>
  </si>
  <si>
    <t>passage en crédit d'impôt</t>
  </si>
  <si>
    <t>INFO / arrêt de chantier du 20/02/17 au 17/04/2017 suite pb d'avoisinant (bornage et mur)/retard galvanisation charpente</t>
  </si>
  <si>
    <t>JDC / NBL / MFL / ADE</t>
  </si>
  <si>
    <t>purge délai recours en cours</t>
  </si>
  <si>
    <t>MFL / ADE</t>
  </si>
  <si>
    <t xml:space="preserve">Fourragères </t>
  </si>
  <si>
    <t>offres à analyser mais entreprises n'ont pas fait de visite</t>
  </si>
  <si>
    <t>AO à lancer sem 22/01 / voir pour modifier pièces concernant visite obligatoire</t>
  </si>
  <si>
    <t>PRO à recevoir en 02/18 - PC modif à déposer</t>
  </si>
  <si>
    <t>DIAG reçu / valider pgr travaux / revue de projet 20/02</t>
  </si>
  <si>
    <t>APS à analyser / PC à déposer 10/02/18 au plus tard</t>
  </si>
  <si>
    <t>PC à déposer 10/02/18 au plus tard</t>
  </si>
  <si>
    <t>analyse MOE à faire par FBR / faire mail à ASI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</si>
  <si>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</si>
  <si>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</si>
  <si>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</si>
  <si>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</si>
  <si>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</si>
  <si>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</si>
  <si>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</si>
  <si>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</si>
  <si>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</si>
  <si>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</si>
  <si>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</si>
  <si>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</si>
  <si>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</si>
  <si>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</si>
  <si>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</si>
  <si>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</si>
  <si>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</si>
  <si>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</si>
  <si>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</si>
  <si>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</si>
  <si>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Transmission à DAF
Garantie CR</t>
  </si>
  <si>
    <t>Transmission à DAF
Garantie EPCI</t>
  </si>
  <si>
    <t>Transmission à DAF
Garantie CM</t>
  </si>
  <si>
    <t>Transmission à DAF
Garantie CG</t>
  </si>
  <si>
    <t>Lot désamiantage</t>
  </si>
  <si>
    <t>AO lancé 13/02 - réception offres 13/03</t>
  </si>
  <si>
    <t>négo en cours</t>
  </si>
  <si>
    <t>réunion démarrage 01/03/18</t>
  </si>
  <si>
    <t>lancement AO sem 26/02 - voir avec TGI pour enlever toiture du DCE</t>
  </si>
  <si>
    <t>résilier SIB (perte agrément) / se positionner sur demande de DLC
pas de nouvelles de l'AMO déchets : faire une MD huissier
courrier refus offre technique DLC à envoyer
O'SUD Peinture pas à jour attestation fiscale</t>
  </si>
  <si>
    <t>contrat de prêt à recevoir en février 2018 / délib garantie CM 24/02 / VEFA à signer fin fév 18 au + tard</t>
  </si>
  <si>
    <t>lancer AO</t>
  </si>
  <si>
    <t>retard études : gestion mitoyens / signature convention
retard rendu DCE (changement chargé d'affaire INTEGRALE)</t>
  </si>
  <si>
    <t>retard lancement AO : pb ramassage ordures ménagères
faire la demande de prêt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</si>
  <si>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</si>
  <si>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</si>
  <si>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caler réunion validation PRO semaine 26/02</t>
  </si>
  <si>
    <t>IMPREVUS ACTUALISES</t>
  </si>
  <si>
    <t>Retard livraison VEFA (mois)</t>
  </si>
  <si>
    <t>Date réception prévue initialement</t>
  </si>
  <si>
    <t>PRP CA</t>
  </si>
  <si>
    <t>lancer désamiantage / étude hydraulique à réaliser pour confirmation hyp SEGC
perte de temps sur la phase DCE pour consolider étude hydraulique</t>
  </si>
  <si>
    <t>Date Agrément DRFIP</t>
  </si>
  <si>
    <t>Agrément définitif</t>
  </si>
  <si>
    <t>OK</t>
  </si>
  <si>
    <t>11/12/2017
01/03/18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</si>
  <si>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</si>
  <si>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</si>
  <si>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</si>
  <si>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</si>
  <si>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</si>
  <si>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DATE LIMITE DAT DEFISC</t>
  </si>
  <si>
    <t>PRÊT CREDIT D'IMPOT (PM)</t>
  </si>
  <si>
    <t xml:space="preserve">envoyé </t>
  </si>
  <si>
    <t>envoyé</t>
  </si>
  <si>
    <t>EM 628 p
CPV avec TURPIN signé + clause substit EPFR
bornage à compléter - manque procurations / DA en cours de finalisation pour EM 629
EPFR délibère en mars/avril
minoration foncière CIVIS</t>
  </si>
  <si>
    <t>envoi à l'arrangeur 07/03/18</t>
  </si>
  <si>
    <t>dossier envoyé Arrangeur 09/11/17</t>
  </si>
  <si>
    <t>envoyé arrangeur 12/10/17</t>
  </si>
  <si>
    <t>envoi arrangeur 21/02/18</t>
  </si>
  <si>
    <t>Budget clôture validé DAF</t>
  </si>
  <si>
    <t>problématique foncière non anticipée et propre à la vente en VEFA défisc
changements de RO
avancement SMOI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</si>
  <si>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</si>
  <si>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</si>
  <si>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 xml:space="preserve">attente des garanties= retard OS
janvier 2018 : DAF ne paie pas entreprises qui n'ont plus de fournitures (ex : 3 situations LASETRA pas payées au 26/01/18)
</t>
  </si>
  <si>
    <t>manque  DOE Métallerie</t>
  </si>
  <si>
    <t>14/03/2018
18/04/18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</si>
  <si>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</si>
  <si>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t>PPA</t>
  </si>
  <si>
    <t>BD 2997</t>
  </si>
  <si>
    <t>envoi Arrangeur 18/04/18</t>
  </si>
  <si>
    <t>08/03/2018
06/06/2018</t>
  </si>
  <si>
    <t>APS</t>
  </si>
  <si>
    <t>Fin préfinancement (24 mois)</t>
  </si>
  <si>
    <t>Début préfinancement (date contrat de prêt)</t>
  </si>
  <si>
    <t>19/04/2018
11/06/18</t>
  </si>
  <si>
    <t>Mois de loyers avant 1e échéance</t>
  </si>
  <si>
    <t>1e échéance prêt (12 mois après fin préfinancement)</t>
  </si>
  <si>
    <t>Montant échéance annuelle</t>
  </si>
  <si>
    <t>Montant des loyers perçus avant 1e échéance</t>
  </si>
  <si>
    <t>Perte</t>
  </si>
  <si>
    <t>envoi OFOI 22/06/18</t>
  </si>
  <si>
    <t>Prix Achat TTC</t>
  </si>
  <si>
    <t>SF VEFA</t>
  </si>
  <si>
    <t>Frais financiers clôture</t>
  </si>
  <si>
    <t>raccordement EU à 400 mL</t>
  </si>
  <si>
    <t>Date inauguration initiale</t>
  </si>
  <si>
    <t>Date inauguration recalée</t>
  </si>
  <si>
    <t>Retard Inauguration (m)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</si>
  <si>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</si>
  <si>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</si>
  <si>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</si>
  <si>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</si>
  <si>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</si>
  <si>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Lot cloisons
Lot carrelage</t>
  </si>
  <si>
    <t>équipement local refoulement par CASUD à partir du 05/02 (1 mois travaux)</t>
  </si>
  <si>
    <t xml:space="preserve">Lot GO </t>
  </si>
  <si>
    <t xml:space="preserve">intempéries = 23 j
</t>
  </si>
  <si>
    <t>Lot étanchéité</t>
  </si>
  <si>
    <t xml:space="preserve">Lot carrelage </t>
  </si>
  <si>
    <r>
      <t xml:space="preserve">1 mois de retard sur VRD (rattrapable)
</t>
    </r>
    <r>
      <rPr>
        <sz val="11"/>
        <color rgb="FFFF0000"/>
        <rFont val="Verdana"/>
        <family val="2"/>
      </rPr>
      <t xml:space="preserve">pb effectif Gros Œuvre
retards de paiement SODEGIS
</t>
    </r>
    <r>
      <rPr>
        <sz val="11"/>
        <rFont val="Verdana"/>
        <family val="2"/>
      </rPr>
      <t>pb avancement  plaquiste</t>
    </r>
  </si>
  <si>
    <t>retards de paiement SODEGIS</t>
  </si>
  <si>
    <t>partie</t>
  </si>
  <si>
    <t>COLTRAV : pb avancement sous-traitant
J2S : pb avancement - 20 j pénalités
SMOI : pénalités
4 j intempéries</t>
  </si>
  <si>
    <t>TS Correspondant à des imprévus chantier (or résiliation)</t>
  </si>
  <si>
    <t>% TS / PRP</t>
  </si>
  <si>
    <t>80659
31 478 FRAFU</t>
  </si>
  <si>
    <t>Date EDLE</t>
  </si>
  <si>
    <t>7 &amp; 08/08</t>
  </si>
  <si>
    <t>20 &amp; 21/08</t>
  </si>
  <si>
    <t>bâche à poser pour sécurité incendie, avant inauguration
retard SBIM / AMEDEE</t>
  </si>
  <si>
    <t>difficultés de terrassement dû à la nature du sol rencontré (courrier LASETRA) /retard galvanisation charpente+ 45 jours</t>
  </si>
  <si>
    <t>avancement PERSM problématique
mur soutènement arrière
intempéries</t>
  </si>
  <si>
    <t>manque terrain communal à acheter en mai 2018 : veiller à ce que les abonnements soient résiliés / prorogation à demander à Mairie</t>
  </si>
  <si>
    <t>compromis vente signé prend fin fin mars 2017 / à proroger à juillet 2019</t>
  </si>
  <si>
    <t>regrouper pièces pour lancer consultation MOE - topo en cours
étudier scénario raccordement EU / ANC
CPV en cours de rédaction
manque évaluation domaines TCO
terrain SAFER défriché / manque terrain TCO à défricher</t>
  </si>
  <si>
    <t>Lot. Montvert</t>
  </si>
  <si>
    <t>Lot. FOURRAGERES</t>
  </si>
  <si>
    <t>Neuf / Rehab</t>
  </si>
  <si>
    <t>dont VEFA</t>
  </si>
  <si>
    <t>DBA</t>
  </si>
  <si>
    <t>DAM</t>
  </si>
  <si>
    <t>OP GGO</t>
  </si>
  <si>
    <t>10/07/2018
29/08/18</t>
  </si>
  <si>
    <t>Benoite Boulard (PIVET-VELIN)</t>
  </si>
  <si>
    <t>N hors REHAB</t>
  </si>
  <si>
    <t>PRP TTC HORS REHAB</t>
  </si>
  <si>
    <t>Anne Caze (Plaine St Paul)</t>
  </si>
  <si>
    <t>CI 7</t>
  </si>
  <si>
    <t>AD 133 / 132</t>
  </si>
  <si>
    <t>Prix achat /m² SF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</si>
  <si>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 CI 7</t>
    </r>
  </si>
  <si>
    <t>En 339/343/568/570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</si>
  <si>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GTOI Roland Garros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</si>
  <si>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GTOI Roland Garros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</si>
  <si>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</si>
  <si>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 TROIS MARES LLTS</t>
    </r>
  </si>
  <si>
    <t>SHAB VEFA y/c V</t>
  </si>
  <si>
    <t>BZ 90</t>
  </si>
  <si>
    <t>UC 2</t>
  </si>
  <si>
    <t>2NAUh</t>
  </si>
  <si>
    <t>Christiane - Amata (HE 168)</t>
  </si>
  <si>
    <t>Christiane - Amata (HE 168) LLTS</t>
  </si>
  <si>
    <t>PRÊT COMPLEMENTAIRE</t>
  </si>
  <si>
    <t>RPA médicalisée - AURAR</t>
  </si>
  <si>
    <t>BM 1251 p</t>
  </si>
  <si>
    <t>commune</t>
  </si>
  <si>
    <t>Modif PLU</t>
  </si>
  <si>
    <t>Mairie veut accoler un projet de centre de dialyse - Mairie prend contact avec AURAR</t>
  </si>
  <si>
    <t>Terrains TSENG KING et chemin de la Chapelle</t>
  </si>
  <si>
    <t>AZ 234,456,261,178</t>
  </si>
  <si>
    <t>NAUD ==&gt; 1AU</t>
  </si>
  <si>
    <t>attente PLU
03/05/18 : Mairie prend contact avec propriétaires</t>
  </si>
  <si>
    <t>Emplacement réservé Plateau Vincendo</t>
  </si>
  <si>
    <t>CT 325 / CS 520,521</t>
  </si>
  <si>
    <t>CT 325 en zone N / CS 520 en Zone U
opération globale conditionnée à la réalisation d'un rond point sur la RN ==&gt; Mairie prend contact avec la Région</t>
  </si>
  <si>
    <t>Emplacement réservé Chemin des Myrtilles</t>
  </si>
  <si>
    <t>CP 280,299,300</t>
  </si>
  <si>
    <t>ER supprimé par Mairie au PLU / en attente d'évolution au PLU. Mairie doit confirmer opportunité de l'opération</t>
  </si>
  <si>
    <t>2AU au futur PLU</t>
  </si>
  <si>
    <t>Eglise Pharmacie</t>
  </si>
  <si>
    <t>AX 193</t>
  </si>
  <si>
    <t>Opération RPA</t>
  </si>
  <si>
    <t>Eglise Pharmacie 2</t>
  </si>
  <si>
    <t>AX 570</t>
  </si>
  <si>
    <t>modif PLU</t>
  </si>
  <si>
    <t>NAU ==&gt; 1 AU</t>
  </si>
  <si>
    <t>AV 651</t>
  </si>
  <si>
    <t>Zone A au SAR et hors ZPU. Demande Mairie 2AU au futur PLU</t>
  </si>
  <si>
    <t>Josepha Fontaine Tranche 2</t>
  </si>
  <si>
    <t>Chemin Dardanelles</t>
  </si>
  <si>
    <t>BE 004,005,393,394,339</t>
  </si>
  <si>
    <t>Demande Mairie 2AU au futur PLU. Projet d'ensemble équipements + lgts</t>
  </si>
  <si>
    <t>Chemin des Chardons</t>
  </si>
  <si>
    <t>AV 94, 95 …</t>
  </si>
  <si>
    <t>Demande Mairie 2AU au futur PLU. Projet à développer sur le long terme selon la Mairie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</si>
  <si>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 BX 26</t>
    </r>
  </si>
  <si>
    <t>BX 26</t>
  </si>
  <si>
    <t>AV 120 - 124</t>
  </si>
  <si>
    <t xml:space="preserve">offre faite au vendeur, problème de transcription aux hypothèques : vendeurs pas en mesure de vendre
o L’EPFR précise qu’il serait intéressant de les solliciter pour percevoir les bonifications SRU ; à ce sujet le plafond a été relevé à 200 K€ par opération depuis janvier 2018
o La DEAL souhaite de la mixité sur ce projet
PPA 18/04/18 : vérifier opportunité d'acquisition simultanée de AV 124. vérifier signification"espace non urbanisé hors TU" (couche SIG). Etude FRAFU à envisager. Vérifier zonage NAU (nouveau PLU)
</t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</si>
  <si>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Oiseaux du Paradis </t>
    </r>
  </si>
  <si>
    <r>
      <rPr>
        <sz val="11"/>
        <color rgb="FFFF0000"/>
        <rFont val="Calibri"/>
        <family val="2"/>
        <scheme val="minor"/>
      </rPr>
      <t>VEFA LLS</t>
    </r>
    <r>
      <rPr>
        <sz val="11"/>
        <rFont val="Calibri"/>
        <family val="2"/>
        <scheme val="minor"/>
      </rPr>
      <t xml:space="preserve">  Les Rosiers</t>
    </r>
    <r>
      <rPr>
        <sz val="11"/>
        <color rgb="FFFF0000"/>
        <rFont val="Calibri"/>
        <family val="2"/>
        <scheme val="minor"/>
      </rPr>
      <t xml:space="preserve"> </t>
    </r>
  </si>
  <si>
    <r>
      <rPr>
        <sz val="11"/>
        <color rgb="FFFF0000"/>
        <rFont val="Calibri"/>
        <family val="2"/>
        <scheme val="minor"/>
      </rPr>
      <t>VEFA LLTS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</t>
    </r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</si>
  <si>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Les Pechers </t>
    </r>
  </si>
  <si>
    <t>AR 1173,1174</t>
  </si>
  <si>
    <t>attente projet du promoteur</t>
  </si>
  <si>
    <t>AUC9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</si>
  <si>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PAVILLONS DE L'ENTRE DEUX</t>
    </r>
  </si>
  <si>
    <t>terrain en indivision bloqué (39 coindivisaires)
opération déséquilibrée financièrement</t>
  </si>
  <si>
    <t xml:space="preserve">études d'urba réalisées – présenté à la DEAL.
DEAL ne souhaite pas d’extension urbaine s’il n’y a pas d’assainissement collectif
DEAL défavorable à un déclassement s’il n’y a pas de STEP mais une nouvelle proposition aurait été faite par la commune à la DEAL
CW 732 exploitable : qui est le propriétaire ?
</t>
  </si>
  <si>
    <t>non inscrit</t>
  </si>
  <si>
    <t>VEFA Trèfles</t>
  </si>
  <si>
    <t>Ex projet PTZ de B Bois – En attente octroi prêt pour la dernière famille- pas d’avancée - simulations financières font état d'un déséquilibre financier du au prix du foncier - Ville informée</t>
  </si>
  <si>
    <t>CAP SUD (ex BOYER LANGEVIN)</t>
  </si>
  <si>
    <t>Etude urbaine</t>
  </si>
  <si>
    <t>FRAFU OK pour études complémentaires. Courrier Mairie sur urbanisation secteur ou pas avant poursuite
03/05/18 : Etude FRAFU à lancer au plus tôt parce que CPV toujours en attente d'accord des vendeurs (1 an de discussion) - désaccord entre vendeurs</t>
  </si>
  <si>
    <t>BOYER</t>
  </si>
  <si>
    <t>BY 674,867,868,872,869,870,877</t>
  </si>
  <si>
    <t>CX 759 p / 191</t>
  </si>
  <si>
    <t>Maisons de ville- assainissement individuel ? Dde de participation communale : CASUD n'accepte pas le principe de rétrocession d'une microstation, nécessaire à la densification et à l'équilibre financier du projet</t>
  </si>
  <si>
    <t>Terrain Defaud. Attente étude communale passage d'une voie de 9m en ER. 
09/05/18 : discussions en cours avec SPRINR sur optimisation PPR. Commerces prévus en RDC
Offre refusée par propriétaire
pas de retour Mairie sur définitiion emprise ER</t>
  </si>
  <si>
    <t>BX 1057,1055,1053,950</t>
  </si>
  <si>
    <t>BT 920 3 MARES</t>
  </si>
  <si>
    <t>mairie ne souhaite pas de logements aidés - terrain maîtrisé par la Ville / relancer mairie sur volonté programmatique</t>
  </si>
  <si>
    <t>Mairie</t>
  </si>
  <si>
    <t>réétudier opé avec FRAFU à la demande de la DEAL
 Attente PLU 2018
faire simul FRAFU</t>
  </si>
  <si>
    <t>CŒUR DE VILLE</t>
  </si>
  <si>
    <t xml:space="preserve">BY 100, BY 455, BY 454, BY 657, BY 659  </t>
  </si>
  <si>
    <t>Propriétaire à relancer sur opportunité de vente
Mairie veut du PLS - Position Etat à définir
Etude à lancer sur programme qui passe de 35 à 60 lgts
Reflexion SODEGIS élargie aux parcelles voisines
Terrain toujours disponible ? Attention terrain cher</t>
  </si>
  <si>
    <t>Projet à mettre en attente approbation du PLU, prévu début 2017 : la commune mène une réflexion globale sur ce secteur.
Aux dernières nouvelles, abandonné par Mairie</t>
  </si>
  <si>
    <t>ETUDE URBAINE DU 23e KM - CHATAIGNERS</t>
  </si>
  <si>
    <t>DE 22,407,408,265</t>
  </si>
  <si>
    <t>3 ha de terrain constructible- Etude Phase 1 présentée à DEAL
09/05/18 : Etude FRAFU relancée (signée par nouveau DG). A présenter + définition du programme à préciser (mixité sociale et fonctionnelle à prévoir)
Relevé topo initial envoyé à la Ville - pas de retour</t>
  </si>
  <si>
    <t>attente offres MOE 25/10/18 pour lancer ESQ
portage EPFR prévu / topo toujours pas commandé</t>
  </si>
  <si>
    <t>SODEGIS plus engagée avec le vendeur - CPV tombé en juin 2018</t>
  </si>
  <si>
    <t>Garantie CM</t>
  </si>
  <si>
    <t>Réception Garantie CM</t>
  </si>
  <si>
    <t>Demande de garantie CM</t>
  </si>
  <si>
    <t>Demande de garantie EPCI</t>
  </si>
  <si>
    <t>Garantie EPCI</t>
  </si>
  <si>
    <t>Réception Garantie EPCI</t>
  </si>
  <si>
    <t>Demande de garantie CR</t>
  </si>
  <si>
    <t>Garantie CR</t>
  </si>
  <si>
    <t>Réception Garantie CR</t>
  </si>
  <si>
    <t>Demande de garantie CG</t>
  </si>
  <si>
    <t>Garantie CG</t>
  </si>
  <si>
    <t>Réception Garantie CG</t>
  </si>
  <si>
    <t>cloture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</si>
  <si>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</si>
  <si>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</si>
  <si>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</si>
  <si>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</si>
  <si>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</si>
  <si>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</si>
  <si>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</si>
  <si>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BV 213 - 24</t>
  </si>
  <si>
    <t>EN 563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</si>
  <si>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</si>
  <si>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</si>
  <si>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T3</t>
    </r>
  </si>
  <si>
    <t>MERCURY (Terrain DAMOUR)</t>
  </si>
  <si>
    <t>envoyé à GL 30/10/18</t>
  </si>
  <si>
    <t>CPV CH 102 à signer hors QPV - en stand by / Commune OK pour portage
topo à compléter
CH 483 : prorogation à fin 2019 refusée par vendeur mais accepte baisse de prix / Mairie OK pour portage à mettre en place rapidement</t>
  </si>
  <si>
    <t xml:space="preserve">AP 1270 / 1274 / 1280 </t>
  </si>
  <si>
    <t>SEDRE</t>
  </si>
  <si>
    <t>AUb</t>
  </si>
  <si>
    <t>abandon Mairie</t>
  </si>
  <si>
    <t>ESTIA</t>
  </si>
  <si>
    <t>ok - reste Excel</t>
  </si>
  <si>
    <t>à refaire incomplet + excel</t>
  </si>
  <si>
    <t>OK idem EXCEL</t>
  </si>
  <si>
    <t>invitation sem 26/11 au plus tard</t>
  </si>
  <si>
    <t>04/12 ou 10/12/2018</t>
  </si>
  <si>
    <t>DENSITE lgt/ha</t>
  </si>
  <si>
    <t xml:space="preserve">Bouton d'Or </t>
  </si>
  <si>
    <t>26/07/2018 - 14/09/18</t>
  </si>
  <si>
    <t>OK + excel</t>
  </si>
  <si>
    <t>Excel OK</t>
  </si>
  <si>
    <t>Commune 14/09/18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</si>
</sst>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\ _€"/>
    <numFmt numFmtId="166" formatCode="_-* #,##0\ _€_-;\-* #,##0\ _€_-;_-* &quot;-&quot;??\ _€_-;_-@_-"/>
    <numFmt numFmtId="167" formatCode="#,##0.00\ &quot;€&quot;"/>
    <numFmt numFmtId="168" formatCode="_(* #,##0.00_);_(* \(#,##0.00\);_(* &quot;-&quot;??_);_(@_)"/>
    <numFmt numFmtId="169" formatCode="[$-40C]mmmm\-yy;@"/>
    <numFmt numFmtId="170" formatCode="[$-40C]mmm\-yy;@"/>
    <numFmt numFmtId="171" formatCode="&quot;NH PROG&quot;\ 0%"/>
    <numFmt numFmtId="172" formatCode="&quot;NH APS&quot;\ 0%"/>
    <numFmt numFmtId="173" formatCode="&quot;NH PC&quot;\ 0%"/>
    <numFmt numFmtId="174" formatCode="&quot;NH APD&quot;\ 0%"/>
    <numFmt numFmtId="175" formatCode="&quot;NH PRO&quot;\ 0%"/>
    <numFmt numFmtId="176" formatCode="0.0"/>
    <numFmt numFmtId="177" formatCode="&quot;NH VEFA&quot;\ 0%"/>
    <numFmt numFmtId="178" formatCode="&quot;NH OS&quot;\ 0%"/>
    <numFmt numFmtId="179" formatCode="&quot;NH Fondations&quot;\ 0%"/>
    <numFmt numFmtId="180" formatCode="&quot;NH R+1&quot;\ 0%"/>
    <numFmt numFmtId="181" formatCode="&quot;NH HDE&quot;\ 0%"/>
    <numFmt numFmtId="192" formatCode="&quot;NH HDA&quot;\ 0%"/>
    <numFmt numFmtId="193" formatCode="#,##0.00\ _€"/>
    <numFmt numFmtId="194" formatCode="&quot;NH Cloisons&quot;\ 0%"/>
    <numFmt numFmtId="195" formatCode="&quot;NH ESQ&quot;\ 0%"/>
    <numFmt numFmtId="196" formatCode="&quot;NH CAO&quot;\ 0%"/>
    <numFmt numFmtId="197" formatCode="&quot;NH DAT&quot;\ 0%"/>
    <numFmt numFmtId="198" formatCode="&quot;NH RDC&quot;\ 0%"/>
    <numFmt numFmtId="199" formatCode="&quot;NH bilan&quot;\ 0%"/>
    <numFmt numFmtId="200" formatCode="#,##0.0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i/>
      <sz val="12"/>
      <color rgb="FFFF0000"/>
      <name val="Verdana"/>
      <family val="2"/>
    </font>
    <font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sz val="11"/>
      <color rgb="FFFF0000"/>
      <name val="Verdana"/>
      <family val="2"/>
    </font>
    <font>
      <b/>
      <i/>
      <sz val="12"/>
      <name val="Verdana"/>
      <family val="2"/>
    </font>
    <font>
      <sz val="10"/>
      <name val="Calibri"/>
      <family val="2"/>
      <scheme val="minor"/>
    </font>
    <font>
      <b/>
      <sz val="12"/>
      <color theme="0"/>
      <name val="Verdana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gray0625">
        <bgColor theme="0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lightGray">
        <bgColor rgb="FFC6EFCE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99FF"/>
        <bgColor indexed="64"/>
      </patternFill>
    </fill>
    <fill>
      <patternFill patternType="gray125">
        <bgColor theme="5" tint="0.39997558519241921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gray125">
        <bgColor theme="1" tint="0.34998626667073579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FF000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12" fillId="0" borderId="0"/>
    <xf numFmtId="0" fontId="16" fillId="0" borderId="0"/>
    <xf numFmtId="168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25" fillId="0" borderId="0"/>
    <xf numFmtId="9" fontId="26" fillId="0" borderId="0" applyFont="0" applyFill="0" applyBorder="0" applyAlignment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43" fillId="0" borderId="0">
      <alignment vertical="center"/>
    </xf>
  </cellStyleXfs>
  <cellXfs count="921">
    <xf numFmtId="0" fontId="0" fillId="0" borderId="0" xfId="0"/>
    <xf numFmtId="0" fontId="5" fillId="4" borderId="1" xfId="5" applyFont="1" applyBorder="1" applyAlignment="1">
      <alignment horizontal="center" vertical="center" wrapText="1"/>
    </xf>
    <xf numFmtId="0" fontId="8" fillId="8" borderId="0" xfId="5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5" fontId="0" fillId="10" borderId="1" xfId="0" applyNumberFormat="1" applyFont="1" applyFill="1" applyBorder="1" applyAlignment="1">
      <alignment horizontal="center" vertical="center"/>
    </xf>
    <xf numFmtId="165" fontId="0" fillId="11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3" fontId="8" fillId="11" borderId="1" xfId="1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horizontal="left" indent="1"/>
    </xf>
    <xf numFmtId="0" fontId="8" fillId="8" borderId="1" xfId="0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165" fontId="8" fillId="10" borderId="1" xfId="0" applyNumberFormat="1" applyFont="1" applyFill="1" applyBorder="1" applyAlignment="1">
      <alignment horizontal="center" vertical="center"/>
    </xf>
    <xf numFmtId="165" fontId="0" fillId="19" borderId="1" xfId="0" applyNumberFormat="1" applyFon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2" borderId="1" xfId="5" applyFont="1" applyFill="1" applyBorder="1" applyAlignment="1">
      <alignment horizontal="center" vertical="center"/>
    </xf>
    <xf numFmtId="0" fontId="8" fillId="17" borderId="1" xfId="7" applyFont="1" applyFill="1" applyBorder="1" applyAlignment="1">
      <alignment horizontal="center" vertical="center" wrapText="1"/>
    </xf>
    <xf numFmtId="165" fontId="0" fillId="24" borderId="1" xfId="0" applyNumberFormat="1" applyFont="1" applyFill="1" applyBorder="1" applyAlignment="1">
      <alignment horizontal="center" vertical="center"/>
    </xf>
    <xf numFmtId="165" fontId="8" fillId="24" borderId="1" xfId="0" applyNumberFormat="1" applyFont="1" applyFill="1" applyBorder="1" applyAlignment="1">
      <alignment horizontal="center" vertical="center"/>
    </xf>
    <xf numFmtId="165" fontId="0" fillId="23" borderId="1" xfId="0" applyNumberFormat="1" applyFont="1" applyFill="1" applyBorder="1" applyAlignment="1">
      <alignment horizontal="center" vertical="center"/>
    </xf>
    <xf numFmtId="9" fontId="8" fillId="11" borderId="1" xfId="2" applyFont="1" applyFill="1" applyBorder="1" applyAlignment="1">
      <alignment horizontal="center" vertical="center" wrapText="1"/>
    </xf>
    <xf numFmtId="43" fontId="8" fillId="25" borderId="1" xfId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/>
    <xf numFmtId="9" fontId="0" fillId="0" borderId="0" xfId="2" applyFont="1" applyAlignment="1">
      <alignment horizontal="center"/>
    </xf>
    <xf numFmtId="165" fontId="8" fillId="0" borderId="1" xfId="0" applyNumberFormat="1" applyFont="1" applyBorder="1" applyAlignment="1">
      <alignment horizontal="center" vertical="center"/>
    </xf>
    <xf numFmtId="165" fontId="8" fillId="19" borderId="1" xfId="0" applyNumberFormat="1" applyFont="1" applyFill="1" applyBorder="1" applyAlignment="1">
      <alignment horizontal="center" vertical="center"/>
    </xf>
    <xf numFmtId="4" fontId="8" fillId="27" borderId="7" xfId="0" applyNumberFormat="1" applyFont="1" applyFill="1" applyBorder="1" applyAlignment="1">
      <alignment horizontal="center" vertical="center"/>
    </xf>
    <xf numFmtId="165" fontId="0" fillId="19" borderId="8" xfId="0" applyNumberFormat="1" applyFont="1" applyFill="1" applyBorder="1" applyAlignment="1">
      <alignment horizontal="center" vertical="center"/>
    </xf>
    <xf numFmtId="9" fontId="0" fillId="19" borderId="8" xfId="2" applyFont="1" applyFill="1" applyBorder="1" applyAlignment="1">
      <alignment horizontal="center" vertical="center"/>
    </xf>
    <xf numFmtId="3" fontId="0" fillId="0" borderId="2" xfId="0" applyNumberFormat="1" applyFont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4" fontId="0" fillId="8" borderId="8" xfId="0" applyNumberFormat="1" applyFont="1" applyFill="1" applyBorder="1" applyAlignment="1">
      <alignment horizontal="center" vertical="center"/>
    </xf>
    <xf numFmtId="4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vertical="center"/>
    </xf>
    <xf numFmtId="3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8" xfId="0" applyNumberFormat="1" applyFont="1" applyFill="1" applyBorder="1" applyAlignment="1">
      <alignment horizontal="center" vertical="center"/>
    </xf>
    <xf numFmtId="0" fontId="0" fillId="14" borderId="8" xfId="0" applyFont="1" applyFill="1" applyBorder="1" applyAlignment="1">
      <alignment horizontal="center" vertical="center"/>
    </xf>
    <xf numFmtId="3" fontId="0" fillId="14" borderId="8" xfId="0" applyNumberFormat="1" applyFont="1" applyFill="1" applyBorder="1" applyAlignment="1">
      <alignment horizontal="center" vertical="center"/>
    </xf>
    <xf numFmtId="43" fontId="8" fillId="11" borderId="8" xfId="1" applyFont="1" applyFill="1" applyBorder="1" applyAlignment="1">
      <alignment horizontal="center" vertical="center" wrapText="1"/>
    </xf>
    <xf numFmtId="165" fontId="0" fillId="11" borderId="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/>
    </xf>
    <xf numFmtId="165" fontId="8" fillId="11" borderId="8" xfId="0" applyNumberFormat="1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 wrapText="1"/>
    </xf>
    <xf numFmtId="3" fontId="5" fillId="28" borderId="0" xfId="0" applyNumberFormat="1" applyFont="1" applyFill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41" fontId="0" fillId="8" borderId="8" xfId="0" applyNumberFormat="1" applyFont="1" applyFill="1" applyBorder="1" applyAlignment="1">
      <alignment horizontal="center" vertical="center"/>
    </xf>
    <xf numFmtId="41" fontId="8" fillId="8" borderId="8" xfId="0" applyNumberFormat="1" applyFont="1" applyFill="1" applyBorder="1" applyAlignment="1">
      <alignment horizontal="center" vertical="center"/>
    </xf>
    <xf numFmtId="9" fontId="0" fillId="8" borderId="8" xfId="2" applyFont="1" applyFill="1" applyBorder="1" applyAlignment="1">
      <alignment horizontal="center" vertical="center"/>
    </xf>
    <xf numFmtId="9" fontId="8" fillId="8" borderId="8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5" fontId="8" fillId="19" borderId="8" xfId="0" applyNumberFormat="1" applyFont="1" applyFill="1" applyBorder="1" applyAlignment="1">
      <alignment horizontal="center" vertical="center"/>
    </xf>
    <xf numFmtId="4" fontId="0" fillId="25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/>
    </xf>
    <xf numFmtId="165" fontId="0" fillId="12" borderId="8" xfId="0" applyNumberFormat="1" applyFont="1" applyFill="1" applyBorder="1" applyAlignment="1">
      <alignment horizontal="center" vertical="center"/>
    </xf>
    <xf numFmtId="9" fontId="8" fillId="11" borderId="8" xfId="2" applyFont="1" applyFill="1" applyBorder="1" applyAlignment="1">
      <alignment horizontal="center" vertical="center" wrapText="1"/>
    </xf>
    <xf numFmtId="165" fontId="0" fillId="8" borderId="8" xfId="0" applyNumberFormat="1" applyFont="1" applyFill="1" applyBorder="1" applyAlignment="1">
      <alignment horizontal="center" vertical="center"/>
    </xf>
    <xf numFmtId="4" fontId="8" fillId="27" borderId="8" xfId="0" applyNumberFormat="1" applyFont="1" applyFill="1" applyBorder="1" applyAlignment="1">
      <alignment horizontal="center" vertical="center"/>
    </xf>
    <xf numFmtId="165" fontId="0" fillId="23" borderId="8" xfId="0" applyNumberFormat="1" applyFont="1" applyFill="1" applyBorder="1" applyAlignment="1">
      <alignment horizontal="center" vertical="center"/>
    </xf>
    <xf numFmtId="4" fontId="9" fillId="25" borderId="8" xfId="0" applyNumberFormat="1" applyFont="1" applyFill="1" applyBorder="1" applyAlignment="1">
      <alignment horizontal="center" vertical="center"/>
    </xf>
    <xf numFmtId="165" fontId="0" fillId="10" borderId="8" xfId="0" applyNumberFormat="1" applyFont="1" applyFill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165" fontId="0" fillId="24" borderId="8" xfId="0" applyNumberFormat="1" applyFont="1" applyFill="1" applyBorder="1" applyAlignment="1">
      <alignment horizontal="center" vertical="center"/>
    </xf>
    <xf numFmtId="43" fontId="8" fillId="25" borderId="8" xfId="1" applyFont="1" applyFill="1" applyBorder="1" applyAlignment="1">
      <alignment horizontal="center" vertical="center" wrapText="1"/>
    </xf>
    <xf numFmtId="0" fontId="8" fillId="22" borderId="8" xfId="5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 wrapText="1"/>
    </xf>
    <xf numFmtId="14" fontId="8" fillId="22" borderId="8" xfId="5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/>
    </xf>
    <xf numFmtId="164" fontId="8" fillId="17" borderId="8" xfId="6" applyNumberFormat="1" applyFont="1" applyFill="1" applyBorder="1" applyAlignment="1">
      <alignment horizontal="center" vertical="center"/>
    </xf>
    <xf numFmtId="0" fontId="5" fillId="17" borderId="8" xfId="7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0" fontId="8" fillId="9" borderId="1" xfId="8" applyFont="1" applyFill="1" applyBorder="1" applyAlignment="1">
      <alignment horizontal="center" vertical="center"/>
    </xf>
    <xf numFmtId="164" fontId="8" fillId="9" borderId="1" xfId="8" applyNumberFormat="1" applyFont="1" applyFill="1" applyBorder="1" applyAlignment="1">
      <alignment horizontal="center" vertical="center"/>
    </xf>
    <xf numFmtId="41" fontId="0" fillId="8" borderId="1" xfId="0" applyNumberFormat="1" applyFont="1" applyFill="1" applyBorder="1" applyAlignment="1">
      <alignment horizontal="center" vertical="center"/>
    </xf>
    <xf numFmtId="9" fontId="0" fillId="14" borderId="8" xfId="2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/>
    </xf>
    <xf numFmtId="0" fontId="8" fillId="17" borderId="1" xfId="3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/>
    </xf>
    <xf numFmtId="0" fontId="8" fillId="17" borderId="8" xfId="7" applyFont="1" applyFill="1" applyBorder="1" applyAlignment="1">
      <alignment horizontal="center" vertical="center" wrapText="1"/>
    </xf>
    <xf numFmtId="0" fontId="8" fillId="17" borderId="8" xfId="3" applyFont="1" applyFill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/>
    </xf>
    <xf numFmtId="0" fontId="0" fillId="32" borderId="8" xfId="0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/>
    </xf>
    <xf numFmtId="1" fontId="8" fillId="32" borderId="8" xfId="1" applyNumberFormat="1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169" fontId="9" fillId="8" borderId="8" xfId="1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/>
    </xf>
    <xf numFmtId="164" fontId="8" fillId="8" borderId="8" xfId="0" applyNumberFormat="1" applyFont="1" applyFill="1" applyBorder="1" applyAlignment="1">
      <alignment horizontal="center" vertical="center"/>
    </xf>
    <xf numFmtId="1" fontId="9" fillId="8" borderId="8" xfId="1" applyNumberFormat="1" applyFont="1" applyFill="1" applyBorder="1" applyAlignment="1">
      <alignment horizontal="center" vertical="center"/>
    </xf>
    <xf numFmtId="1" fontId="0" fillId="32" borderId="8" xfId="0" applyNumberFormat="1" applyFont="1" applyFill="1" applyBorder="1" applyAlignment="1">
      <alignment horizontal="center" vertical="center"/>
    </xf>
    <xf numFmtId="164" fontId="0" fillId="32" borderId="8" xfId="1" applyNumberFormat="1" applyFont="1" applyFill="1" applyBorder="1" applyAlignment="1">
      <alignment horizontal="center" vertical="center"/>
    </xf>
    <xf numFmtId="9" fontId="0" fillId="11" borderId="1" xfId="2" applyFont="1" applyFill="1" applyBorder="1" applyAlignment="1">
      <alignment horizontal="center" vertical="center"/>
    </xf>
    <xf numFmtId="9" fontId="0" fillId="11" borderId="8" xfId="2" applyFont="1" applyFill="1" applyBorder="1" applyAlignment="1">
      <alignment horizontal="center" vertical="center"/>
    </xf>
    <xf numFmtId="10" fontId="0" fillId="29" borderId="8" xfId="2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41" fontId="0" fillId="8" borderId="0" xfId="0" applyNumberFormat="1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41" fontId="0" fillId="0" borderId="0" xfId="0" applyNumberFormat="1" applyFont="1" applyBorder="1" applyAlignment="1">
      <alignment horizontal="center"/>
    </xf>
    <xf numFmtId="0" fontId="0" fillId="24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8" fillId="13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5" fillId="8" borderId="0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9" borderId="1" xfId="3" applyFont="1" applyFill="1" applyBorder="1" applyAlignment="1">
      <alignment horizontal="center" vertical="center" wrapText="1"/>
    </xf>
    <xf numFmtId="43" fontId="5" fillId="17" borderId="1" xfId="3" applyNumberFormat="1" applyFont="1" applyFill="1" applyBorder="1" applyAlignment="1">
      <alignment horizontal="center" vertical="center" wrapText="1"/>
    </xf>
    <xf numFmtId="0" fontId="8" fillId="2" borderId="1" xfId="3" applyFont="1" applyBorder="1" applyAlignment="1">
      <alignment horizontal="center" vertical="center" wrapText="1"/>
    </xf>
    <xf numFmtId="43" fontId="8" fillId="2" borderId="1" xfId="3" applyNumberFormat="1" applyFont="1" applyBorder="1" applyAlignment="1">
      <alignment horizontal="center" vertical="center" wrapText="1"/>
    </xf>
    <xf numFmtId="43" fontId="8" fillId="2" borderId="8" xfId="3" applyNumberFormat="1" applyFont="1" applyBorder="1" applyAlignment="1">
      <alignment horizontal="center" vertical="center" wrapText="1"/>
    </xf>
    <xf numFmtId="0" fontId="8" fillId="2" borderId="8" xfId="3" applyFont="1" applyBorder="1" applyAlignment="1">
      <alignment horizontal="center" vertical="center" wrapText="1"/>
    </xf>
    <xf numFmtId="14" fontId="8" fillId="17" borderId="1" xfId="7" applyNumberFormat="1" applyFont="1" applyFill="1" applyBorder="1" applyAlignment="1">
      <alignment horizontal="center" vertical="center"/>
    </xf>
    <xf numFmtId="14" fontId="8" fillId="17" borderId="8" xfId="7" applyNumberFormat="1" applyFont="1" applyFill="1" applyBorder="1" applyAlignment="1">
      <alignment horizontal="center" vertical="center"/>
    </xf>
    <xf numFmtId="164" fontId="8" fillId="9" borderId="1" xfId="6" applyNumberFormat="1" applyFont="1" applyFill="1" applyBorder="1" applyAlignment="1">
      <alignment horizontal="center" vertical="center"/>
    </xf>
    <xf numFmtId="14" fontId="8" fillId="2" borderId="1" xfId="3" applyNumberFormat="1" applyFont="1" applyBorder="1" applyAlignment="1">
      <alignment horizontal="center" vertical="center" wrapText="1"/>
    </xf>
    <xf numFmtId="14" fontId="8" fillId="17" borderId="8" xfId="7" applyNumberFormat="1" applyFont="1" applyFill="1" applyBorder="1" applyAlignment="1">
      <alignment horizontal="center" vertical="center" wrapText="1"/>
    </xf>
    <xf numFmtId="0" fontId="8" fillId="17" borderId="8" xfId="7" applyFont="1" applyFill="1" applyBorder="1" applyAlignment="1">
      <alignment horizontal="center" vertical="center"/>
    </xf>
    <xf numFmtId="164" fontId="8" fillId="9" borderId="8" xfId="6" applyNumberFormat="1" applyFont="1" applyFill="1" applyBorder="1" applyAlignment="1">
      <alignment horizontal="center" vertical="center"/>
    </xf>
    <xf numFmtId="0" fontId="8" fillId="9" borderId="8" xfId="8" applyFont="1" applyFill="1" applyBorder="1" applyAlignment="1">
      <alignment horizontal="center" vertical="center"/>
    </xf>
    <xf numFmtId="164" fontId="8" fillId="9" borderId="8" xfId="8" applyNumberFormat="1" applyFont="1" applyFill="1" applyBorder="1" applyAlignment="1">
      <alignment horizontal="center" vertical="center"/>
    </xf>
    <xf numFmtId="0" fontId="8" fillId="8" borderId="0" xfId="4" applyFont="1" applyFill="1" applyBorder="1" applyAlignment="1">
      <alignment horizontal="center"/>
    </xf>
    <xf numFmtId="164" fontId="8" fillId="8" borderId="0" xfId="5" applyNumberFormat="1" applyFont="1" applyFill="1" applyBorder="1" applyAlignment="1">
      <alignment horizontal="center"/>
    </xf>
    <xf numFmtId="0" fontId="8" fillId="8" borderId="0" xfId="7" applyFont="1" applyFill="1" applyBorder="1" applyAlignment="1">
      <alignment horizontal="center"/>
    </xf>
    <xf numFmtId="164" fontId="8" fillId="8" borderId="0" xfId="7" applyNumberFormat="1" applyFont="1" applyFill="1" applyBorder="1" applyAlignment="1">
      <alignment horizontal="center"/>
    </xf>
    <xf numFmtId="164" fontId="8" fillId="8" borderId="0" xfId="6" applyNumberFormat="1" applyFont="1" applyFill="1" applyBorder="1" applyAlignment="1">
      <alignment horizontal="center"/>
    </xf>
    <xf numFmtId="164" fontId="8" fillId="8" borderId="0" xfId="8" applyNumberFormat="1" applyFont="1" applyFill="1" applyBorder="1" applyAlignment="1">
      <alignment horizontal="center"/>
    </xf>
    <xf numFmtId="0" fontId="8" fillId="8" borderId="0" xfId="3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7" fontId="5" fillId="0" borderId="0" xfId="0" applyNumberFormat="1" applyFont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 wrapText="1"/>
    </xf>
    <xf numFmtId="41" fontId="0" fillId="14" borderId="8" xfId="0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 wrapText="1"/>
    </xf>
    <xf numFmtId="164" fontId="9" fillId="8" borderId="8" xfId="1" applyNumberFormat="1" applyFont="1" applyFill="1" applyBorder="1" applyAlignment="1">
      <alignment horizontal="center" vertical="center"/>
    </xf>
    <xf numFmtId="164" fontId="0" fillId="8" borderId="8" xfId="2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 wrapText="1"/>
    </xf>
    <xf numFmtId="14" fontId="0" fillId="8" borderId="8" xfId="2" applyNumberFormat="1" applyFont="1" applyFill="1" applyBorder="1" applyAlignment="1">
      <alignment horizontal="center" vertical="center"/>
    </xf>
    <xf numFmtId="14" fontId="8" fillId="8" borderId="8" xfId="0" applyNumberFormat="1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 wrapText="1"/>
    </xf>
    <xf numFmtId="14" fontId="8" fillId="22" borderId="8" xfId="5" applyNumberFormat="1" applyFont="1" applyFill="1" applyBorder="1" applyAlignment="1">
      <alignment horizontal="center" vertical="center" wrapText="1"/>
    </xf>
    <xf numFmtId="1" fontId="0" fillId="8" borderId="8" xfId="0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9" fontId="0" fillId="14" borderId="1" xfId="2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 wrapText="1"/>
    </xf>
    <xf numFmtId="0" fontId="5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/>
    </xf>
    <xf numFmtId="14" fontId="8" fillId="38" borderId="8" xfId="7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9" fontId="0" fillId="9" borderId="8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3" fontId="8" fillId="9" borderId="8" xfId="0" applyNumberFormat="1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9" fontId="8" fillId="9" borderId="8" xfId="2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 wrapText="1"/>
    </xf>
    <xf numFmtId="3" fontId="8" fillId="9" borderId="8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0" xfId="3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/>
    </xf>
    <xf numFmtId="0" fontId="8" fillId="9" borderId="0" xfId="0" applyFont="1" applyFill="1" applyAlignment="1">
      <alignment horizontal="center"/>
    </xf>
    <xf numFmtId="0" fontId="8" fillId="9" borderId="0" xfId="0" applyFont="1" applyFill="1" applyAlignment="1">
      <alignment horizontal="center" vertical="center"/>
    </xf>
    <xf numFmtId="44" fontId="8" fillId="9" borderId="0" xfId="0" applyNumberFormat="1" applyFont="1" applyFill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4" fontId="9" fillId="25" borderId="1" xfId="0" applyNumberFormat="1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3" fontId="0" fillId="32" borderId="8" xfId="0" applyNumberFormat="1" applyFont="1" applyFill="1" applyBorder="1" applyAlignment="1">
      <alignment horizontal="center" vertical="center"/>
    </xf>
    <xf numFmtId="3" fontId="8" fillId="8" borderId="8" xfId="1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 wrapText="1"/>
    </xf>
    <xf numFmtId="164" fontId="8" fillId="33" borderId="8" xfId="1" applyNumberFormat="1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 wrapText="1"/>
    </xf>
    <xf numFmtId="14" fontId="0" fillId="33" borderId="8" xfId="2" applyNumberFormat="1" applyFont="1" applyFill="1" applyBorder="1" applyAlignment="1">
      <alignment horizontal="center" vertical="center"/>
    </xf>
    <xf numFmtId="14" fontId="8" fillId="33" borderId="8" xfId="0" applyNumberFormat="1" applyFont="1" applyFill="1" applyBorder="1" applyAlignment="1">
      <alignment horizontal="center" vertical="center"/>
    </xf>
    <xf numFmtId="1" fontId="8" fillId="33" borderId="8" xfId="1" applyNumberFormat="1" applyFont="1" applyFill="1" applyBorder="1" applyAlignment="1">
      <alignment horizontal="center" vertical="center"/>
    </xf>
    <xf numFmtId="1" fontId="19" fillId="8" borderId="8" xfId="1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1" fontId="1" fillId="33" borderId="8" xfId="1" applyNumberFormat="1" applyFont="1" applyFill="1" applyBorder="1" applyAlignment="1">
      <alignment horizontal="center" vertical="center"/>
    </xf>
    <xf numFmtId="1" fontId="0" fillId="33" borderId="8" xfId="0" applyNumberFormat="1" applyFont="1" applyFill="1" applyBorder="1" applyAlignment="1">
      <alignment horizontal="center" vertical="center"/>
    </xf>
    <xf numFmtId="1" fontId="19" fillId="8" borderId="8" xfId="0" applyNumberFormat="1" applyFont="1" applyFill="1" applyBorder="1" applyAlignment="1">
      <alignment horizontal="center" vertical="center"/>
    </xf>
    <xf numFmtId="3" fontId="19" fillId="8" borderId="8" xfId="0" applyNumberFormat="1" applyFont="1" applyFill="1" applyBorder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14" fontId="8" fillId="2" borderId="8" xfId="3" applyNumberFormat="1" applyFont="1" applyBorder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1" fontId="8" fillId="32" borderId="8" xfId="0" applyNumberFormat="1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 wrapText="1"/>
    </xf>
    <xf numFmtId="14" fontId="9" fillId="2" borderId="8" xfId="3" applyNumberFormat="1" applyFont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/>
    </xf>
    <xf numFmtId="164" fontId="8" fillId="22" borderId="8" xfId="5" applyNumberFormat="1" applyFont="1" applyFill="1" applyBorder="1" applyAlignment="1">
      <alignment horizontal="center" vertical="center"/>
    </xf>
    <xf numFmtId="4" fontId="0" fillId="27" borderId="8" xfId="0" applyNumberFormat="1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9" fillId="8" borderId="8" xfId="0" applyNumberFormat="1" applyFont="1" applyFill="1" applyBorder="1" applyAlignment="1">
      <alignment horizontal="center" vertical="center"/>
    </xf>
    <xf numFmtId="170" fontId="9" fillId="0" borderId="8" xfId="0" applyNumberFormat="1" applyFont="1" applyBorder="1" applyAlignment="1">
      <alignment horizontal="center" vertical="center" wrapText="1"/>
    </xf>
    <xf numFmtId="0" fontId="0" fillId="29" borderId="0" xfId="0" applyFont="1" applyFill="1" applyAlignment="1">
      <alignment horizontal="center" vertical="center"/>
    </xf>
    <xf numFmtId="0" fontId="6" fillId="29" borderId="0" xfId="0" applyFont="1" applyFill="1" applyAlignment="1">
      <alignment horizontal="center" vertical="center"/>
    </xf>
    <xf numFmtId="0" fontId="0" fillId="29" borderId="8" xfId="0" applyFont="1" applyFill="1" applyBorder="1" applyAlignment="1">
      <alignment horizontal="center" vertical="center"/>
    </xf>
    <xf numFmtId="0" fontId="21" fillId="29" borderId="11" xfId="12" applyFont="1" applyFill="1" applyBorder="1"/>
    <xf numFmtId="0" fontId="21" fillId="29" borderId="11" xfId="9" applyFont="1" applyFill="1" applyBorder="1"/>
    <xf numFmtId="14" fontId="8" fillId="39" borderId="8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0" fontId="0" fillId="34" borderId="8" xfId="0" applyFont="1" applyFill="1" applyBorder="1" applyAlignment="1">
      <alignment horizontal="center" vertical="center"/>
    </xf>
    <xf numFmtId="169" fontId="9" fillId="0" borderId="8" xfId="0" applyNumberFormat="1" applyFont="1" applyBorder="1" applyAlignment="1">
      <alignment horizontal="center" vertical="center"/>
    </xf>
    <xf numFmtId="3" fontId="0" fillId="40" borderId="8" xfId="0" applyNumberFormat="1" applyFont="1" applyFill="1" applyBorder="1" applyAlignment="1">
      <alignment horizontal="center" vertical="center"/>
    </xf>
    <xf numFmtId="0" fontId="5" fillId="41" borderId="8" xfId="0" applyFont="1" applyFill="1" applyBorder="1" applyAlignment="1">
      <alignment horizontal="center" vertical="center" wrapText="1"/>
    </xf>
    <xf numFmtId="164" fontId="0" fillId="41" borderId="8" xfId="0" applyNumberFormat="1" applyFont="1" applyFill="1" applyBorder="1" applyAlignment="1">
      <alignment horizontal="center" vertical="center"/>
    </xf>
    <xf numFmtId="3" fontId="0" fillId="41" borderId="8" xfId="0" applyNumberFormat="1" applyFont="1" applyFill="1" applyBorder="1" applyAlignment="1">
      <alignment horizontal="center" vertical="center"/>
    </xf>
    <xf numFmtId="14" fontId="0" fillId="41" borderId="8" xfId="0" applyNumberFormat="1" applyFont="1" applyFill="1" applyBorder="1" applyAlignment="1">
      <alignment horizontal="center" vertical="center"/>
    </xf>
    <xf numFmtId="0" fontId="0" fillId="40" borderId="8" xfId="0" applyFont="1" applyFill="1" applyBorder="1" applyAlignment="1">
      <alignment horizontal="center" vertical="center"/>
    </xf>
    <xf numFmtId="164" fontId="9" fillId="8" borderId="8" xfId="0" applyNumberFormat="1" applyFont="1" applyFill="1" applyBorder="1" applyAlignment="1">
      <alignment horizontal="center" vertical="center"/>
    </xf>
    <xf numFmtId="3" fontId="9" fillId="41" borderId="8" xfId="0" applyNumberFormat="1" applyFont="1" applyFill="1" applyBorder="1" applyAlignment="1">
      <alignment horizontal="center" vertical="center"/>
    </xf>
    <xf numFmtId="0" fontId="6" fillId="34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3" fontId="6" fillId="34" borderId="8" xfId="0" applyNumberFormat="1" applyFont="1" applyFill="1" applyBorder="1" applyAlignment="1">
      <alignment horizontal="center" vertical="center"/>
    </xf>
    <xf numFmtId="3" fontId="8" fillId="41" borderId="8" xfId="0" applyNumberFormat="1" applyFont="1" applyFill="1" applyBorder="1" applyAlignment="1">
      <alignment horizontal="center" vertical="center"/>
    </xf>
    <xf numFmtId="0" fontId="8" fillId="16" borderId="8" xfId="5" applyFont="1" applyFill="1" applyBorder="1" applyAlignment="1">
      <alignment horizontal="center" vertical="center"/>
    </xf>
    <xf numFmtId="165" fontId="8" fillId="10" borderId="8" xfId="0" applyNumberFormat="1" applyFont="1" applyFill="1" applyBorder="1" applyAlignment="1">
      <alignment horizontal="center" vertical="center"/>
    </xf>
    <xf numFmtId="14" fontId="8" fillId="10" borderId="8" xfId="0" applyNumberFormat="1" applyFont="1" applyFill="1" applyBorder="1" applyAlignment="1">
      <alignment horizontal="center" vertical="center"/>
    </xf>
    <xf numFmtId="164" fontId="8" fillId="42" borderId="8" xfId="6" applyNumberFormat="1" applyFont="1" applyFill="1" applyBorder="1" applyAlignment="1">
      <alignment horizontal="center" vertical="center"/>
    </xf>
    <xf numFmtId="164" fontId="8" fillId="42" borderId="8" xfId="7" applyNumberFormat="1" applyFont="1" applyFill="1" applyBorder="1" applyAlignment="1">
      <alignment horizontal="center" vertical="center"/>
    </xf>
    <xf numFmtId="0" fontId="0" fillId="33" borderId="8" xfId="0" applyFont="1" applyFill="1" applyBorder="1" applyAlignment="1">
      <alignment horizontal="center" vertical="center"/>
    </xf>
    <xf numFmtId="14" fontId="0" fillId="33" borderId="8" xfId="2" applyNumberFormat="1" applyFont="1" applyFill="1" applyBorder="1" applyAlignment="1">
      <alignment horizontal="center" vertical="center" wrapText="1"/>
    </xf>
    <xf numFmtId="165" fontId="8" fillId="12" borderId="8" xfId="0" applyNumberFormat="1" applyFont="1" applyFill="1" applyBorder="1" applyAlignment="1">
      <alignment horizontal="center" vertical="center"/>
    </xf>
    <xf numFmtId="0" fontId="6" fillId="41" borderId="8" xfId="0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4" fontId="5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/>
    </xf>
    <xf numFmtId="0" fontId="0" fillId="41" borderId="8" xfId="0" applyFont="1" applyFill="1" applyBorder="1" applyAlignment="1">
      <alignment horizontal="center" vertical="center"/>
    </xf>
    <xf numFmtId="0" fontId="13" fillId="41" borderId="8" xfId="0" applyFont="1" applyFill="1" applyBorder="1" applyAlignment="1">
      <alignment horizontal="center" vertical="center"/>
    </xf>
    <xf numFmtId="0" fontId="6" fillId="44" borderId="0" xfId="0" applyFont="1" applyFill="1" applyAlignment="1">
      <alignment horizontal="center" vertical="center"/>
    </xf>
    <xf numFmtId="9" fontId="8" fillId="10" borderId="8" xfId="2" applyFont="1" applyFill="1" applyBorder="1" applyAlignment="1">
      <alignment horizontal="center" vertical="center" wrapText="1"/>
    </xf>
    <xf numFmtId="0" fontId="8" fillId="9" borderId="8" xfId="3" applyFont="1" applyFill="1" applyBorder="1" applyAlignment="1">
      <alignment horizontal="center" vertical="center" wrapText="1"/>
    </xf>
    <xf numFmtId="0" fontId="8" fillId="9" borderId="8" xfId="8" applyFont="1" applyFill="1" applyBorder="1" applyAlignment="1">
      <alignment horizontal="center" vertical="center" wrapText="1"/>
    </xf>
    <xf numFmtId="164" fontId="8" fillId="9" borderId="8" xfId="8" applyNumberFormat="1" applyFont="1" applyFill="1" applyBorder="1" applyAlignment="1">
      <alignment horizontal="center" vertical="center" wrapText="1"/>
    </xf>
    <xf numFmtId="14" fontId="8" fillId="33" borderId="1" xfId="3" applyNumberFormat="1" applyFont="1" applyFill="1" applyBorder="1" applyAlignment="1">
      <alignment horizontal="center" vertical="center" wrapText="1"/>
    </xf>
    <xf numFmtId="3" fontId="6" fillId="9" borderId="8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9" fontId="6" fillId="0" borderId="0" xfId="2" applyFont="1" applyAlignment="1">
      <alignment horizontal="center" vertical="center" wrapText="1"/>
    </xf>
    <xf numFmtId="0" fontId="6" fillId="32" borderId="8" xfId="0" applyFont="1" applyFill="1" applyBorder="1" applyAlignment="1">
      <alignment horizontal="center" vertical="center"/>
    </xf>
    <xf numFmtId="3" fontId="8" fillId="32" borderId="8" xfId="0" applyNumberFormat="1" applyFont="1" applyFill="1" applyBorder="1" applyAlignment="1">
      <alignment horizontal="center" vertical="center"/>
    </xf>
    <xf numFmtId="164" fontId="8" fillId="32" borderId="8" xfId="0" applyNumberFormat="1" applyFont="1" applyFill="1" applyBorder="1" applyAlignment="1">
      <alignment horizontal="center" vertical="center"/>
    </xf>
    <xf numFmtId="14" fontId="8" fillId="32" borderId="8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1" fontId="5" fillId="8" borderId="1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64" fontId="8" fillId="32" borderId="8" xfId="0" applyNumberFormat="1" applyFont="1" applyFill="1" applyBorder="1" applyAlignment="1">
      <alignment horizontal="center" vertical="center" wrapText="1"/>
    </xf>
    <xf numFmtId="3" fontId="6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/>
    </xf>
    <xf numFmtId="0" fontId="8" fillId="33" borderId="8" xfId="0" applyFont="1" applyFill="1" applyBorder="1" applyAlignment="1">
      <alignment horizontal="center" vertical="center"/>
    </xf>
    <xf numFmtId="1" fontId="8" fillId="33" borderId="8" xfId="0" applyNumberFormat="1" applyFont="1" applyFill="1" applyBorder="1" applyAlignment="1">
      <alignment horizontal="center" vertical="center"/>
    </xf>
    <xf numFmtId="3" fontId="8" fillId="33" borderId="8" xfId="0" applyNumberFormat="1" applyFont="1" applyFill="1" applyBorder="1" applyAlignment="1">
      <alignment horizontal="center" vertical="center"/>
    </xf>
    <xf numFmtId="14" fontId="9" fillId="33" borderId="8" xfId="0" applyNumberFormat="1" applyFont="1" applyFill="1" applyBorder="1" applyAlignment="1">
      <alignment horizontal="center" vertical="center"/>
    </xf>
    <xf numFmtId="0" fontId="6" fillId="33" borderId="8" xfId="0" applyFont="1" applyFill="1" applyBorder="1" applyAlignment="1">
      <alignment horizontal="center" vertical="center"/>
    </xf>
    <xf numFmtId="164" fontId="9" fillId="33" borderId="8" xfId="0" applyNumberFormat="1" applyFont="1" applyFill="1" applyBorder="1" applyAlignment="1">
      <alignment horizontal="center" vertical="center"/>
    </xf>
    <xf numFmtId="3" fontId="9" fillId="33" borderId="8" xfId="0" applyNumberFormat="1" applyFont="1" applyFill="1" applyBorder="1" applyAlignment="1">
      <alignment horizontal="center" vertical="center"/>
    </xf>
    <xf numFmtId="3" fontId="0" fillId="33" borderId="8" xfId="0" applyNumberFormat="1" applyFont="1" applyFill="1" applyBorder="1" applyAlignment="1">
      <alignment horizontal="center" vertical="center"/>
    </xf>
    <xf numFmtId="3" fontId="6" fillId="33" borderId="8" xfId="0" applyNumberFormat="1" applyFont="1" applyFill="1" applyBorder="1" applyAlignment="1">
      <alignment horizontal="center" vertical="center"/>
    </xf>
    <xf numFmtId="0" fontId="19" fillId="8" borderId="8" xfId="0" applyNumberFormat="1" applyFont="1" applyFill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14" fontId="8" fillId="33" borderId="8" xfId="3" applyNumberFormat="1" applyFont="1" applyFill="1" applyBorder="1" applyAlignment="1">
      <alignment horizontal="center" vertical="center" wrapText="1"/>
    </xf>
    <xf numFmtId="0" fontId="0" fillId="32" borderId="13" xfId="0" applyNumberFormat="1" applyFont="1" applyFill="1" applyBorder="1" applyAlignment="1">
      <alignment horizontal="center" vertical="center"/>
    </xf>
    <xf numFmtId="0" fontId="1" fillId="33" borderId="13" xfId="1" applyNumberFormat="1" applyFont="1" applyFill="1" applyBorder="1" applyAlignment="1">
      <alignment horizontal="center" vertical="center"/>
    </xf>
    <xf numFmtId="0" fontId="8" fillId="32" borderId="13" xfId="1" applyNumberFormat="1" applyFont="1" applyFill="1" applyBorder="1" applyAlignment="1">
      <alignment horizontal="center" vertical="center"/>
    </xf>
    <xf numFmtId="0" fontId="19" fillId="8" borderId="13" xfId="0" applyNumberFormat="1" applyFont="1" applyFill="1" applyBorder="1" applyAlignment="1">
      <alignment horizontal="center" vertical="center"/>
    </xf>
    <xf numFmtId="0" fontId="19" fillId="8" borderId="13" xfId="2" applyNumberFormat="1" applyFont="1" applyFill="1" applyBorder="1" applyAlignment="1">
      <alignment horizontal="center" vertical="center"/>
    </xf>
    <xf numFmtId="0" fontId="17" fillId="8" borderId="13" xfId="1" applyNumberFormat="1" applyFont="1" applyFill="1" applyBorder="1" applyAlignment="1">
      <alignment horizontal="center" vertical="center"/>
    </xf>
    <xf numFmtId="164" fontId="8" fillId="33" borderId="15" xfId="1" applyNumberFormat="1" applyFont="1" applyFill="1" applyBorder="1" applyAlignment="1">
      <alignment horizontal="center" vertical="center"/>
    </xf>
    <xf numFmtId="164" fontId="0" fillId="32" borderId="15" xfId="0" applyNumberFormat="1" applyFont="1" applyFill="1" applyBorder="1" applyAlignment="1">
      <alignment horizontal="center" vertical="center"/>
    </xf>
    <xf numFmtId="164" fontId="8" fillId="32" borderId="15" xfId="1" applyNumberFormat="1" applyFont="1" applyFill="1" applyBorder="1" applyAlignment="1">
      <alignment horizontal="center" vertical="center"/>
    </xf>
    <xf numFmtId="164" fontId="8" fillId="33" borderId="15" xfId="0" applyNumberFormat="1" applyFont="1" applyFill="1" applyBorder="1" applyAlignment="1">
      <alignment horizontal="center" vertical="center"/>
    </xf>
    <xf numFmtId="164" fontId="0" fillId="32" borderId="15" xfId="1" applyNumberFormat="1" applyFont="1" applyFill="1" applyBorder="1" applyAlignment="1">
      <alignment horizontal="center" vertical="center"/>
    </xf>
    <xf numFmtId="169" fontId="9" fillId="8" borderId="15" xfId="1" applyNumberFormat="1" applyFont="1" applyFill="1" applyBorder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  <xf numFmtId="164" fontId="8" fillId="14" borderId="8" xfId="7" applyNumberFormat="1" applyFont="1" applyFill="1" applyBorder="1" applyAlignment="1">
      <alignment horizontal="center" vertical="center"/>
    </xf>
    <xf numFmtId="0" fontId="8" fillId="33" borderId="13" xfId="0" applyNumberFormat="1" applyFont="1" applyFill="1" applyBorder="1" applyAlignment="1">
      <alignment horizontal="center" vertical="center"/>
    </xf>
    <xf numFmtId="0" fontId="6" fillId="29" borderId="5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 wrapText="1"/>
    </xf>
    <xf numFmtId="0" fontId="6" fillId="29" borderId="10" xfId="0" applyFont="1" applyFill="1" applyBorder="1" applyAlignment="1">
      <alignment horizontal="center" vertical="center"/>
    </xf>
    <xf numFmtId="41" fontId="6" fillId="29" borderId="2" xfId="0" applyNumberFormat="1" applyFont="1" applyFill="1" applyBorder="1" applyAlignment="1">
      <alignment horizontal="center" vertical="center"/>
    </xf>
    <xf numFmtId="0" fontId="6" fillId="29" borderId="6" xfId="0" applyFont="1" applyFill="1" applyBorder="1" applyAlignment="1">
      <alignment horizontal="center" vertical="center"/>
    </xf>
    <xf numFmtId="41" fontId="6" fillId="29" borderId="0" xfId="0" applyNumberFormat="1" applyFont="1" applyFill="1" applyAlignment="1">
      <alignment horizontal="center" vertical="center"/>
    </xf>
    <xf numFmtId="41" fontId="0" fillId="29" borderId="9" xfId="0" applyNumberFormat="1" applyFont="1" applyFill="1" applyBorder="1" applyAlignment="1"/>
    <xf numFmtId="41" fontId="0" fillId="29" borderId="6" xfId="0" applyNumberFormat="1" applyFont="1" applyFill="1" applyBorder="1" applyAlignment="1"/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9" fontId="0" fillId="0" borderId="18" xfId="2" applyFon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9" fontId="6" fillId="0" borderId="24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9" fontId="6" fillId="0" borderId="24" xfId="2" applyFont="1" applyBorder="1" applyAlignment="1">
      <alignment horizontal="center" vertical="center"/>
    </xf>
    <xf numFmtId="164" fontId="8" fillId="14" borderId="8" xfId="6" applyNumberFormat="1" applyFont="1" applyFill="1" applyBorder="1" applyAlignment="1">
      <alignment horizontal="center" vertical="center" wrapText="1"/>
    </xf>
    <xf numFmtId="164" fontId="8" fillId="14" borderId="8" xfId="6" applyNumberFormat="1" applyFont="1" applyFill="1" applyBorder="1" applyAlignment="1">
      <alignment horizontal="center" vertical="center"/>
    </xf>
    <xf numFmtId="9" fontId="6" fillId="0" borderId="26" xfId="2" applyFont="1" applyBorder="1" applyAlignment="1">
      <alignment horizontal="center" vertical="center"/>
    </xf>
    <xf numFmtId="9" fontId="6" fillId="0" borderId="24" xfId="0" applyNumberFormat="1" applyFont="1" applyBorder="1" applyAlignment="1">
      <alignment horizontal="center" vertical="center" wrapText="1"/>
    </xf>
    <xf numFmtId="9" fontId="6" fillId="0" borderId="24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8" fillId="39" borderId="8" xfId="3" applyNumberFormat="1" applyFont="1" applyFill="1" applyBorder="1" applyAlignment="1">
      <alignment horizontal="center" vertical="center" wrapText="1"/>
    </xf>
    <xf numFmtId="3" fontId="9" fillId="8" borderId="8" xfId="0" applyNumberFormat="1" applyFont="1" applyFill="1" applyBorder="1" applyAlignment="1">
      <alignment horizontal="center" vertical="center"/>
    </xf>
    <xf numFmtId="3" fontId="6" fillId="8" borderId="8" xfId="0" applyNumberFormat="1" applyFont="1" applyFill="1" applyBorder="1" applyAlignment="1">
      <alignment horizontal="center" vertical="center"/>
    </xf>
    <xf numFmtId="165" fontId="0" fillId="14" borderId="8" xfId="0" applyNumberFormat="1" applyFont="1" applyFill="1" applyBorder="1" applyAlignment="1">
      <alignment horizontal="center" vertical="center"/>
    </xf>
    <xf numFmtId="165" fontId="0" fillId="14" borderId="1" xfId="0" applyNumberFormat="1" applyFont="1" applyFill="1" applyBorder="1" applyAlignment="1">
      <alignment horizontal="center" vertical="center"/>
    </xf>
    <xf numFmtId="9" fontId="8" fillId="14" borderId="1" xfId="2" applyFont="1" applyFill="1" applyBorder="1" applyAlignment="1">
      <alignment horizontal="center" vertical="center" wrapText="1"/>
    </xf>
    <xf numFmtId="165" fontId="8" fillId="14" borderId="8" xfId="0" applyNumberFormat="1" applyFont="1" applyFill="1" applyBorder="1" applyAlignment="1">
      <alignment horizontal="center" vertical="center"/>
    </xf>
    <xf numFmtId="4" fontId="8" fillId="14" borderId="8" xfId="0" applyNumberFormat="1" applyFont="1" applyFill="1" applyBorder="1" applyAlignment="1">
      <alignment horizontal="center" vertical="center"/>
    </xf>
    <xf numFmtId="43" fontId="8" fillId="14" borderId="1" xfId="1" applyFont="1" applyFill="1" applyBorder="1" applyAlignment="1">
      <alignment horizontal="center" vertical="center" wrapText="1"/>
    </xf>
    <xf numFmtId="9" fontId="8" fillId="14" borderId="8" xfId="2" applyFont="1" applyFill="1" applyBorder="1" applyAlignment="1">
      <alignment horizontal="center" vertical="center" wrapText="1"/>
    </xf>
    <xf numFmtId="43" fontId="8" fillId="14" borderId="8" xfId="1" applyFont="1" applyFill="1" applyBorder="1" applyAlignment="1">
      <alignment horizontal="center" vertical="center" wrapText="1"/>
    </xf>
    <xf numFmtId="0" fontId="6" fillId="44" borderId="8" xfId="0" applyFont="1" applyFill="1" applyBorder="1" applyAlignment="1">
      <alignment horizontal="center" vertical="center" wrapText="1"/>
    </xf>
    <xf numFmtId="164" fontId="8" fillId="14" borderId="8" xfId="7" applyNumberFormat="1" applyFont="1" applyFill="1" applyBorder="1" applyAlignment="1">
      <alignment horizontal="center" vertical="center" wrapText="1"/>
    </xf>
    <xf numFmtId="0" fontId="24" fillId="45" borderId="14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 wrapText="1"/>
    </xf>
    <xf numFmtId="4" fontId="0" fillId="25" borderId="8" xfId="0" applyNumberFormat="1" applyFont="1" applyFill="1" applyBorder="1" applyAlignment="1">
      <alignment horizontal="center" vertical="center"/>
    </xf>
    <xf numFmtId="164" fontId="9" fillId="8" borderId="15" xfId="1" applyNumberFormat="1" applyFont="1" applyFill="1" applyBorder="1" applyAlignment="1">
      <alignment horizontal="center" vertical="center"/>
    </xf>
    <xf numFmtId="43" fontId="8" fillId="17" borderId="8" xfId="3" applyNumberFormat="1" applyFont="1" applyFill="1" applyBorder="1" applyAlignment="1">
      <alignment horizontal="center" vertical="center" wrapText="1"/>
    </xf>
    <xf numFmtId="43" fontId="8" fillId="10" borderId="8" xfId="1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/>
    </xf>
    <xf numFmtId="14" fontId="8" fillId="32" borderId="8" xfId="3" applyNumberFormat="1" applyFont="1" applyFill="1" applyBorder="1" applyAlignment="1">
      <alignment horizontal="center" vertical="center" wrapText="1"/>
    </xf>
    <xf numFmtId="0" fontId="0" fillId="32" borderId="8" xfId="0" applyFont="1" applyFill="1" applyBorder="1" applyAlignment="1">
      <alignment horizontal="center" vertical="center" wrapText="1"/>
    </xf>
    <xf numFmtId="14" fontId="8" fillId="8" borderId="8" xfId="0" applyNumberFormat="1" applyFont="1" applyFill="1" applyBorder="1" applyAlignment="1">
      <alignment horizontal="center" vertical="center" wrapText="1"/>
    </xf>
    <xf numFmtId="4" fontId="8" fillId="25" borderId="8" xfId="0" applyNumberFormat="1" applyFont="1" applyFill="1" applyBorder="1" applyAlignment="1">
      <alignment horizontal="center" vertical="center"/>
    </xf>
    <xf numFmtId="165" fontId="8" fillId="23" borderId="8" xfId="0" applyNumberFormat="1" applyFont="1" applyFill="1" applyBorder="1" applyAlignment="1">
      <alignment horizontal="center" vertical="center"/>
    </xf>
    <xf numFmtId="164" fontId="9" fillId="8" borderId="13" xfId="1" applyNumberFormat="1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9" fontId="8" fillId="9" borderId="1" xfId="2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horizontal="center" vertical="center"/>
    </xf>
    <xf numFmtId="4" fontId="8" fillId="25" borderId="1" xfId="0" applyNumberFormat="1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 wrapText="1"/>
    </xf>
    <xf numFmtId="0" fontId="8" fillId="4" borderId="1" xfId="5" applyFont="1" applyBorder="1" applyAlignment="1">
      <alignment horizontal="center" vertical="center" wrapText="1"/>
    </xf>
    <xf numFmtId="0" fontId="8" fillId="16" borderId="1" xfId="5" applyFont="1" applyFill="1" applyBorder="1" applyAlignment="1">
      <alignment horizontal="center" vertical="center"/>
    </xf>
    <xf numFmtId="14" fontId="8" fillId="17" borderId="1" xfId="7" applyNumberFormat="1" applyFont="1" applyFill="1" applyBorder="1" applyAlignment="1">
      <alignment horizontal="center" vertical="center" wrapText="1"/>
    </xf>
    <xf numFmtId="0" fontId="5" fillId="17" borderId="1" xfId="7" applyFont="1" applyFill="1" applyBorder="1" applyAlignment="1">
      <alignment horizontal="center" vertical="center" wrapText="1"/>
    </xf>
    <xf numFmtId="0" fontId="8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 wrapText="1"/>
    </xf>
    <xf numFmtId="43" fontId="8" fillId="17" borderId="1" xfId="3" applyNumberFormat="1" applyFont="1" applyFill="1" applyBorder="1" applyAlignment="1">
      <alignment horizontal="center" vertical="center" wrapText="1"/>
    </xf>
    <xf numFmtId="3" fontId="8" fillId="11" borderId="1" xfId="1" applyNumberFormat="1" applyFont="1" applyFill="1" applyBorder="1" applyAlignment="1">
      <alignment horizontal="center" vertical="center" wrapText="1"/>
    </xf>
    <xf numFmtId="165" fontId="8" fillId="11" borderId="1" xfId="0" applyNumberFormat="1" applyFont="1" applyFill="1" applyBorder="1" applyAlignment="1">
      <alignment horizontal="center" vertical="center"/>
    </xf>
    <xf numFmtId="43" fontId="8" fillId="10" borderId="1" xfId="1" applyFont="1" applyFill="1" applyBorder="1" applyAlignment="1">
      <alignment horizontal="center" vertical="center" wrapText="1"/>
    </xf>
    <xf numFmtId="165" fontId="8" fillId="12" borderId="1" xfId="0" applyNumberFormat="1" applyFont="1" applyFill="1" applyBorder="1" applyAlignment="1">
      <alignment horizontal="center" vertical="center"/>
    </xf>
    <xf numFmtId="165" fontId="8" fillId="23" borderId="1" xfId="0" applyNumberFormat="1" applyFont="1" applyFill="1" applyBorder="1" applyAlignment="1">
      <alignment horizontal="center" vertical="center"/>
    </xf>
    <xf numFmtId="165" fontId="6" fillId="23" borderId="1" xfId="0" applyNumberFormat="1" applyFont="1" applyFill="1" applyBorder="1" applyAlignment="1">
      <alignment horizontal="center" vertical="center"/>
    </xf>
    <xf numFmtId="165" fontId="6" fillId="11" borderId="1" xfId="0" applyNumberFormat="1" applyFont="1" applyFill="1" applyBorder="1" applyAlignment="1">
      <alignment horizontal="center" vertical="center"/>
    </xf>
    <xf numFmtId="165" fontId="5" fillId="11" borderId="1" xfId="0" applyNumberFormat="1" applyFont="1" applyFill="1" applyBorder="1" applyAlignment="1">
      <alignment horizontal="center" vertical="center"/>
    </xf>
    <xf numFmtId="164" fontId="9" fillId="32" borderId="8" xfId="0" applyNumberFormat="1" applyFont="1" applyFill="1" applyBorder="1" applyAlignment="1">
      <alignment horizontal="center" vertical="center"/>
    </xf>
    <xf numFmtId="3" fontId="9" fillId="32" borderId="8" xfId="0" applyNumberFormat="1" applyFont="1" applyFill="1" applyBorder="1" applyAlignment="1">
      <alignment horizontal="center" vertical="center"/>
    </xf>
    <xf numFmtId="14" fontId="6" fillId="33" borderId="8" xfId="0" applyNumberFormat="1" applyFont="1" applyFill="1" applyBorder="1" applyAlignment="1">
      <alignment horizontal="center" vertical="center"/>
    </xf>
    <xf numFmtId="14" fontId="6" fillId="32" borderId="8" xfId="0" applyNumberFormat="1" applyFont="1" applyFill="1" applyBorder="1" applyAlignment="1">
      <alignment horizontal="center" vertical="center"/>
    </xf>
    <xf numFmtId="14" fontId="0" fillId="14" borderId="8" xfId="0" applyNumberFormat="1" applyFont="1" applyFill="1" applyBorder="1" applyAlignment="1">
      <alignment horizontal="center" vertical="center"/>
    </xf>
    <xf numFmtId="0" fontId="13" fillId="32" borderId="8" xfId="0" applyFont="1" applyFill="1" applyBorder="1" applyAlignment="1">
      <alignment horizontal="center" vertical="center"/>
    </xf>
    <xf numFmtId="164" fontId="8" fillId="32" borderId="15" xfId="0" applyNumberFormat="1" applyFont="1" applyFill="1" applyBorder="1" applyAlignment="1">
      <alignment horizontal="center" vertical="center"/>
    </xf>
    <xf numFmtId="0" fontId="8" fillId="32" borderId="13" xfId="0" applyNumberFormat="1" applyFont="1" applyFill="1" applyBorder="1" applyAlignment="1">
      <alignment horizontal="center" vertical="center"/>
    </xf>
    <xf numFmtId="1" fontId="19" fillId="8" borderId="13" xfId="0" applyNumberFormat="1" applyFont="1" applyFill="1" applyBorder="1" applyAlignment="1">
      <alignment horizontal="center" vertical="center"/>
    </xf>
    <xf numFmtId="1" fontId="0" fillId="32" borderId="13" xfId="0" applyNumberFormat="1" applyFont="1" applyFill="1" applyBorder="1" applyAlignment="1">
      <alignment horizontal="center" vertical="center"/>
    </xf>
    <xf numFmtId="1" fontId="8" fillId="32" borderId="13" xfId="1" applyNumberFormat="1" applyFont="1" applyFill="1" applyBorder="1" applyAlignment="1">
      <alignment horizontal="center" vertical="center"/>
    </xf>
    <xf numFmtId="1" fontId="1" fillId="33" borderId="13" xfId="1" applyNumberFormat="1" applyFont="1" applyFill="1" applyBorder="1" applyAlignment="1">
      <alignment horizontal="center" vertical="center"/>
    </xf>
    <xf numFmtId="1" fontId="8" fillId="33" borderId="13" xfId="0" applyNumberFormat="1" applyFont="1" applyFill="1" applyBorder="1" applyAlignment="1">
      <alignment horizontal="center" vertical="center"/>
    </xf>
    <xf numFmtId="1" fontId="8" fillId="32" borderId="13" xfId="0" applyNumberFormat="1" applyFont="1" applyFill="1" applyBorder="1" applyAlignment="1">
      <alignment horizontal="center" vertical="center"/>
    </xf>
    <xf numFmtId="1" fontId="19" fillId="8" borderId="13" xfId="2" applyNumberFormat="1" applyFont="1" applyFill="1" applyBorder="1" applyAlignment="1">
      <alignment horizontal="center" vertical="center"/>
    </xf>
    <xf numFmtId="166" fontId="8" fillId="10" borderId="1" xfId="1" applyNumberFormat="1" applyFont="1" applyFill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/>
    </xf>
    <xf numFmtId="9" fontId="19" fillId="8" borderId="8" xfId="2" applyFont="1" applyFill="1" applyBorder="1" applyAlignment="1">
      <alignment horizontal="center" vertical="center"/>
    </xf>
    <xf numFmtId="9" fontId="8" fillId="33" borderId="8" xfId="2" applyFont="1" applyFill="1" applyBorder="1" applyAlignment="1">
      <alignment horizontal="center" vertical="center"/>
    </xf>
    <xf numFmtId="9" fontId="0" fillId="33" borderId="8" xfId="2" applyFont="1" applyFill="1" applyBorder="1" applyAlignment="1">
      <alignment horizontal="center" vertical="center"/>
    </xf>
    <xf numFmtId="9" fontId="19" fillId="33" borderId="8" xfId="2" applyFont="1" applyFill="1" applyBorder="1" applyAlignment="1">
      <alignment horizontal="center" vertical="center"/>
    </xf>
    <xf numFmtId="164" fontId="8" fillId="32" borderId="29" xfId="1" applyNumberFormat="1" applyFont="1" applyFill="1" applyBorder="1" applyAlignment="1">
      <alignment horizontal="center" vertical="center"/>
    </xf>
    <xf numFmtId="0" fontId="0" fillId="32" borderId="13" xfId="1" applyNumberFormat="1" applyFont="1" applyFill="1" applyBorder="1" applyAlignment="1">
      <alignment horizontal="center" vertical="center"/>
    </xf>
    <xf numFmtId="3" fontId="8" fillId="39" borderId="8" xfId="0" applyNumberFormat="1" applyFont="1" applyFill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3" fontId="8" fillId="10" borderId="8" xfId="0" applyNumberFormat="1" applyFont="1" applyFill="1" applyBorder="1" applyAlignment="1">
      <alignment horizontal="center" vertical="center"/>
    </xf>
    <xf numFmtId="3" fontId="0" fillId="34" borderId="8" xfId="0" applyNumberFormat="1" applyFont="1" applyFill="1" applyBorder="1" applyAlignment="1">
      <alignment horizontal="center" vertical="center"/>
    </xf>
    <xf numFmtId="164" fontId="9" fillId="8" borderId="29" xfId="1" applyNumberFormat="1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 wrapText="1"/>
    </xf>
    <xf numFmtId="0" fontId="30" fillId="8" borderId="8" xfId="0" applyFont="1" applyFill="1" applyBorder="1" applyAlignment="1">
      <alignment horizontal="center" vertical="center" wrapText="1"/>
    </xf>
    <xf numFmtId="0" fontId="30" fillId="9" borderId="8" xfId="0" applyFont="1" applyFill="1" applyBorder="1" applyAlignment="1">
      <alignment horizontal="center" vertical="center" wrapText="1"/>
    </xf>
    <xf numFmtId="0" fontId="30" fillId="9" borderId="1" xfId="3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center" vertical="center" wrapText="1"/>
    </xf>
    <xf numFmtId="41" fontId="30" fillId="8" borderId="8" xfId="0" applyNumberFormat="1" applyFont="1" applyFill="1" applyBorder="1" applyAlignment="1">
      <alignment horizontal="center" vertical="center" wrapText="1"/>
    </xf>
    <xf numFmtId="9" fontId="30" fillId="8" borderId="8" xfId="2" applyFont="1" applyFill="1" applyBorder="1" applyAlignment="1">
      <alignment horizontal="center" vertical="center" wrapText="1"/>
    </xf>
    <xf numFmtId="0" fontId="30" fillId="34" borderId="8" xfId="1" applyNumberFormat="1" applyFont="1" applyFill="1" applyBorder="1" applyAlignment="1">
      <alignment horizontal="center" vertical="center" wrapText="1"/>
    </xf>
    <xf numFmtId="0" fontId="30" fillId="21" borderId="1" xfId="4" applyFont="1" applyFill="1" applyBorder="1" applyAlignment="1">
      <alignment horizontal="center" vertical="center" wrapText="1"/>
    </xf>
    <xf numFmtId="0" fontId="30" fillId="4" borderId="1" xfId="5" applyFont="1" applyBorder="1" applyAlignment="1">
      <alignment horizontal="center" vertical="center" wrapText="1"/>
    </xf>
    <xf numFmtId="0" fontId="30" fillId="37" borderId="1" xfId="5" applyFont="1" applyFill="1" applyBorder="1" applyAlignment="1">
      <alignment horizontal="center" vertical="center" wrapText="1"/>
    </xf>
    <xf numFmtId="0" fontId="30" fillId="4" borderId="8" xfId="5" applyFont="1" applyBorder="1" applyAlignment="1">
      <alignment horizontal="center" vertical="center" wrapText="1"/>
    </xf>
    <xf numFmtId="0" fontId="30" fillId="6" borderId="1" xfId="7" applyFont="1" applyBorder="1" applyAlignment="1">
      <alignment horizontal="center" vertical="center" wrapText="1"/>
    </xf>
    <xf numFmtId="0" fontId="30" fillId="38" borderId="1" xfId="7" applyFont="1" applyFill="1" applyBorder="1" applyAlignment="1">
      <alignment horizontal="center" vertical="center" wrapText="1"/>
    </xf>
    <xf numFmtId="0" fontId="30" fillId="6" borderId="8" xfId="7" applyFont="1" applyBorder="1" applyAlignment="1">
      <alignment horizontal="center" vertical="center" wrapText="1"/>
    </xf>
    <xf numFmtId="0" fontId="30" fillId="44" borderId="8" xfId="7" applyFont="1" applyFill="1" applyBorder="1" applyAlignment="1">
      <alignment horizontal="center" vertical="center" wrapText="1"/>
    </xf>
    <xf numFmtId="0" fontId="30" fillId="2" borderId="1" xfId="3" applyFont="1" applyBorder="1" applyAlignment="1">
      <alignment horizontal="center" vertical="center" wrapText="1"/>
    </xf>
    <xf numFmtId="43" fontId="30" fillId="2" borderId="1" xfId="3" applyNumberFormat="1" applyFont="1" applyBorder="1" applyAlignment="1">
      <alignment horizontal="center" vertical="center" wrapText="1"/>
    </xf>
    <xf numFmtId="43" fontId="30" fillId="2" borderId="8" xfId="3" applyNumberFormat="1" applyFont="1" applyBorder="1" applyAlignment="1">
      <alignment horizontal="center" vertical="center" wrapText="1"/>
    </xf>
    <xf numFmtId="0" fontId="30" fillId="36" borderId="8" xfId="1" applyNumberFormat="1" applyFont="1" applyFill="1" applyBorder="1" applyAlignment="1">
      <alignment horizontal="center" vertical="center" wrapText="1"/>
    </xf>
    <xf numFmtId="0" fontId="30" fillId="36" borderId="13" xfId="1" applyNumberFormat="1" applyFont="1" applyFill="1" applyBorder="1" applyAlignment="1">
      <alignment horizontal="center" vertical="center" wrapText="1"/>
    </xf>
    <xf numFmtId="1" fontId="30" fillId="36" borderId="8" xfId="1" applyNumberFormat="1" applyFont="1" applyFill="1" applyBorder="1" applyAlignment="1">
      <alignment horizontal="center" vertical="center" wrapText="1"/>
    </xf>
    <xf numFmtId="0" fontId="30" fillId="35" borderId="8" xfId="1" applyNumberFormat="1" applyFont="1" applyFill="1" applyBorder="1" applyAlignment="1">
      <alignment horizontal="center" vertical="center" wrapText="1"/>
    </xf>
    <xf numFmtId="0" fontId="30" fillId="35" borderId="8" xfId="1" applyNumberFormat="1" applyFont="1" applyFill="1" applyBorder="1" applyAlignment="1">
      <alignment horizontal="center" vertical="center"/>
    </xf>
    <xf numFmtId="43" fontId="30" fillId="17" borderId="1" xfId="3" applyNumberFormat="1" applyFont="1" applyFill="1" applyBorder="1" applyAlignment="1">
      <alignment horizontal="center" vertical="center" wrapText="1"/>
    </xf>
    <xf numFmtId="3" fontId="30" fillId="10" borderId="1" xfId="1" applyNumberFormat="1" applyFont="1" applyFill="1" applyBorder="1" applyAlignment="1">
      <alignment horizontal="center" vertical="center" wrapText="1"/>
    </xf>
    <xf numFmtId="3" fontId="30" fillId="11" borderId="1" xfId="1" applyNumberFormat="1" applyFont="1" applyFill="1" applyBorder="1" applyAlignment="1">
      <alignment horizontal="center" vertical="center" wrapText="1"/>
    </xf>
    <xf numFmtId="3" fontId="30" fillId="8" borderId="1" xfId="1" applyNumberFormat="1" applyFont="1" applyFill="1" applyBorder="1" applyAlignment="1">
      <alignment horizontal="center" vertical="center" wrapText="1"/>
    </xf>
    <xf numFmtId="3" fontId="30" fillId="18" borderId="1" xfId="1" applyNumberFormat="1" applyFont="1" applyFill="1" applyBorder="1" applyAlignment="1">
      <alignment horizontal="center" vertical="center" wrapText="1"/>
    </xf>
    <xf numFmtId="43" fontId="30" fillId="10" borderId="1" xfId="1" applyFont="1" applyFill="1" applyBorder="1" applyAlignment="1">
      <alignment horizontal="center" vertical="center" wrapText="1"/>
    </xf>
    <xf numFmtId="43" fontId="30" fillId="11" borderId="1" xfId="1" applyFont="1" applyFill="1" applyBorder="1" applyAlignment="1">
      <alignment horizontal="center" vertical="center" wrapText="1"/>
    </xf>
    <xf numFmtId="43" fontId="30" fillId="8" borderId="1" xfId="1" applyFont="1" applyFill="1" applyBorder="1" applyAlignment="1">
      <alignment horizontal="center" vertical="center" wrapText="1"/>
    </xf>
    <xf numFmtId="43" fontId="30" fillId="29" borderId="8" xfId="1" applyFont="1" applyFill="1" applyBorder="1" applyAlignment="1">
      <alignment horizontal="center" vertical="center" wrapText="1"/>
    </xf>
    <xf numFmtId="43" fontId="30" fillId="18" borderId="1" xfId="1" applyFont="1" applyFill="1" applyBorder="1" applyAlignment="1">
      <alignment horizontal="center" vertical="center" wrapText="1"/>
    </xf>
    <xf numFmtId="43" fontId="30" fillId="11" borderId="8" xfId="1" applyFont="1" applyFill="1" applyBorder="1" applyAlignment="1">
      <alignment horizontal="center" vertical="center" wrapText="1"/>
    </xf>
    <xf numFmtId="43" fontId="30" fillId="18" borderId="8" xfId="1" applyFont="1" applyFill="1" applyBorder="1" applyAlignment="1">
      <alignment horizontal="center" vertical="center" wrapText="1"/>
    </xf>
    <xf numFmtId="43" fontId="30" fillId="26" borderId="7" xfId="1" applyFont="1" applyFill="1" applyBorder="1" applyAlignment="1">
      <alignment horizontal="center" vertical="center" wrapText="1"/>
    </xf>
    <xf numFmtId="43" fontId="30" fillId="20" borderId="1" xfId="1" applyFont="1" applyFill="1" applyBorder="1" applyAlignment="1">
      <alignment horizontal="center" vertical="center" wrapText="1"/>
    </xf>
    <xf numFmtId="0" fontId="30" fillId="44" borderId="8" xfId="0" applyFont="1" applyFill="1" applyBorder="1" applyAlignment="1">
      <alignment horizontal="center" vertical="center" wrapText="1"/>
    </xf>
    <xf numFmtId="171" fontId="30" fillId="44" borderId="8" xfId="2" applyNumberFormat="1" applyFont="1" applyFill="1" applyBorder="1" applyAlignment="1">
      <alignment horizontal="center" vertical="center" wrapText="1"/>
    </xf>
    <xf numFmtId="195" fontId="30" fillId="44" borderId="8" xfId="2" applyNumberFormat="1" applyFont="1" applyFill="1" applyBorder="1" applyAlignment="1">
      <alignment horizontal="center" vertical="center" wrapText="1"/>
    </xf>
    <xf numFmtId="172" fontId="30" fillId="44" borderId="8" xfId="2" applyNumberFormat="1" applyFont="1" applyFill="1" applyBorder="1" applyAlignment="1">
      <alignment horizontal="center" vertical="center" wrapText="1"/>
    </xf>
    <xf numFmtId="173" fontId="30" fillId="44" borderId="8" xfId="2" applyNumberFormat="1" applyFont="1" applyFill="1" applyBorder="1" applyAlignment="1">
      <alignment horizontal="center" vertical="center" wrapText="1"/>
    </xf>
    <xf numFmtId="174" fontId="30" fillId="44" borderId="8" xfId="2" applyNumberFormat="1" applyFont="1" applyFill="1" applyBorder="1" applyAlignment="1">
      <alignment horizontal="center" vertical="center" wrapText="1"/>
    </xf>
    <xf numFmtId="175" fontId="30" fillId="44" borderId="8" xfId="2" applyNumberFormat="1" applyFont="1" applyFill="1" applyBorder="1" applyAlignment="1">
      <alignment horizontal="center" vertical="center" wrapText="1"/>
    </xf>
    <xf numFmtId="196" fontId="30" fillId="44" borderId="8" xfId="2" applyNumberFormat="1" applyFont="1" applyFill="1" applyBorder="1" applyAlignment="1">
      <alignment horizontal="center" vertical="center" wrapText="1"/>
    </xf>
    <xf numFmtId="177" fontId="30" fillId="44" borderId="8" xfId="2" applyNumberFormat="1" applyFont="1" applyFill="1" applyBorder="1" applyAlignment="1">
      <alignment horizontal="center" vertical="center" wrapText="1"/>
    </xf>
    <xf numFmtId="178" fontId="30" fillId="44" borderId="8" xfId="2" applyNumberFormat="1" applyFont="1" applyFill="1" applyBorder="1" applyAlignment="1">
      <alignment horizontal="center" vertical="center" wrapText="1"/>
    </xf>
    <xf numFmtId="179" fontId="30" fillId="44" borderId="8" xfId="2" applyNumberFormat="1" applyFont="1" applyFill="1" applyBorder="1" applyAlignment="1">
      <alignment horizontal="center" vertical="center" wrapText="1"/>
    </xf>
    <xf numFmtId="180" fontId="30" fillId="44" borderId="8" xfId="2" applyNumberFormat="1" applyFont="1" applyFill="1" applyBorder="1" applyAlignment="1">
      <alignment horizontal="center" vertical="center" wrapText="1"/>
    </xf>
    <xf numFmtId="181" fontId="30" fillId="44" borderId="8" xfId="2" applyNumberFormat="1" applyFont="1" applyFill="1" applyBorder="1" applyAlignment="1">
      <alignment horizontal="center" vertical="center" wrapText="1"/>
    </xf>
    <xf numFmtId="192" fontId="30" fillId="44" borderId="8" xfId="2" applyNumberFormat="1" applyFont="1" applyFill="1" applyBorder="1" applyAlignment="1">
      <alignment horizontal="center" vertical="center" wrapText="1"/>
    </xf>
    <xf numFmtId="194" fontId="30" fillId="44" borderId="8" xfId="2" applyNumberFormat="1" applyFont="1" applyFill="1" applyBorder="1" applyAlignment="1">
      <alignment horizontal="center" vertical="center" wrapText="1"/>
    </xf>
    <xf numFmtId="197" fontId="30" fillId="44" borderId="8" xfId="2" applyNumberFormat="1" applyFont="1" applyFill="1" applyBorder="1" applyAlignment="1">
      <alignment horizontal="center" vertical="center" wrapText="1"/>
    </xf>
    <xf numFmtId="198" fontId="30" fillId="44" borderId="8" xfId="2" applyNumberFormat="1" applyFont="1" applyFill="1" applyBorder="1" applyAlignment="1">
      <alignment horizontal="center" vertical="center" wrapText="1"/>
    </xf>
    <xf numFmtId="199" fontId="30" fillId="44" borderId="8" xfId="2" applyNumberFormat="1" applyFont="1" applyFill="1" applyBorder="1" applyAlignment="1">
      <alignment horizontal="center" vertical="center" wrapText="1"/>
    </xf>
    <xf numFmtId="0" fontId="31" fillId="46" borderId="0" xfId="10" applyFont="1" applyFill="1" applyAlignment="1">
      <alignment horizontal="center" vertical="center" wrapText="1"/>
    </xf>
    <xf numFmtId="0" fontId="32" fillId="46" borderId="0" xfId="10" applyFont="1" applyFill="1" applyAlignment="1">
      <alignment horizontal="center" vertical="center" wrapText="1"/>
    </xf>
    <xf numFmtId="0" fontId="31" fillId="11" borderId="0" xfId="10" applyFont="1" applyFill="1" applyAlignment="1">
      <alignment horizontal="center" vertical="center" wrapText="1"/>
    </xf>
    <xf numFmtId="0" fontId="31" fillId="50" borderId="0" xfId="10" applyFont="1" applyFill="1" applyAlignment="1">
      <alignment horizontal="center" vertical="center" wrapText="1"/>
    </xf>
    <xf numFmtId="0" fontId="30" fillId="8" borderId="0" xfId="0" applyFont="1" applyFill="1" applyAlignment="1">
      <alignment horizontal="center" vertical="center" wrapText="1"/>
    </xf>
    <xf numFmtId="1" fontId="22" fillId="52" borderId="8" xfId="0" applyNumberFormat="1" applyFont="1" applyFill="1" applyBorder="1" applyAlignment="1">
      <alignment horizontal="center" vertical="center"/>
    </xf>
    <xf numFmtId="164" fontId="34" fillId="32" borderId="11" xfId="0" applyNumberFormat="1" applyFont="1" applyFill="1" applyBorder="1" applyAlignment="1">
      <alignment horizontal="center" vertical="center"/>
    </xf>
    <xf numFmtId="164" fontId="34" fillId="32" borderId="8" xfId="0" applyNumberFormat="1" applyFont="1" applyFill="1" applyBorder="1" applyAlignment="1">
      <alignment horizontal="center" vertical="center"/>
    </xf>
    <xf numFmtId="1" fontId="34" fillId="52" borderId="8" xfId="0" applyNumberFormat="1" applyFont="1" applyFill="1" applyBorder="1" applyAlignment="1">
      <alignment horizontal="center" vertical="center"/>
    </xf>
    <xf numFmtId="164" fontId="9" fillId="12" borderId="8" xfId="0" applyNumberFormat="1" applyFont="1" applyFill="1" applyBorder="1" applyAlignment="1">
      <alignment horizontal="center" vertical="center"/>
    </xf>
    <xf numFmtId="3" fontId="0" fillId="12" borderId="8" xfId="0" applyNumberFormat="1" applyFont="1" applyFill="1" applyBorder="1" applyAlignment="1">
      <alignment horizontal="center" vertical="center"/>
    </xf>
    <xf numFmtId="1" fontId="22" fillId="54" borderId="8" xfId="0" applyNumberFormat="1" applyFont="1" applyFill="1" applyBorder="1" applyAlignment="1">
      <alignment horizontal="center" vertical="center"/>
    </xf>
    <xf numFmtId="1" fontId="34" fillId="54" borderId="8" xfId="0" applyNumberFormat="1" applyFont="1" applyFill="1" applyBorder="1" applyAlignment="1">
      <alignment horizontal="center" vertical="center"/>
    </xf>
    <xf numFmtId="1" fontId="0" fillId="12" borderId="8" xfId="0" applyNumberFormat="1" applyFont="1" applyFill="1" applyBorder="1" applyAlignment="1">
      <alignment horizontal="center" vertical="center"/>
    </xf>
    <xf numFmtId="176" fontId="0" fillId="12" borderId="8" xfId="0" applyNumberFormat="1" applyFont="1" applyFill="1" applyBorder="1" applyAlignment="1">
      <alignment horizontal="center" vertical="center"/>
    </xf>
    <xf numFmtId="164" fontId="0" fillId="12" borderId="8" xfId="0" applyNumberFormat="1" applyFont="1" applyFill="1" applyBorder="1" applyAlignment="1">
      <alignment horizontal="center" vertical="center"/>
    </xf>
    <xf numFmtId="3" fontId="9" fillId="12" borderId="8" xfId="0" applyNumberFormat="1" applyFont="1" applyFill="1" applyBorder="1" applyAlignment="1">
      <alignment horizontal="center" vertical="center"/>
    </xf>
    <xf numFmtId="0" fontId="0" fillId="12" borderId="8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 wrapText="1"/>
    </xf>
    <xf numFmtId="164" fontId="8" fillId="12" borderId="8" xfId="0" applyNumberFormat="1" applyFont="1" applyFill="1" applyBorder="1" applyAlignment="1">
      <alignment horizontal="center" vertical="center"/>
    </xf>
    <xf numFmtId="0" fontId="8" fillId="12" borderId="8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164" fontId="9" fillId="43" borderId="8" xfId="0" applyNumberFormat="1" applyFont="1" applyFill="1" applyBorder="1" applyAlignment="1">
      <alignment horizontal="center" vertical="center"/>
    </xf>
    <xf numFmtId="0" fontId="0" fillId="43" borderId="8" xfId="0" applyFont="1" applyFill="1" applyBorder="1" applyAlignment="1">
      <alignment horizontal="center" vertical="center"/>
    </xf>
    <xf numFmtId="0" fontId="6" fillId="43" borderId="8" xfId="0" applyFont="1" applyFill="1" applyBorder="1" applyAlignment="1">
      <alignment horizontal="center" vertical="center"/>
    </xf>
    <xf numFmtId="164" fontId="0" fillId="43" borderId="8" xfId="0" applyNumberFormat="1" applyFont="1" applyFill="1" applyBorder="1" applyAlignment="1">
      <alignment horizontal="center" vertical="center"/>
    </xf>
    <xf numFmtId="3" fontId="0" fillId="43" borderId="8" xfId="0" applyNumberFormat="1" applyFont="1" applyFill="1" applyBorder="1" applyAlignment="1">
      <alignment horizontal="center" vertical="center"/>
    </xf>
    <xf numFmtId="1" fontId="22" fillId="55" borderId="8" xfId="0" applyNumberFormat="1" applyFont="1" applyFill="1" applyBorder="1" applyAlignment="1">
      <alignment horizontal="center" vertical="center"/>
    </xf>
    <xf numFmtId="1" fontId="0" fillId="43" borderId="8" xfId="0" applyNumberFormat="1" applyFont="1" applyFill="1" applyBorder="1" applyAlignment="1">
      <alignment horizontal="center" vertical="center"/>
    </xf>
    <xf numFmtId="1" fontId="6" fillId="43" borderId="8" xfId="0" applyNumberFormat="1" applyFont="1" applyFill="1" applyBorder="1" applyAlignment="1">
      <alignment horizontal="center" vertical="center"/>
    </xf>
    <xf numFmtId="3" fontId="9" fillId="43" borderId="8" xfId="0" applyNumberFormat="1" applyFont="1" applyFill="1" applyBorder="1" applyAlignment="1">
      <alignment horizontal="center" vertical="center"/>
    </xf>
    <xf numFmtId="164" fontId="8" fillId="43" borderId="8" xfId="0" applyNumberFormat="1" applyFont="1" applyFill="1" applyBorder="1" applyAlignment="1">
      <alignment horizontal="center" vertical="center"/>
    </xf>
    <xf numFmtId="1" fontId="22" fillId="32" borderId="8" xfId="0" applyNumberFormat="1" applyFont="1" applyFill="1" applyBorder="1" applyAlignment="1">
      <alignment horizontal="center" vertical="center"/>
    </xf>
    <xf numFmtId="164" fontId="0" fillId="12" borderId="11" xfId="0" applyNumberFormat="1" applyFont="1" applyFill="1" applyBorder="1" applyAlignment="1">
      <alignment horizontal="center" vertical="center"/>
    </xf>
    <xf numFmtId="0" fontId="0" fillId="53" borderId="8" xfId="0" applyFont="1" applyFill="1" applyBorder="1" applyAlignment="1">
      <alignment horizontal="center" vertical="center"/>
    </xf>
    <xf numFmtId="0" fontId="0" fillId="23" borderId="8" xfId="0" applyFont="1" applyFill="1" applyBorder="1" applyAlignment="1">
      <alignment horizontal="center" vertical="center"/>
    </xf>
    <xf numFmtId="3" fontId="33" fillId="23" borderId="8" xfId="10" applyNumberFormat="1" applyFont="1" applyFill="1" applyBorder="1" applyAlignment="1">
      <alignment horizontal="center" vertical="center" wrapText="1"/>
    </xf>
    <xf numFmtId="3" fontId="33" fillId="23" borderId="8" xfId="10" applyNumberFormat="1" applyFont="1" applyFill="1" applyBorder="1" applyAlignment="1">
      <alignment horizontal="right" vertical="center" wrapText="1"/>
    </xf>
    <xf numFmtId="3" fontId="0" fillId="53" borderId="8" xfId="0" applyNumberFormat="1" applyFont="1" applyFill="1" applyBorder="1" applyAlignment="1">
      <alignment horizontal="center" vertical="center"/>
    </xf>
    <xf numFmtId="176" fontId="0" fillId="53" borderId="8" xfId="0" applyNumberFormat="1" applyFont="1" applyFill="1" applyBorder="1" applyAlignment="1">
      <alignment horizontal="center" vertical="center"/>
    </xf>
    <xf numFmtId="3" fontId="0" fillId="23" borderId="8" xfId="0" applyNumberFormat="1" applyFont="1" applyFill="1" applyBorder="1" applyAlignment="1">
      <alignment horizontal="center" vertical="center"/>
    </xf>
    <xf numFmtId="0" fontId="0" fillId="23" borderId="12" xfId="0" applyFont="1" applyFill="1" applyBorder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 vertical="center"/>
    </xf>
    <xf numFmtId="164" fontId="31" fillId="11" borderId="0" xfId="10" applyNumberFormat="1" applyFont="1" applyFill="1" applyAlignment="1">
      <alignment horizontal="center" vertical="center" wrapText="1"/>
    </xf>
    <xf numFmtId="164" fontId="32" fillId="11" borderId="0" xfId="10" applyNumberFormat="1" applyFont="1" applyFill="1" applyAlignment="1">
      <alignment horizontal="center" vertical="center" wrapText="1"/>
    </xf>
    <xf numFmtId="164" fontId="13" fillId="12" borderId="8" xfId="0" applyNumberFormat="1" applyFont="1" applyFill="1" applyBorder="1" applyAlignment="1">
      <alignment horizontal="center" vertical="center"/>
    </xf>
    <xf numFmtId="164" fontId="5" fillId="8" borderId="0" xfId="0" applyNumberFormat="1" applyFont="1" applyFill="1" applyAlignment="1">
      <alignment horizontal="center" vertical="center" wrapText="1"/>
    </xf>
    <xf numFmtId="0" fontId="0" fillId="23" borderId="8" xfId="0" applyFont="1" applyFill="1" applyBorder="1" applyAlignment="1">
      <alignment horizontal="center" vertical="center" wrapText="1"/>
    </xf>
    <xf numFmtId="164" fontId="0" fillId="32" borderId="11" xfId="0" applyNumberFormat="1" applyFont="1" applyFill="1" applyBorder="1" applyAlignment="1">
      <alignment horizontal="center" vertical="center"/>
    </xf>
    <xf numFmtId="1" fontId="34" fillId="32" borderId="8" xfId="0" applyNumberFormat="1" applyFont="1" applyFill="1" applyBorder="1" applyAlignment="1">
      <alignment horizontal="center" vertical="center"/>
    </xf>
    <xf numFmtId="1" fontId="6" fillId="32" borderId="8" xfId="0" applyNumberFormat="1" applyFont="1" applyFill="1" applyBorder="1" applyAlignment="1">
      <alignment horizontal="center" vertical="center"/>
    </xf>
    <xf numFmtId="164" fontId="0" fillId="32" borderId="12" xfId="0" applyNumberFormat="1" applyFont="1" applyFill="1" applyBorder="1" applyAlignment="1">
      <alignment horizontal="center" vertical="center"/>
    </xf>
    <xf numFmtId="164" fontId="9" fillId="8" borderId="11" xfId="1" applyNumberFormat="1" applyFont="1" applyFill="1" applyBorder="1" applyAlignment="1">
      <alignment horizontal="center" vertical="center"/>
    </xf>
    <xf numFmtId="164" fontId="8" fillId="33" borderId="29" xfId="1" applyNumberFormat="1" applyFont="1" applyFill="1" applyBorder="1" applyAlignment="1">
      <alignment horizontal="center" vertical="center"/>
    </xf>
    <xf numFmtId="169" fontId="9" fillId="8" borderId="29" xfId="1" applyNumberFormat="1" applyFont="1" applyFill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43" fontId="5" fillId="17" borderId="8" xfId="3" applyNumberFormat="1" applyFont="1" applyFill="1" applyBorder="1" applyAlignment="1">
      <alignment horizontal="center" vertical="center" wrapText="1"/>
    </xf>
    <xf numFmtId="3" fontId="0" fillId="23" borderId="8" xfId="0" applyNumberFormat="1" applyFont="1" applyFill="1" applyBorder="1" applyAlignment="1">
      <alignment horizontal="center" vertical="center" wrapText="1"/>
    </xf>
    <xf numFmtId="0" fontId="0" fillId="23" borderId="1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43" fontId="8" fillId="32" borderId="1" xfId="3" applyNumberFormat="1" applyFont="1" applyFill="1" applyBorder="1" applyAlignment="1">
      <alignment horizontal="center" vertical="center" wrapText="1"/>
    </xf>
    <xf numFmtId="14" fontId="8" fillId="32" borderId="1" xfId="3" applyNumberFormat="1" applyFont="1" applyFill="1" applyBorder="1" applyAlignment="1">
      <alignment horizontal="center" vertical="center" wrapText="1"/>
    </xf>
    <xf numFmtId="3" fontId="31" fillId="34" borderId="0" xfId="10" applyNumberFormat="1" applyFont="1" applyFill="1" applyAlignment="1">
      <alignment horizontal="center" vertical="center" wrapText="1"/>
    </xf>
    <xf numFmtId="3" fontId="0" fillId="44" borderId="8" xfId="0" applyNumberFormat="1" applyFont="1" applyFill="1" applyBorder="1" applyAlignment="1">
      <alignment horizontal="center" vertical="center"/>
    </xf>
    <xf numFmtId="3" fontId="0" fillId="0" borderId="0" xfId="0" applyNumberFormat="1" applyFont="1" applyAlignment="1">
      <alignment horizontal="center"/>
    </xf>
    <xf numFmtId="3" fontId="5" fillId="8" borderId="0" xfId="0" applyNumberFormat="1" applyFont="1" applyFill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166" fontId="0" fillId="0" borderId="0" xfId="1" applyNumberFormat="1" applyFont="1"/>
    <xf numFmtId="3" fontId="0" fillId="53" borderId="8" xfId="0" applyNumberFormat="1" applyFont="1" applyFill="1" applyBorder="1" applyAlignment="1">
      <alignment horizontal="center" vertical="center" wrapText="1"/>
    </xf>
    <xf numFmtId="164" fontId="8" fillId="33" borderId="15" xfId="1" applyNumberFormat="1" applyFont="1" applyFill="1" applyBorder="1" applyAlignment="1">
      <alignment horizontal="center" vertical="center" wrapText="1"/>
    </xf>
    <xf numFmtId="0" fontId="8" fillId="32" borderId="13" xfId="1" applyNumberFormat="1" applyFont="1" applyFill="1" applyBorder="1" applyAlignment="1">
      <alignment horizontal="center" vertical="center" wrapText="1"/>
    </xf>
    <xf numFmtId="1" fontId="30" fillId="2" borderId="8" xfId="3" applyNumberFormat="1" applyFont="1" applyBorder="1" applyAlignment="1">
      <alignment horizontal="center" vertical="center" wrapText="1"/>
    </xf>
    <xf numFmtId="1" fontId="8" fillId="8" borderId="0" xfId="3" applyNumberFormat="1" applyFont="1" applyFill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8" fillId="2" borderId="8" xfId="3" applyNumberFormat="1" applyFont="1" applyBorder="1" applyAlignment="1">
      <alignment horizontal="center" vertical="center" wrapText="1"/>
    </xf>
    <xf numFmtId="2" fontId="8" fillId="32" borderId="8" xfId="3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 wrapText="1"/>
    </xf>
    <xf numFmtId="164" fontId="0" fillId="32" borderId="29" xfId="1" applyNumberFormat="1" applyFont="1" applyFill="1" applyBorder="1" applyAlignment="1">
      <alignment horizontal="center" vertical="center"/>
    </xf>
    <xf numFmtId="164" fontId="8" fillId="32" borderId="29" xfId="0" applyNumberFormat="1" applyFont="1" applyFill="1" applyBorder="1" applyAlignment="1">
      <alignment horizontal="center" vertical="center"/>
    </xf>
    <xf numFmtId="164" fontId="8" fillId="32" borderId="15" xfId="1" applyNumberFormat="1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 wrapText="1"/>
    </xf>
    <xf numFmtId="3" fontId="0" fillId="32" borderId="8" xfId="0" applyNumberFormat="1" applyFont="1" applyFill="1" applyBorder="1" applyAlignment="1">
      <alignment horizontal="center" vertical="center" wrapText="1"/>
    </xf>
    <xf numFmtId="166" fontId="30" fillId="8" borderId="8" xfId="1" applyNumberFormat="1" applyFont="1" applyFill="1" applyBorder="1" applyAlignment="1">
      <alignment horizontal="center" vertical="center" wrapText="1"/>
    </xf>
    <xf numFmtId="166" fontId="8" fillId="8" borderId="8" xfId="1" applyNumberFormat="1" applyFont="1" applyFill="1" applyBorder="1" applyAlignment="1">
      <alignment horizontal="center" vertical="center"/>
    </xf>
    <xf numFmtId="166" fontId="8" fillId="0" borderId="0" xfId="1" applyNumberFormat="1" applyFont="1" applyBorder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166" fontId="8" fillId="8" borderId="8" xfId="1" applyNumberFormat="1" applyFont="1" applyFill="1" applyBorder="1" applyAlignment="1">
      <alignment horizontal="center" vertical="center" wrapText="1"/>
    </xf>
    <xf numFmtId="166" fontId="1" fillId="0" borderId="0" xfId="1" applyNumberFormat="1" applyFont="1" applyAlignment="1">
      <alignment horizontal="center" vertical="center"/>
    </xf>
    <xf numFmtId="166" fontId="9" fillId="8" borderId="8" xfId="1" applyNumberFormat="1" applyFont="1" applyFill="1" applyBorder="1" applyAlignment="1">
      <alignment horizontal="center" vertical="center"/>
    </xf>
    <xf numFmtId="164" fontId="8" fillId="32" borderId="11" xfId="0" applyNumberFormat="1" applyFont="1" applyFill="1" applyBorder="1" applyAlignment="1">
      <alignment horizontal="center" vertical="center"/>
    </xf>
    <xf numFmtId="1" fontId="35" fillId="52" borderId="8" xfId="0" applyNumberFormat="1" applyFont="1" applyFill="1" applyBorder="1" applyAlignment="1">
      <alignment horizontal="center" vertical="center"/>
    </xf>
    <xf numFmtId="164" fontId="8" fillId="32" borderId="8" xfId="2" applyNumberFormat="1" applyFont="1" applyFill="1" applyBorder="1" applyAlignment="1">
      <alignment horizontal="center" vertical="center"/>
    </xf>
    <xf numFmtId="164" fontId="9" fillId="8" borderId="29" xfId="0" applyNumberFormat="1" applyFont="1" applyFill="1" applyBorder="1" applyAlignment="1">
      <alignment horizontal="center" vertical="center"/>
    </xf>
    <xf numFmtId="41" fontId="9" fillId="8" borderId="8" xfId="0" applyNumberFormat="1" applyFont="1" applyFill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 wrapText="1"/>
    </xf>
    <xf numFmtId="166" fontId="0" fillId="33" borderId="8" xfId="1" applyNumberFormat="1" applyFont="1" applyFill="1" applyBorder="1" applyAlignment="1">
      <alignment horizontal="center" vertical="center"/>
    </xf>
    <xf numFmtId="3" fontId="5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/>
    </xf>
    <xf numFmtId="14" fontId="9" fillId="12" borderId="8" xfId="0" applyNumberFormat="1" applyFont="1" applyFill="1" applyBorder="1" applyAlignment="1">
      <alignment horizontal="center" vertical="center"/>
    </xf>
    <xf numFmtId="14" fontId="8" fillId="32" borderId="8" xfId="1" applyNumberFormat="1" applyFont="1" applyFill="1" applyBorder="1" applyAlignment="1">
      <alignment horizontal="center" vertical="center"/>
    </xf>
    <xf numFmtId="166" fontId="6" fillId="32" borderId="8" xfId="1" applyNumberFormat="1" applyFont="1" applyFill="1" applyBorder="1" applyAlignment="1">
      <alignment horizontal="center" vertical="center"/>
    </xf>
    <xf numFmtId="14" fontId="8" fillId="32" borderId="29" xfId="1" applyNumberFormat="1" applyFont="1" applyFill="1" applyBorder="1" applyAlignment="1">
      <alignment horizontal="center" vertical="center"/>
    </xf>
    <xf numFmtId="164" fontId="6" fillId="32" borderId="8" xfId="0" applyNumberFormat="1" applyFont="1" applyFill="1" applyBorder="1" applyAlignment="1">
      <alignment horizontal="center" vertical="center"/>
    </xf>
    <xf numFmtId="166" fontId="30" fillId="18" borderId="1" xfId="1" applyNumberFormat="1" applyFont="1" applyFill="1" applyBorder="1" applyAlignment="1">
      <alignment horizontal="center" vertical="center" wrapText="1"/>
    </xf>
    <xf numFmtId="166" fontId="0" fillId="19" borderId="1" xfId="1" applyNumberFormat="1" applyFont="1" applyFill="1" applyBorder="1" applyAlignment="1">
      <alignment horizontal="center" vertical="center"/>
    </xf>
    <xf numFmtId="166" fontId="0" fillId="19" borderId="8" xfId="1" applyNumberFormat="1" applyFont="1" applyFill="1" applyBorder="1" applyAlignment="1">
      <alignment horizontal="center" vertical="center"/>
    </xf>
    <xf numFmtId="166" fontId="8" fillId="10" borderId="8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66" fontId="0" fillId="0" borderId="0" xfId="1" applyNumberFormat="1" applyFont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  <xf numFmtId="166" fontId="0" fillId="32" borderId="8" xfId="1" applyNumberFormat="1" applyFont="1" applyFill="1" applyBorder="1" applyAlignment="1">
      <alignment horizontal="center" vertical="center"/>
    </xf>
    <xf numFmtId="43" fontId="30" fillId="11" borderId="11" xfId="1" applyFont="1" applyFill="1" applyBorder="1" applyAlignment="1">
      <alignment horizontal="center" vertical="center" wrapText="1"/>
    </xf>
    <xf numFmtId="165" fontId="0" fillId="11" borderId="11" xfId="0" applyNumberFormat="1" applyFont="1" applyFill="1" applyBorder="1" applyAlignment="1">
      <alignment horizontal="center" vertical="center"/>
    </xf>
    <xf numFmtId="43" fontId="30" fillId="18" borderId="13" xfId="1" applyFont="1" applyFill="1" applyBorder="1" applyAlignment="1">
      <alignment horizontal="center" vertical="center" wrapText="1"/>
    </xf>
    <xf numFmtId="165" fontId="0" fillId="19" borderId="13" xfId="0" applyNumberFormat="1" applyFont="1" applyFill="1" applyBorder="1" applyAlignment="1">
      <alignment horizontal="center" vertical="center"/>
    </xf>
    <xf numFmtId="43" fontId="30" fillId="11" borderId="30" xfId="1" applyFont="1" applyFill="1" applyBorder="1" applyAlignment="1">
      <alignment horizontal="center" vertical="center" wrapText="1"/>
    </xf>
    <xf numFmtId="165" fontId="8" fillId="21" borderId="15" xfId="0" applyNumberFormat="1" applyFont="1" applyFill="1" applyBorder="1" applyAlignment="1">
      <alignment horizontal="center" vertical="center"/>
    </xf>
    <xf numFmtId="14" fontId="6" fillId="8" borderId="8" xfId="0" applyNumberFormat="1" applyFont="1" applyFill="1" applyBorder="1" applyAlignment="1">
      <alignment horizontal="center" vertical="center"/>
    </xf>
    <xf numFmtId="9" fontId="0" fillId="32" borderId="8" xfId="2" applyFont="1" applyFill="1" applyBorder="1" applyAlignment="1">
      <alignment horizontal="center" vertical="center"/>
    </xf>
    <xf numFmtId="165" fontId="8" fillId="21" borderId="8" xfId="0" applyNumberFormat="1" applyFont="1" applyFill="1" applyBorder="1" applyAlignment="1">
      <alignment horizontal="center" vertical="center"/>
    </xf>
    <xf numFmtId="165" fontId="0" fillId="11" borderId="15" xfId="0" applyNumberFormat="1" applyFont="1" applyFill="1" applyBorder="1" applyAlignment="1">
      <alignment horizontal="center" vertical="center"/>
    </xf>
    <xf numFmtId="164" fontId="0" fillId="34" borderId="8" xfId="0" applyNumberFormat="1" applyFont="1" applyFill="1" applyBorder="1" applyAlignment="1">
      <alignment horizontal="center" vertical="center"/>
    </xf>
    <xf numFmtId="0" fontId="8" fillId="34" borderId="8" xfId="0" applyFont="1" applyFill="1" applyBorder="1" applyAlignment="1">
      <alignment horizontal="center" vertical="center"/>
    </xf>
    <xf numFmtId="164" fontId="0" fillId="32" borderId="8" xfId="2" applyNumberFormat="1" applyFont="1" applyFill="1" applyBorder="1" applyAlignment="1">
      <alignment horizontal="center" vertical="center"/>
    </xf>
    <xf numFmtId="0" fontId="38" fillId="23" borderId="8" xfId="0" applyFont="1" applyFill="1" applyBorder="1" applyAlignment="1">
      <alignment horizontal="center" vertical="center" wrapText="1"/>
    </xf>
    <xf numFmtId="0" fontId="38" fillId="23" borderId="8" xfId="0" applyFont="1" applyFill="1" applyBorder="1" applyAlignment="1">
      <alignment horizontal="center" vertical="center"/>
    </xf>
    <xf numFmtId="0" fontId="38" fillId="32" borderId="8" xfId="0" applyFont="1" applyFill="1" applyBorder="1" applyAlignment="1">
      <alignment horizontal="center" vertical="center" wrapText="1"/>
    </xf>
    <xf numFmtId="14" fontId="0" fillId="12" borderId="8" xfId="0" applyNumberFormat="1" applyFont="1" applyFill="1" applyBorder="1" applyAlignment="1">
      <alignment horizontal="center" vertical="center"/>
    </xf>
    <xf numFmtId="17" fontId="0" fillId="39" borderId="8" xfId="0" applyNumberFormat="1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 wrapText="1"/>
    </xf>
    <xf numFmtId="164" fontId="8" fillId="8" borderId="8" xfId="0" applyNumberFormat="1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 wrapText="1"/>
    </xf>
    <xf numFmtId="0" fontId="5" fillId="14" borderId="0" xfId="0" applyFont="1" applyFill="1" applyAlignment="1">
      <alignment horizontal="center" vertical="center" wrapText="1"/>
    </xf>
    <xf numFmtId="0" fontId="39" fillId="46" borderId="0" xfId="10" applyFont="1" applyFill="1" applyAlignment="1">
      <alignment horizontal="center" vertical="center" wrapText="1"/>
    </xf>
    <xf numFmtId="164" fontId="40" fillId="46" borderId="0" xfId="10" applyNumberFormat="1" applyFont="1" applyFill="1" applyAlignment="1">
      <alignment horizontal="center" vertical="center" wrapText="1"/>
    </xf>
    <xf numFmtId="164" fontId="39" fillId="46" borderId="0" xfId="10" applyNumberFormat="1" applyFont="1" applyFill="1" applyAlignment="1">
      <alignment horizontal="center" vertical="center" wrapText="1"/>
    </xf>
    <xf numFmtId="0" fontId="39" fillId="51" borderId="0" xfId="10" applyFont="1" applyFill="1" applyAlignment="1">
      <alignment horizontal="center" vertical="center" wrapText="1"/>
    </xf>
    <xf numFmtId="0" fontId="40" fillId="46" borderId="0" xfId="10" applyFont="1" applyFill="1" applyAlignment="1">
      <alignment horizontal="center" vertical="center" wrapText="1"/>
    </xf>
    <xf numFmtId="164" fontId="41" fillId="46" borderId="0" xfId="10" applyNumberFormat="1" applyFont="1" applyFill="1" applyAlignment="1">
      <alignment horizontal="center" vertical="center" wrapText="1"/>
    </xf>
    <xf numFmtId="164" fontId="42" fillId="46" borderId="0" xfId="10" applyNumberFormat="1" applyFont="1" applyFill="1" applyAlignment="1">
      <alignment horizontal="center" vertical="center" wrapText="1"/>
    </xf>
    <xf numFmtId="164" fontId="40" fillId="11" borderId="0" xfId="10" applyNumberFormat="1" applyFont="1" applyFill="1" applyAlignment="1">
      <alignment horizontal="center" vertical="center" wrapText="1"/>
    </xf>
    <xf numFmtId="164" fontId="39" fillId="11" borderId="0" xfId="10" applyNumberFormat="1" applyFont="1" applyFill="1" applyAlignment="1">
      <alignment horizontal="center" vertical="center" wrapText="1"/>
    </xf>
    <xf numFmtId="0" fontId="39" fillId="11" borderId="0" xfId="10" applyFont="1" applyFill="1" applyAlignment="1">
      <alignment horizontal="center" vertical="center" wrapText="1"/>
    </xf>
    <xf numFmtId="164" fontId="0" fillId="8" borderId="8" xfId="2" applyNumberFormat="1" applyFont="1" applyFill="1" applyBorder="1" applyAlignment="1">
      <alignment horizontal="center" vertical="center" wrapText="1"/>
    </xf>
    <xf numFmtId="165" fontId="0" fillId="21" borderId="8" xfId="0" applyNumberFormat="1" applyFont="1" applyFill="1" applyBorder="1" applyAlignment="1">
      <alignment horizontal="center" vertical="center"/>
    </xf>
    <xf numFmtId="3" fontId="8" fillId="44" borderId="8" xfId="7" applyNumberFormat="1" applyFont="1" applyFill="1" applyBorder="1" applyAlignment="1">
      <alignment horizontal="center" vertical="center" wrapText="1"/>
    </xf>
    <xf numFmtId="14" fontId="13" fillId="12" borderId="8" xfId="0" applyNumberFormat="1" applyFont="1" applyFill="1" applyBorder="1" applyAlignment="1">
      <alignment horizontal="center" vertical="center"/>
    </xf>
    <xf numFmtId="0" fontId="30" fillId="48" borderId="8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/>
    </xf>
    <xf numFmtId="43" fontId="0" fillId="0" borderId="2" xfId="1" applyFont="1" applyBorder="1" applyAlignment="1">
      <alignment horizontal="center" vertical="center"/>
    </xf>
    <xf numFmtId="165" fontId="0" fillId="32" borderId="8" xfId="0" applyNumberFormat="1" applyFont="1" applyFill="1" applyBorder="1" applyAlignment="1">
      <alignment horizontal="center" vertical="center"/>
    </xf>
    <xf numFmtId="165" fontId="8" fillId="32" borderId="8" xfId="0" applyNumberFormat="1" applyFont="1" applyFill="1" applyBorder="1" applyAlignment="1">
      <alignment horizontal="center" vertical="center"/>
    </xf>
    <xf numFmtId="165" fontId="8" fillId="33" borderId="8" xfId="0" applyNumberFormat="1" applyFont="1" applyFill="1" applyBorder="1" applyAlignment="1">
      <alignment horizontal="center" vertical="center" wrapText="1"/>
    </xf>
    <xf numFmtId="165" fontId="0" fillId="33" borderId="8" xfId="0" applyNumberFormat="1" applyFont="1" applyFill="1" applyBorder="1" applyAlignment="1">
      <alignment horizontal="center" vertical="center"/>
    </xf>
    <xf numFmtId="165" fontId="8" fillId="32" borderId="8" xfId="1" applyNumberFormat="1" applyFont="1" applyFill="1" applyBorder="1" applyAlignment="1">
      <alignment horizontal="center" vertical="center"/>
    </xf>
    <xf numFmtId="165" fontId="9" fillId="8" borderId="8" xfId="0" applyNumberFormat="1" applyFont="1" applyFill="1" applyBorder="1" applyAlignment="1">
      <alignment horizontal="center" vertical="center"/>
    </xf>
    <xf numFmtId="166" fontId="0" fillId="14" borderId="8" xfId="1" applyNumberFormat="1" applyFont="1" applyFill="1" applyBorder="1" applyAlignment="1">
      <alignment horizontal="center" vertical="center"/>
    </xf>
    <xf numFmtId="14" fontId="6" fillId="41" borderId="8" xfId="0" applyNumberFormat="1" applyFont="1" applyFill="1" applyBorder="1" applyAlignment="1">
      <alignment horizontal="center" vertical="center"/>
    </xf>
    <xf numFmtId="1" fontId="44" fillId="52" borderId="8" xfId="0" applyNumberFormat="1" applyFont="1" applyFill="1" applyBorder="1" applyAlignment="1">
      <alignment horizontal="center" vertical="center"/>
    </xf>
    <xf numFmtId="164" fontId="9" fillId="8" borderId="15" xfId="0" applyNumberFormat="1" applyFont="1" applyFill="1" applyBorder="1" applyAlignment="1">
      <alignment horizontal="center" vertical="center"/>
    </xf>
    <xf numFmtId="1" fontId="9" fillId="8" borderId="8" xfId="0" applyNumberFormat="1" applyFont="1" applyFill="1" applyBorder="1" applyAlignment="1">
      <alignment horizontal="center" vertical="center"/>
    </xf>
    <xf numFmtId="1" fontId="9" fillId="8" borderId="8" xfId="2" applyNumberFormat="1" applyFont="1" applyFill="1" applyBorder="1" applyAlignment="1">
      <alignment horizontal="center" vertical="center"/>
    </xf>
    <xf numFmtId="14" fontId="9" fillId="38" borderId="1" xfId="7" applyNumberFormat="1" applyFont="1" applyFill="1" applyBorder="1" applyAlignment="1">
      <alignment horizontal="center" vertical="center"/>
    </xf>
    <xf numFmtId="14" fontId="9" fillId="17" borderId="8" xfId="7" applyNumberFormat="1" applyFont="1" applyFill="1" applyBorder="1" applyAlignment="1">
      <alignment horizontal="center" vertical="center"/>
    </xf>
    <xf numFmtId="164" fontId="45" fillId="46" borderId="0" xfId="10" applyNumberFormat="1" applyFont="1" applyFill="1" applyAlignment="1">
      <alignment horizontal="center" vertical="center" wrapText="1"/>
    </xf>
    <xf numFmtId="165" fontId="0" fillId="53" borderId="8" xfId="0" applyNumberFormat="1" applyFont="1" applyFill="1" applyBorder="1" applyAlignment="1">
      <alignment horizontal="center" vertical="center"/>
    </xf>
    <xf numFmtId="9" fontId="8" fillId="10" borderId="1" xfId="2" applyFont="1" applyFill="1" applyBorder="1" applyAlignment="1">
      <alignment horizontal="center" vertical="center" wrapText="1"/>
    </xf>
    <xf numFmtId="3" fontId="8" fillId="32" borderId="13" xfId="1" applyNumberFormat="1" applyFont="1" applyFill="1" applyBorder="1" applyAlignment="1">
      <alignment horizontal="center" vertical="center"/>
    </xf>
    <xf numFmtId="3" fontId="8" fillId="32" borderId="13" xfId="0" applyNumberFormat="1" applyFont="1" applyFill="1" applyBorder="1" applyAlignment="1">
      <alignment horizontal="center" vertical="center"/>
    </xf>
    <xf numFmtId="3" fontId="9" fillId="8" borderId="13" xfId="1" applyNumberFormat="1" applyFont="1" applyFill="1" applyBorder="1" applyAlignment="1">
      <alignment horizontal="center" vertical="center"/>
    </xf>
    <xf numFmtId="3" fontId="0" fillId="32" borderId="13" xfId="0" applyNumberFormat="1" applyFont="1" applyFill="1" applyBorder="1" applyAlignment="1">
      <alignment horizontal="center" vertical="center"/>
    </xf>
    <xf numFmtId="164" fontId="8" fillId="32" borderId="12" xfId="0" applyNumberFormat="1" applyFont="1" applyFill="1" applyBorder="1" applyAlignment="1">
      <alignment horizontal="center" vertical="center"/>
    </xf>
    <xf numFmtId="3" fontId="8" fillId="33" borderId="13" xfId="1" applyNumberFormat="1" applyFont="1" applyFill="1" applyBorder="1" applyAlignment="1">
      <alignment horizontal="center" vertical="center"/>
    </xf>
    <xf numFmtId="3" fontId="19" fillId="8" borderId="13" xfId="0" applyNumberFormat="1" applyFont="1" applyFill="1" applyBorder="1" applyAlignment="1">
      <alignment horizontal="center" vertical="center"/>
    </xf>
    <xf numFmtId="3" fontId="8" fillId="8" borderId="13" xfId="0" applyNumberFormat="1" applyFont="1" applyFill="1" applyBorder="1" applyAlignment="1">
      <alignment horizontal="center" vertical="center"/>
    </xf>
    <xf numFmtId="3" fontId="0" fillId="32" borderId="31" xfId="1" applyNumberFormat="1" applyFont="1" applyFill="1" applyBorder="1" applyAlignment="1">
      <alignment horizontal="center" vertical="center"/>
    </xf>
    <xf numFmtId="3" fontId="8" fillId="32" borderId="31" xfId="1" applyNumberFormat="1" applyFont="1" applyFill="1" applyBorder="1" applyAlignment="1">
      <alignment horizontal="center" vertical="center" wrapText="1"/>
    </xf>
    <xf numFmtId="3" fontId="8" fillId="32" borderId="31" xfId="1" applyNumberFormat="1" applyFont="1" applyFill="1" applyBorder="1" applyAlignment="1">
      <alignment horizontal="center" vertical="center"/>
    </xf>
    <xf numFmtId="3" fontId="8" fillId="32" borderId="31" xfId="0" applyNumberFormat="1" applyFont="1" applyFill="1" applyBorder="1" applyAlignment="1">
      <alignment horizontal="center" vertical="center"/>
    </xf>
    <xf numFmtId="3" fontId="0" fillId="32" borderId="31" xfId="0" applyNumberFormat="1" applyFont="1" applyFill="1" applyBorder="1" applyAlignment="1">
      <alignment horizontal="center" vertical="center"/>
    </xf>
    <xf numFmtId="1" fontId="8" fillId="32" borderId="31" xfId="1" applyNumberFormat="1" applyFont="1" applyFill="1" applyBorder="1" applyAlignment="1">
      <alignment horizontal="center" vertical="center"/>
    </xf>
    <xf numFmtId="1" fontId="0" fillId="32" borderId="31" xfId="0" applyNumberFormat="1" applyFont="1" applyFill="1" applyBorder="1" applyAlignment="1">
      <alignment horizontal="center" vertical="center"/>
    </xf>
    <xf numFmtId="14" fontId="8" fillId="9" borderId="1" xfId="3" applyNumberFormat="1" applyFont="1" applyFill="1" applyBorder="1" applyAlignment="1">
      <alignment horizontal="center" vertical="center" wrapText="1"/>
    </xf>
    <xf numFmtId="165" fontId="8" fillId="22" borderId="1" xfId="5" applyNumberFormat="1" applyFont="1" applyFill="1" applyBorder="1" applyAlignment="1">
      <alignment horizontal="center" vertical="center"/>
    </xf>
    <xf numFmtId="14" fontId="9" fillId="38" borderId="8" xfId="7" applyNumberFormat="1" applyFont="1" applyFill="1" applyBorder="1" applyAlignment="1">
      <alignment horizontal="center" vertical="center"/>
    </xf>
    <xf numFmtId="0" fontId="8" fillId="32" borderId="1" xfId="3" applyFont="1" applyFill="1" applyBorder="1" applyAlignment="1">
      <alignment horizontal="center" vertical="center" wrapText="1"/>
    </xf>
    <xf numFmtId="0" fontId="8" fillId="39" borderId="8" xfId="3" applyFont="1" applyFill="1" applyBorder="1" applyAlignment="1">
      <alignment horizontal="center" vertical="center" wrapText="1"/>
    </xf>
    <xf numFmtId="43" fontId="8" fillId="39" borderId="8" xfId="3" applyNumberFormat="1" applyFont="1" applyFill="1" applyBorder="1" applyAlignment="1">
      <alignment horizontal="center" vertical="center" wrapText="1"/>
    </xf>
    <xf numFmtId="166" fontId="0" fillId="10" borderId="1" xfId="0" applyNumberFormat="1" applyFont="1" applyFill="1" applyBorder="1" applyAlignment="1">
      <alignment horizontal="center" vertical="center"/>
    </xf>
    <xf numFmtId="166" fontId="8" fillId="15" borderId="1" xfId="1" applyNumberFormat="1" applyFont="1" applyFill="1" applyBorder="1" applyAlignment="1">
      <alignment horizontal="center" vertical="center" wrapText="1"/>
    </xf>
    <xf numFmtId="43" fontId="8" fillId="11" borderId="12" xfId="1" applyFont="1" applyFill="1" applyBorder="1" applyAlignment="1">
      <alignment horizontal="center" vertical="center" wrapText="1"/>
    </xf>
    <xf numFmtId="165" fontId="8" fillId="14" borderId="15" xfId="0" applyNumberFormat="1" applyFont="1" applyFill="1" applyBorder="1" applyAlignment="1">
      <alignment horizontal="center" vertical="center"/>
    </xf>
    <xf numFmtId="165" fontId="0" fillId="12" borderId="15" xfId="0" applyNumberFormat="1" applyFont="1" applyFill="1" applyBorder="1" applyAlignment="1">
      <alignment horizontal="center" vertical="center"/>
    </xf>
    <xf numFmtId="43" fontId="8" fillId="10" borderId="8" xfId="1" applyFont="1" applyFill="1" applyBorder="1" applyAlignment="1">
      <alignment horizontal="center" vertical="center"/>
    </xf>
    <xf numFmtId="9" fontId="0" fillId="12" borderId="8" xfId="2" applyFont="1" applyFill="1" applyBorder="1" applyAlignment="1">
      <alignment horizontal="center" vertical="center"/>
    </xf>
    <xf numFmtId="3" fontId="30" fillId="34" borderId="31" xfId="1" applyNumberFormat="1" applyFont="1" applyFill="1" applyBorder="1" applyAlignment="1">
      <alignment horizontal="center" vertical="center" wrapText="1"/>
    </xf>
    <xf numFmtId="200" fontId="8" fillId="27" borderId="31" xfId="1" applyNumberFormat="1" applyFont="1" applyFill="1" applyBorder="1" applyAlignment="1">
      <alignment horizontal="center" vertical="center"/>
    </xf>
    <xf numFmtId="3" fontId="9" fillId="27" borderId="31" xfId="0" applyNumberFormat="1" applyFont="1" applyFill="1" applyBorder="1" applyAlignment="1">
      <alignment horizontal="center" vertical="center"/>
    </xf>
    <xf numFmtId="3" fontId="9" fillId="27" borderId="31" xfId="1" applyNumberFormat="1" applyFont="1" applyFill="1" applyBorder="1" applyAlignment="1">
      <alignment horizontal="center" vertical="center"/>
    </xf>
    <xf numFmtId="176" fontId="8" fillId="27" borderId="31" xfId="1" applyNumberFormat="1" applyFont="1" applyFill="1" applyBorder="1" applyAlignment="1">
      <alignment horizontal="center" vertical="center"/>
    </xf>
    <xf numFmtId="1" fontId="19" fillId="27" borderId="31" xfId="1" applyNumberFormat="1" applyFont="1" applyFill="1" applyBorder="1" applyAlignment="1">
      <alignment horizontal="center" vertical="center"/>
    </xf>
    <xf numFmtId="0" fontId="30" fillId="34" borderId="31" xfId="1" applyNumberFormat="1" applyFont="1" applyFill="1" applyBorder="1" applyAlignment="1">
      <alignment horizontal="center" vertical="center" wrapText="1"/>
    </xf>
    <xf numFmtId="164" fontId="9" fillId="12" borderId="29" xfId="1" applyNumberFormat="1" applyFont="1" applyFill="1" applyBorder="1" applyAlignment="1">
      <alignment horizontal="center" vertical="center"/>
    </xf>
    <xf numFmtId="164" fontId="9" fillId="12" borderId="15" xfId="1" applyNumberFormat="1" applyFont="1" applyFill="1" applyBorder="1" applyAlignment="1">
      <alignment horizontal="center" vertical="center"/>
    </xf>
    <xf numFmtId="164" fontId="9" fillId="12" borderId="29" xfId="0" applyNumberFormat="1" applyFont="1" applyFill="1" applyBorder="1" applyAlignment="1">
      <alignment horizontal="center" vertical="center"/>
    </xf>
    <xf numFmtId="169" fontId="8" fillId="32" borderId="29" xfId="1" applyNumberFormat="1" applyFont="1" applyFill="1" applyBorder="1" applyAlignment="1">
      <alignment horizontal="center" vertical="center"/>
    </xf>
    <xf numFmtId="14" fontId="8" fillId="32" borderId="29" xfId="0" applyNumberFormat="1" applyFont="1" applyFill="1" applyBorder="1" applyAlignment="1">
      <alignment horizontal="center" vertical="center" wrapText="1"/>
    </xf>
    <xf numFmtId="164" fontId="8" fillId="32" borderId="29" xfId="1" applyNumberFormat="1" applyFont="1" applyFill="1" applyBorder="1" applyAlignment="1">
      <alignment horizontal="center" vertical="center" wrapText="1"/>
    </xf>
    <xf numFmtId="169" fontId="8" fillId="32" borderId="8" xfId="0" applyNumberFormat="1" applyFont="1" applyFill="1" applyBorder="1" applyAlignment="1">
      <alignment horizontal="center" vertical="center"/>
    </xf>
    <xf numFmtId="164" fontId="35" fillId="32" borderId="8" xfId="0" applyNumberFormat="1" applyFont="1" applyFill="1" applyBorder="1" applyAlignment="1">
      <alignment horizontal="center" vertical="center"/>
    </xf>
    <xf numFmtId="3" fontId="9" fillId="8" borderId="8" xfId="1" applyNumberFormat="1" applyFont="1" applyFill="1" applyBorder="1" applyAlignment="1">
      <alignment horizontal="center" vertical="center"/>
    </xf>
    <xf numFmtId="43" fontId="8" fillId="44" borderId="8" xfId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165" fontId="7" fillId="11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9" fontId="0" fillId="32" borderId="8" xfId="0" applyNumberFormat="1" applyFont="1" applyFill="1" applyBorder="1" applyAlignment="1">
      <alignment horizontal="center" vertical="center"/>
    </xf>
    <xf numFmtId="0" fontId="8" fillId="31" borderId="1" xfId="3" applyFont="1" applyFill="1" applyBorder="1" applyAlignment="1">
      <alignment horizontal="center" vertical="center" wrapText="1"/>
    </xf>
    <xf numFmtId="165" fontId="0" fillId="49" borderId="8" xfId="0" applyNumberFormat="1" applyFont="1" applyFill="1" applyBorder="1" applyAlignment="1">
      <alignment horizontal="center" vertical="center"/>
    </xf>
    <xf numFmtId="43" fontId="0" fillId="14" borderId="8" xfId="1" applyFont="1" applyFill="1" applyBorder="1" applyAlignment="1">
      <alignment horizontal="center" vertical="center"/>
    </xf>
    <xf numFmtId="193" fontId="0" fillId="11" borderId="1" xfId="0" applyNumberFormat="1" applyFont="1" applyFill="1" applyBorder="1" applyAlignment="1">
      <alignment horizontal="center" vertical="center"/>
    </xf>
    <xf numFmtId="193" fontId="0" fillId="12" borderId="1" xfId="0" applyNumberFormat="1" applyFont="1" applyFill="1" applyBorder="1" applyAlignment="1">
      <alignment horizontal="center" vertical="center"/>
    </xf>
    <xf numFmtId="3" fontId="0" fillId="53" borderId="12" xfId="0" applyNumberFormat="1" applyFont="1" applyFill="1" applyBorder="1" applyAlignment="1">
      <alignment horizontal="center" vertical="center"/>
    </xf>
    <xf numFmtId="10" fontId="0" fillId="53" borderId="8" xfId="2" applyNumberFormat="1" applyFont="1" applyFill="1" applyBorder="1" applyAlignment="1">
      <alignment horizontal="center" vertical="center"/>
    </xf>
    <xf numFmtId="10" fontId="0" fillId="32" borderId="8" xfId="2" applyNumberFormat="1" applyFont="1" applyFill="1" applyBorder="1" applyAlignment="1">
      <alignment horizontal="center" vertical="center"/>
    </xf>
    <xf numFmtId="1" fontId="0" fillId="9" borderId="1" xfId="2" applyNumberFormat="1" applyFont="1" applyFill="1" applyBorder="1" applyAlignment="1">
      <alignment horizontal="center" vertical="center"/>
    </xf>
    <xf numFmtId="164" fontId="35" fillId="32" borderId="8" xfId="10" applyNumberFormat="1" applyFont="1" applyFill="1" applyBorder="1" applyAlignment="1">
      <alignment horizontal="center" vertical="center" wrapText="1"/>
    </xf>
    <xf numFmtId="164" fontId="9" fillId="12" borderId="11" xfId="1" applyNumberFormat="1" applyFont="1" applyFill="1" applyBorder="1" applyAlignment="1">
      <alignment horizontal="center" vertical="center"/>
    </xf>
    <xf numFmtId="193" fontId="0" fillId="12" borderId="8" xfId="0" applyNumberFormat="1" applyFont="1" applyFill="1" applyBorder="1" applyAlignment="1">
      <alignment horizontal="center" vertical="center"/>
    </xf>
    <xf numFmtId="14" fontId="8" fillId="32" borderId="8" xfId="5" applyNumberFormat="1" applyFont="1" applyFill="1" applyBorder="1" applyAlignment="1">
      <alignment horizontal="center" vertical="center"/>
    </xf>
    <xf numFmtId="14" fontId="35" fillId="32" borderId="8" xfId="10" applyNumberFormat="1" applyFont="1" applyFill="1" applyBorder="1" applyAlignment="1">
      <alignment horizontal="center" vertical="center" wrapText="1"/>
    </xf>
    <xf numFmtId="164" fontId="8" fillId="10" borderId="15" xfId="1" applyNumberFormat="1" applyFont="1" applyFill="1" applyBorder="1" applyAlignment="1">
      <alignment horizontal="center" vertical="center"/>
    </xf>
    <xf numFmtId="164" fontId="8" fillId="10" borderId="15" xfId="0" applyNumberFormat="1" applyFont="1" applyFill="1" applyBorder="1" applyAlignment="1">
      <alignment horizontal="center" vertical="center"/>
    </xf>
    <xf numFmtId="164" fontId="48" fillId="11" borderId="32" xfId="10" applyNumberFormat="1" applyFont="1" applyFill="1" applyBorder="1" applyAlignment="1">
      <alignment horizontal="center" vertical="center" wrapText="1"/>
    </xf>
    <xf numFmtId="3" fontId="49" fillId="23" borderId="8" xfId="10" applyNumberFormat="1" applyFont="1" applyFill="1" applyBorder="1" applyAlignment="1">
      <alignment horizontal="center" vertical="center" wrapText="1"/>
    </xf>
    <xf numFmtId="164" fontId="31" fillId="11" borderId="28" xfId="10" applyNumberFormat="1" applyFont="1" applyFill="1" applyBorder="1" applyAlignment="1">
      <alignment horizontal="center" vertical="center" wrapText="1"/>
    </xf>
    <xf numFmtId="0" fontId="30" fillId="36" borderId="12" xfId="1" applyNumberFormat="1" applyFont="1" applyFill="1" applyBorder="1" applyAlignment="1">
      <alignment horizontal="center" vertical="center" wrapText="1"/>
    </xf>
    <xf numFmtId="164" fontId="31" fillId="11" borderId="33" xfId="10" applyNumberFormat="1" applyFont="1" applyFill="1" applyBorder="1" applyAlignment="1">
      <alignment horizontal="center" vertical="center" wrapText="1"/>
    </xf>
    <xf numFmtId="164" fontId="50" fillId="11" borderId="32" xfId="10" applyNumberFormat="1" applyFont="1" applyFill="1" applyBorder="1" applyAlignment="1">
      <alignment horizontal="center" vertical="center" wrapText="1"/>
    </xf>
    <xf numFmtId="0" fontId="0" fillId="32" borderId="1" xfId="0" applyFont="1" applyFill="1" applyBorder="1" applyAlignment="1">
      <alignment horizontal="center" vertical="center"/>
    </xf>
    <xf numFmtId="165" fontId="8" fillId="11" borderId="15" xfId="0" applyNumberFormat="1" applyFont="1" applyFill="1" applyBorder="1" applyAlignment="1">
      <alignment horizontal="center" vertical="center"/>
    </xf>
    <xf numFmtId="0" fontId="0" fillId="44" borderId="8" xfId="0" applyFont="1" applyFill="1" applyBorder="1" applyAlignment="1">
      <alignment horizontal="center" vertical="center"/>
    </xf>
    <xf numFmtId="0" fontId="6" fillId="29" borderId="8" xfId="0" applyFont="1" applyFill="1" applyBorder="1" applyAlignment="1">
      <alignment horizontal="center" vertical="center"/>
    </xf>
    <xf numFmtId="0" fontId="7" fillId="44" borderId="0" xfId="0" applyFont="1" applyFill="1" applyAlignment="1">
      <alignment horizontal="center" vertical="center"/>
    </xf>
    <xf numFmtId="0" fontId="30" fillId="57" borderId="1" xfId="0" applyFont="1" applyFill="1" applyBorder="1" applyAlignment="1">
      <alignment horizontal="center" vertical="center" wrapText="1"/>
    </xf>
    <xf numFmtId="1" fontId="0" fillId="57" borderId="1" xfId="0" applyNumberFormat="1" applyFont="1" applyFill="1" applyBorder="1" applyAlignment="1">
      <alignment horizontal="center" vertical="center"/>
    </xf>
    <xf numFmtId="1" fontId="0" fillId="57" borderId="8" xfId="0" applyNumberFormat="1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 wrapText="1"/>
    </xf>
    <xf numFmtId="164" fontId="8" fillId="22" borderId="1" xfId="5" applyNumberFormat="1" applyFont="1" applyFill="1" applyBorder="1" applyAlignment="1">
      <alignment horizontal="center" vertical="center"/>
    </xf>
    <xf numFmtId="165" fontId="8" fillId="16" borderId="1" xfId="5" applyNumberFormat="1" applyFont="1" applyFill="1" applyBorder="1" applyAlignment="1">
      <alignment horizontal="center" vertical="center"/>
    </xf>
    <xf numFmtId="164" fontId="8" fillId="14" borderId="1" xfId="6" applyNumberFormat="1" applyFont="1" applyFill="1" applyBorder="1" applyAlignment="1">
      <alignment horizontal="center" vertical="center"/>
    </xf>
    <xf numFmtId="14" fontId="9" fillId="2" borderId="1" xfId="3" applyNumberFormat="1" applyFont="1" applyBorder="1" applyAlignment="1">
      <alignment horizontal="center" vertical="center" wrapText="1"/>
    </xf>
    <xf numFmtId="165" fontId="0" fillId="14" borderId="11" xfId="0" applyNumberFormat="1" applyFont="1" applyFill="1" applyBorder="1" applyAlignment="1">
      <alignment horizontal="center" vertical="center"/>
    </xf>
    <xf numFmtId="165" fontId="9" fillId="11" borderId="1" xfId="0" applyNumberFormat="1" applyFont="1" applyFill="1" applyBorder="1" applyAlignment="1">
      <alignment horizontal="center" vertical="center"/>
    </xf>
    <xf numFmtId="4" fontId="0" fillId="27" borderId="7" xfId="0" applyNumberFormat="1" applyFont="1" applyFill="1" applyBorder="1" applyAlignment="1">
      <alignment horizontal="center" vertical="center"/>
    </xf>
    <xf numFmtId="164" fontId="19" fillId="8" borderId="8" xfId="0" applyNumberFormat="1" applyFont="1" applyFill="1" applyBorder="1" applyAlignment="1">
      <alignment horizontal="center" vertical="center"/>
    </xf>
    <xf numFmtId="0" fontId="0" fillId="8" borderId="13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 wrapText="1"/>
    </xf>
    <xf numFmtId="164" fontId="8" fillId="32" borderId="11" xfId="1" applyNumberFormat="1" applyFont="1" applyFill="1" applyBorder="1" applyAlignment="1">
      <alignment horizontal="center" vertical="center"/>
    </xf>
    <xf numFmtId="0" fontId="8" fillId="30" borderId="1" xfId="8" applyFont="1" applyFill="1" applyBorder="1" applyAlignment="1">
      <alignment horizontal="center" vertical="center"/>
    </xf>
    <xf numFmtId="0" fontId="8" fillId="4" borderId="8" xfId="5" applyFont="1" applyBorder="1" applyAlignment="1">
      <alignment horizontal="center" vertical="center" wrapText="1"/>
    </xf>
    <xf numFmtId="0" fontId="8" fillId="38" borderId="8" xfId="7" applyFont="1" applyFill="1" applyBorder="1" applyAlignment="1">
      <alignment horizontal="center" vertical="center" wrapText="1"/>
    </xf>
    <xf numFmtId="3" fontId="46" fillId="53" borderId="8" xfId="10" applyNumberFormat="1" applyFont="1" applyFill="1" applyBorder="1" applyAlignment="1">
      <alignment horizontal="center" vertical="center" wrapText="1"/>
    </xf>
    <xf numFmtId="0" fontId="0" fillId="53" borderId="0" xfId="0" applyFont="1" applyFill="1" applyBorder="1" applyAlignment="1">
      <alignment horizontal="center" vertical="center"/>
    </xf>
    <xf numFmtId="3" fontId="36" fillId="56" borderId="8" xfId="10" applyNumberFormat="1" applyFont="1" applyFill="1" applyBorder="1" applyAlignment="1">
      <alignment horizontal="center" vertical="center" wrapText="1"/>
    </xf>
    <xf numFmtId="0" fontId="0" fillId="23" borderId="0" xfId="0" applyFont="1" applyFill="1" applyBorder="1" applyAlignment="1">
      <alignment horizontal="center" vertical="center"/>
    </xf>
    <xf numFmtId="3" fontId="36" fillId="56" borderId="8" xfId="10" applyNumberFormat="1" applyFont="1" applyFill="1" applyBorder="1" applyAlignment="1">
      <alignment horizontal="right" vertical="center" wrapText="1"/>
    </xf>
    <xf numFmtId="0" fontId="0" fillId="23" borderId="0" xfId="0" applyFont="1" applyFill="1" applyBorder="1" applyAlignment="1">
      <alignment horizontal="center" vertical="center" wrapText="1"/>
    </xf>
    <xf numFmtId="200" fontId="8" fillId="32" borderId="31" xfId="1" applyNumberFormat="1" applyFont="1" applyFill="1" applyBorder="1" applyAlignment="1">
      <alignment horizontal="center" vertical="center"/>
    </xf>
    <xf numFmtId="164" fontId="9" fillId="12" borderId="11" xfId="0" applyNumberFormat="1" applyFont="1" applyFill="1" applyBorder="1" applyAlignment="1">
      <alignment horizontal="center" vertical="center"/>
    </xf>
    <xf numFmtId="3" fontId="30" fillId="11" borderId="8" xfId="1" applyNumberFormat="1" applyFont="1" applyFill="1" applyBorder="1" applyAlignment="1">
      <alignment horizontal="center" vertical="center" wrapText="1"/>
    </xf>
    <xf numFmtId="3" fontId="8" fillId="11" borderId="8" xfId="1" applyNumberFormat="1" applyFont="1" applyFill="1" applyBorder="1" applyAlignment="1">
      <alignment horizontal="center" vertical="center" wrapText="1"/>
    </xf>
    <xf numFmtId="176" fontId="8" fillId="32" borderId="31" xfId="1" applyNumberFormat="1" applyFont="1" applyFill="1" applyBorder="1" applyAlignment="1">
      <alignment horizontal="center" vertical="center"/>
    </xf>
    <xf numFmtId="14" fontId="8" fillId="32" borderId="8" xfId="0" applyNumberFormat="1" applyFont="1" applyFill="1" applyBorder="1" applyAlignment="1">
      <alignment horizontal="center" vertical="center" wrapText="1"/>
    </xf>
    <xf numFmtId="43" fontId="0" fillId="0" borderId="0" xfId="1" applyFont="1" applyBorder="1" applyAlignment="1">
      <alignment horizontal="center" vertical="center"/>
    </xf>
    <xf numFmtId="3" fontId="8" fillId="8" borderId="8" xfId="0" applyNumberFormat="1" applyFont="1" applyFill="1" applyBorder="1" applyAlignment="1">
      <alignment horizontal="center" vertical="center" wrapText="1"/>
    </xf>
    <xf numFmtId="3" fontId="0" fillId="8" borderId="8" xfId="1" applyNumberFormat="1" applyFont="1" applyFill="1" applyBorder="1" applyAlignment="1">
      <alignment horizontal="center" vertical="center"/>
    </xf>
    <xf numFmtId="166" fontId="0" fillId="8" borderId="8" xfId="1" applyNumberFormat="1" applyFont="1" applyFill="1" applyBorder="1" applyAlignment="1">
      <alignment horizontal="center" vertical="center"/>
    </xf>
    <xf numFmtId="4" fontId="0" fillId="32" borderId="8" xfId="0" applyNumberFormat="1" applyFont="1" applyFill="1" applyBorder="1" applyAlignment="1">
      <alignment horizontal="center" vertical="center"/>
    </xf>
    <xf numFmtId="43" fontId="30" fillId="8" borderId="8" xfId="1" applyFont="1" applyFill="1" applyBorder="1" applyAlignment="1">
      <alignment horizontal="center" vertical="center" wrapText="1"/>
    </xf>
    <xf numFmtId="43" fontId="0" fillId="8" borderId="8" xfId="1" applyFont="1" applyFill="1" applyBorder="1" applyAlignment="1">
      <alignment horizontal="center" vertical="center"/>
    </xf>
    <xf numFmtId="43" fontId="0" fillId="0" borderId="8" xfId="1" applyFont="1" applyBorder="1" applyAlignment="1">
      <alignment horizontal="center" vertical="center"/>
    </xf>
    <xf numFmtId="43" fontId="5" fillId="8" borderId="0" xfId="1" applyFont="1" applyFill="1" applyBorder="1" applyAlignment="1">
      <alignment horizontal="center"/>
    </xf>
    <xf numFmtId="43" fontId="0" fillId="8" borderId="0" xfId="1" applyFont="1" applyFill="1" applyBorder="1" applyAlignment="1">
      <alignment horizontal="center" vertical="center"/>
    </xf>
    <xf numFmtId="3" fontId="8" fillId="32" borderId="8" xfId="1" applyNumberFormat="1" applyFont="1" applyFill="1" applyBorder="1" applyAlignment="1">
      <alignment horizontal="center" vertical="center"/>
    </xf>
    <xf numFmtId="3" fontId="8" fillId="8" borderId="11" xfId="1" applyNumberFormat="1" applyFont="1" applyFill="1" applyBorder="1" applyAlignment="1">
      <alignment horizontal="center" vertical="center"/>
    </xf>
    <xf numFmtId="164" fontId="8" fillId="33" borderId="29" xfId="0" applyNumberFormat="1" applyFont="1" applyFill="1" applyBorder="1" applyAlignment="1">
      <alignment horizontal="center" vertical="center"/>
    </xf>
    <xf numFmtId="43" fontId="0" fillId="10" borderId="8" xfId="1" applyFont="1" applyFill="1" applyBorder="1" applyAlignment="1">
      <alignment horizontal="center" vertical="center"/>
    </xf>
    <xf numFmtId="3" fontId="7" fillId="44" borderId="8" xfId="0" applyNumberFormat="1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57" borderId="8" xfId="7" applyFont="1" applyFill="1" applyBorder="1" applyAlignment="1">
      <alignment horizontal="center" vertical="center" wrapText="1"/>
    </xf>
    <xf numFmtId="0" fontId="8" fillId="57" borderId="1" xfId="7" applyFont="1" applyFill="1" applyBorder="1" applyAlignment="1">
      <alignment horizontal="center" vertical="center" wrapText="1"/>
    </xf>
    <xf numFmtId="0" fontId="8" fillId="57" borderId="8" xfId="6" applyFont="1" applyFill="1" applyBorder="1" applyAlignment="1">
      <alignment horizontal="center" vertical="center" wrapText="1"/>
    </xf>
    <xf numFmtId="164" fontId="8" fillId="57" borderId="8" xfId="6" applyNumberFormat="1" applyFont="1" applyFill="1" applyBorder="1" applyAlignment="1">
      <alignment horizontal="center" vertical="center"/>
    </xf>
    <xf numFmtId="0" fontId="5" fillId="57" borderId="8" xfId="7" applyFont="1" applyFill="1" applyBorder="1" applyAlignment="1">
      <alignment horizontal="center" vertical="center" wrapText="1"/>
    </xf>
    <xf numFmtId="0" fontId="5" fillId="57" borderId="1" xfId="7" applyFont="1" applyFill="1" applyBorder="1" applyAlignment="1">
      <alignment horizontal="center" vertical="center" wrapText="1"/>
    </xf>
    <xf numFmtId="0" fontId="5" fillId="57" borderId="8" xfId="6" applyFont="1" applyFill="1" applyBorder="1" applyAlignment="1">
      <alignment horizontal="center" vertical="center" wrapText="1"/>
    </xf>
    <xf numFmtId="0" fontId="5" fillId="57" borderId="1" xfId="6" applyFont="1" applyFill="1" applyBorder="1" applyAlignment="1">
      <alignment horizontal="center" vertical="center" wrapText="1"/>
    </xf>
    <xf numFmtId="14" fontId="8" fillId="57" borderId="8" xfId="7" applyNumberFormat="1" applyFont="1" applyFill="1" applyBorder="1" applyAlignment="1">
      <alignment horizontal="center" vertical="center"/>
    </xf>
    <xf numFmtId="14" fontId="8" fillId="57" borderId="1" xfId="7" applyNumberFormat="1" applyFont="1" applyFill="1" applyBorder="1" applyAlignment="1">
      <alignment horizontal="center" vertical="center" wrapText="1"/>
    </xf>
    <xf numFmtId="164" fontId="8" fillId="57" borderId="8" xfId="7" applyNumberFormat="1" applyFont="1" applyFill="1" applyBorder="1" applyAlignment="1">
      <alignment horizontal="center" vertical="center"/>
    </xf>
    <xf numFmtId="164" fontId="8" fillId="57" borderId="8" xfId="6" applyNumberFormat="1" applyFont="1" applyFill="1" applyBorder="1" applyAlignment="1">
      <alignment horizontal="center" vertical="center" wrapText="1"/>
    </xf>
    <xf numFmtId="14" fontId="8" fillId="57" borderId="1" xfId="7" applyNumberFormat="1" applyFont="1" applyFill="1" applyBorder="1" applyAlignment="1">
      <alignment horizontal="center" vertical="center"/>
    </xf>
    <xf numFmtId="14" fontId="8" fillId="57" borderId="8" xfId="7" applyNumberFormat="1" applyFont="1" applyFill="1" applyBorder="1" applyAlignment="1">
      <alignment horizontal="center" vertical="center" wrapText="1"/>
    </xf>
    <xf numFmtId="164" fontId="8" fillId="57" borderId="8" xfId="7" applyNumberFormat="1" applyFont="1" applyFill="1" applyBorder="1" applyAlignment="1">
      <alignment horizontal="center" vertical="center" wrapText="1"/>
    </xf>
    <xf numFmtId="164" fontId="8" fillId="57" borderId="1" xfId="6" applyNumberFormat="1" applyFont="1" applyFill="1" applyBorder="1" applyAlignment="1">
      <alignment horizontal="center" vertical="center"/>
    </xf>
    <xf numFmtId="0" fontId="8" fillId="57" borderId="8" xfId="7" applyFont="1" applyFill="1" applyBorder="1" applyAlignment="1">
      <alignment horizontal="center" vertical="center"/>
    </xf>
    <xf numFmtId="164" fontId="9" fillId="57" borderId="8" xfId="6" applyNumberFormat="1" applyFont="1" applyFill="1" applyBorder="1" applyAlignment="1">
      <alignment horizontal="center" vertical="center"/>
    </xf>
    <xf numFmtId="0" fontId="8" fillId="57" borderId="1" xfId="7" applyFont="1" applyFill="1" applyBorder="1" applyAlignment="1">
      <alignment horizontal="center" vertical="center"/>
    </xf>
    <xf numFmtId="0" fontId="6" fillId="32" borderId="1" xfId="0" applyFont="1" applyFill="1" applyBorder="1" applyAlignment="1">
      <alignment horizontal="center" vertical="center"/>
    </xf>
    <xf numFmtId="165" fontId="8" fillId="11" borderId="11" xfId="0" applyNumberFormat="1" applyFont="1" applyFill="1" applyBorder="1" applyAlignment="1">
      <alignment horizontal="center" vertical="center"/>
    </xf>
    <xf numFmtId="43" fontId="8" fillId="32" borderId="8" xfId="3" applyNumberFormat="1" applyFont="1" applyFill="1" applyBorder="1" applyAlignment="1">
      <alignment horizontal="center" vertical="center" wrapText="1"/>
    </xf>
    <xf numFmtId="164" fontId="8" fillId="33" borderId="29" xfId="1" applyNumberFormat="1" applyFont="1" applyFill="1" applyBorder="1" applyAlignment="1">
      <alignment horizontal="center" vertical="center" wrapText="1"/>
    </xf>
    <xf numFmtId="3" fontId="0" fillId="53" borderId="0" xfId="0" applyNumberFormat="1" applyFont="1" applyFill="1" applyBorder="1" applyAlignment="1">
      <alignment horizontal="center" vertical="center"/>
    </xf>
    <xf numFmtId="0" fontId="6" fillId="46" borderId="8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165" fontId="0" fillId="12" borderId="11" xfId="0" applyNumberFormat="1" applyFont="1" applyFill="1" applyBorder="1" applyAlignment="1">
      <alignment horizontal="center" vertical="center"/>
    </xf>
    <xf numFmtId="0" fontId="8" fillId="26" borderId="1" xfId="0" applyFont="1" applyFill="1" applyBorder="1" applyAlignment="1">
      <alignment horizontal="center" vertical="center" wrapText="1"/>
    </xf>
    <xf numFmtId="0" fontId="8" fillId="26" borderId="1" xfId="0" applyFont="1" applyFill="1" applyBorder="1" applyAlignment="1">
      <alignment horizontal="center" vertical="center"/>
    </xf>
    <xf numFmtId="0" fontId="8" fillId="32" borderId="1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 wrapText="1"/>
    </xf>
    <xf numFmtId="2" fontId="8" fillId="32" borderId="11" xfId="3" applyNumberFormat="1" applyFont="1" applyFill="1" applyBorder="1" applyAlignment="1">
      <alignment horizontal="center" vertical="center" wrapText="1"/>
    </xf>
    <xf numFmtId="164" fontId="9" fillId="43" borderId="15" xfId="0" applyNumberFormat="1" applyFont="1" applyFill="1" applyBorder="1" applyAlignment="1">
      <alignment horizontal="center" vertical="center"/>
    </xf>
    <xf numFmtId="164" fontId="0" fillId="43" borderId="13" xfId="0" applyNumberFormat="1" applyFont="1" applyFill="1" applyBorder="1" applyAlignment="1">
      <alignment horizontal="center" vertical="center"/>
    </xf>
    <xf numFmtId="2" fontId="19" fillId="8" borderId="8" xfId="0" applyNumberFormat="1" applyFont="1" applyFill="1" applyBorder="1" applyAlignment="1">
      <alignment horizontal="center" vertical="center"/>
    </xf>
    <xf numFmtId="1" fontId="22" fillId="55" borderId="11" xfId="0" applyNumberFormat="1" applyFont="1" applyFill="1" applyBorder="1" applyAlignment="1">
      <alignment horizontal="center" vertical="center"/>
    </xf>
    <xf numFmtId="9" fontId="19" fillId="8" borderId="27" xfId="2" applyFont="1" applyFill="1" applyBorder="1" applyAlignment="1">
      <alignment horizontal="center" vertical="center"/>
    </xf>
    <xf numFmtId="3" fontId="9" fillId="43" borderId="13" xfId="0" applyNumberFormat="1" applyFont="1" applyFill="1" applyBorder="1" applyAlignment="1">
      <alignment horizontal="center" vertical="center"/>
    </xf>
    <xf numFmtId="193" fontId="0" fillId="11" borderId="8" xfId="0" applyNumberFormat="1" applyFont="1" applyFill="1" applyBorder="1" applyAlignment="1">
      <alignment horizontal="center" vertical="center"/>
    </xf>
    <xf numFmtId="14" fontId="0" fillId="33" borderId="11" xfId="0" applyNumberFormat="1" applyFont="1" applyFill="1" applyBorder="1" applyAlignment="1">
      <alignment horizontal="center" vertical="center"/>
    </xf>
    <xf numFmtId="3" fontId="9" fillId="33" borderId="0" xfId="0" applyNumberFormat="1" applyFont="1" applyFill="1" applyBorder="1" applyAlignment="1">
      <alignment horizontal="center" vertical="center"/>
    </xf>
    <xf numFmtId="164" fontId="9" fillId="33" borderId="0" xfId="0" applyNumberFormat="1" applyFont="1" applyFill="1" applyBorder="1" applyAlignment="1">
      <alignment horizontal="center" vertical="center"/>
    </xf>
    <xf numFmtId="0" fontId="0" fillId="33" borderId="0" xfId="0" applyFont="1" applyFill="1" applyBorder="1" applyAlignment="1">
      <alignment horizontal="center" vertical="center"/>
    </xf>
    <xf numFmtId="43" fontId="6" fillId="8" borderId="0" xfId="1" applyFont="1" applyFill="1" applyAlignment="1">
      <alignment horizontal="center" vertical="center"/>
    </xf>
    <xf numFmtId="43" fontId="5" fillId="0" borderId="0" xfId="1" applyFont="1" applyAlignment="1">
      <alignment horizontal="right" vertical="center"/>
    </xf>
    <xf numFmtId="43" fontId="6" fillId="0" borderId="0" xfId="1" applyFont="1" applyAlignment="1">
      <alignment horizontal="center" vertical="center" wrapText="1"/>
    </xf>
    <xf numFmtId="43" fontId="0" fillId="0" borderId="0" xfId="1" applyFont="1" applyAlignment="1">
      <alignment horizontal="center" vertical="center" wrapText="1"/>
    </xf>
    <xf numFmtId="43" fontId="8" fillId="0" borderId="0" xfId="1" applyFont="1" applyAlignment="1">
      <alignment horizontal="center"/>
    </xf>
    <xf numFmtId="43" fontId="8" fillId="0" borderId="0" xfId="1" applyFont="1" applyAlignment="1">
      <alignment horizontal="center" vertical="center"/>
    </xf>
    <xf numFmtId="43" fontId="0" fillId="0" borderId="0" xfId="1" applyFont="1" applyAlignment="1">
      <alignment horizontal="center"/>
    </xf>
    <xf numFmtId="43" fontId="6" fillId="0" borderId="0" xfId="1" applyFont="1" applyAlignment="1">
      <alignment horizontal="center"/>
    </xf>
    <xf numFmtId="43" fontId="5" fillId="8" borderId="0" xfId="1" applyFont="1" applyFill="1" applyAlignment="1">
      <alignment horizontal="center" vertical="center" wrapText="1"/>
    </xf>
    <xf numFmtId="165" fontId="0" fillId="11" borderId="29" xfId="0" applyNumberFormat="1" applyFont="1" applyFill="1" applyBorder="1" applyAlignment="1">
      <alignment horizontal="center" vertical="center"/>
    </xf>
    <xf numFmtId="166" fontId="0" fillId="14" borderId="1" xfId="1" applyNumberFormat="1" applyFont="1" applyFill="1" applyBorder="1" applyAlignment="1">
      <alignment horizontal="center" vertical="center"/>
    </xf>
    <xf numFmtId="164" fontId="34" fillId="32" borderId="12" xfId="0" applyNumberFormat="1" applyFont="1" applyFill="1" applyBorder="1" applyAlignment="1">
      <alignment horizontal="center" vertical="center"/>
    </xf>
    <xf numFmtId="164" fontId="8" fillId="33" borderId="11" xfId="1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center"/>
    </xf>
    <xf numFmtId="0" fontId="6" fillId="8" borderId="0" xfId="0" applyFont="1" applyFill="1" applyBorder="1" applyAlignment="1">
      <alignment horizontal="center" vertical="center"/>
    </xf>
    <xf numFmtId="0" fontId="8" fillId="30" borderId="8" xfId="8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/>
    </xf>
    <xf numFmtId="14" fontId="9" fillId="17" borderId="1" xfId="7" applyNumberFormat="1" applyFont="1" applyFill="1" applyBorder="1" applyAlignment="1">
      <alignment horizontal="center" vertical="center"/>
    </xf>
    <xf numFmtId="0" fontId="8" fillId="31" borderId="8" xfId="3" applyFont="1" applyFill="1" applyBorder="1" applyAlignment="1">
      <alignment horizontal="center" vertical="center" wrapText="1"/>
    </xf>
    <xf numFmtId="164" fontId="9" fillId="0" borderId="11" xfId="0" applyNumberFormat="1" applyFont="1" applyBorder="1" applyAlignment="1">
      <alignment horizontal="center" vertical="center"/>
    </xf>
    <xf numFmtId="3" fontId="27" fillId="23" borderId="8" xfId="10" applyNumberFormat="1" applyFont="1" applyFill="1" applyBorder="1" applyAlignment="1">
      <alignment horizontal="center" vertical="center" wrapText="1"/>
    </xf>
    <xf numFmtId="3" fontId="25" fillId="23" borderId="8" xfId="10" applyNumberFormat="1" applyFont="1" applyFill="1" applyBorder="1" applyAlignment="1">
      <alignment horizontal="right" vertical="center" wrapText="1"/>
    </xf>
    <xf numFmtId="165" fontId="0" fillId="14" borderId="15" xfId="0" applyNumberFormat="1" applyFont="1" applyFill="1" applyBorder="1" applyAlignment="1">
      <alignment horizontal="center" vertical="center"/>
    </xf>
    <xf numFmtId="165" fontId="0" fillId="49" borderId="11" xfId="0" applyNumberFormat="1" applyFont="1" applyFill="1" applyBorder="1" applyAlignment="1">
      <alignment horizontal="center" vertical="center"/>
    </xf>
    <xf numFmtId="193" fontId="0" fillId="11" borderId="11" xfId="0" applyNumberFormat="1" applyFont="1" applyFill="1" applyBorder="1" applyAlignment="1">
      <alignment horizontal="center" vertical="center"/>
    </xf>
    <xf numFmtId="165" fontId="0" fillId="10" borderId="13" xfId="0" applyNumberFormat="1" applyFont="1" applyFill="1" applyBorder="1" applyAlignment="1">
      <alignment horizontal="center" vertical="center"/>
    </xf>
    <xf numFmtId="43" fontId="8" fillId="10" borderId="1" xfId="1" applyFont="1" applyFill="1" applyBorder="1" applyAlignment="1">
      <alignment horizontal="center" vertical="center"/>
    </xf>
    <xf numFmtId="43" fontId="0" fillId="10" borderId="1" xfId="1" applyFont="1" applyFill="1" applyBorder="1" applyAlignment="1">
      <alignment horizontal="center" vertical="center"/>
    </xf>
    <xf numFmtId="43" fontId="0" fillId="14" borderId="1" xfId="1" applyFont="1" applyFill="1" applyBorder="1" applyAlignment="1">
      <alignment horizontal="center" vertical="center"/>
    </xf>
    <xf numFmtId="193" fontId="8" fillId="11" borderId="8" xfId="0" applyNumberFormat="1" applyFont="1" applyFill="1" applyBorder="1" applyAlignment="1">
      <alignment horizontal="center" vertical="center"/>
    </xf>
    <xf numFmtId="193" fontId="8" fillId="12" borderId="8" xfId="0" applyNumberFormat="1" applyFont="1" applyFill="1" applyBorder="1" applyAlignment="1">
      <alignment horizontal="center" vertical="center"/>
    </xf>
    <xf numFmtId="166" fontId="8" fillId="14" borderId="8" xfId="1" applyNumberFormat="1" applyFont="1" applyFill="1" applyBorder="1" applyAlignment="1">
      <alignment horizontal="center" vertical="center" wrapText="1"/>
    </xf>
    <xf numFmtId="4" fontId="0" fillId="27" borderId="1" xfId="0" applyNumberFormat="1" applyFont="1" applyFill="1" applyBorder="1" applyAlignment="1">
      <alignment horizontal="center" vertical="center"/>
    </xf>
    <xf numFmtId="3" fontId="0" fillId="32" borderId="1" xfId="0" applyNumberFormat="1" applyFont="1" applyFill="1" applyBorder="1" applyAlignment="1">
      <alignment horizontal="center" vertical="center"/>
    </xf>
    <xf numFmtId="166" fontId="0" fillId="0" borderId="2" xfId="1" applyNumberFormat="1" applyFont="1" applyBorder="1" applyAlignment="1">
      <alignment horizontal="center" vertical="center"/>
    </xf>
    <xf numFmtId="1" fontId="0" fillId="8" borderId="8" xfId="2" applyNumberFormat="1" applyFont="1" applyFill="1" applyBorder="1" applyAlignment="1">
      <alignment horizontal="center" vertical="center"/>
    </xf>
    <xf numFmtId="0" fontId="8" fillId="26" borderId="8" xfId="0" applyFont="1" applyFill="1" applyBorder="1" applyAlignment="1">
      <alignment horizontal="center" vertical="center"/>
    </xf>
    <xf numFmtId="0" fontId="8" fillId="26" borderId="8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left" vertical="center"/>
    </xf>
    <xf numFmtId="2" fontId="0" fillId="9" borderId="8" xfId="2" applyNumberFormat="1" applyFont="1" applyFill="1" applyBorder="1" applyAlignment="1">
      <alignment horizontal="center" vertical="center"/>
    </xf>
    <xf numFmtId="2" fontId="0" fillId="9" borderId="8" xfId="2" applyNumberFormat="1" applyFont="1" applyFill="1" applyBorder="1" applyAlignment="1">
      <alignment horizontal="center" vertical="center" wrapText="1"/>
    </xf>
    <xf numFmtId="2" fontId="8" fillId="9" borderId="8" xfId="2" applyNumberFormat="1" applyFont="1" applyFill="1" applyBorder="1" applyAlignment="1">
      <alignment horizontal="center" vertical="center" wrapText="1"/>
    </xf>
    <xf numFmtId="2" fontId="8" fillId="9" borderId="8" xfId="2" applyNumberFormat="1" applyFont="1" applyFill="1" applyBorder="1" applyAlignment="1">
      <alignment horizontal="center" vertical="center"/>
    </xf>
    <xf numFmtId="2" fontId="9" fillId="12" borderId="15" xfId="1" applyNumberFormat="1" applyFont="1" applyFill="1" applyBorder="1" applyAlignment="1">
      <alignment horizontal="center" vertical="center"/>
    </xf>
    <xf numFmtId="0" fontId="23" fillId="35" borderId="16" xfId="9" applyFont="1" applyFill="1" applyBorder="1" applyAlignment="1">
      <alignment horizontal="center" vertical="center"/>
    </xf>
    <xf numFmtId="0" fontId="23" fillId="35" borderId="4" xfId="9" applyFont="1" applyFill="1" applyBorder="1" applyAlignment="1">
      <alignment horizontal="center" vertical="center"/>
    </xf>
    <xf numFmtId="0" fontId="6" fillId="44" borderId="16" xfId="0" applyFont="1" applyFill="1" applyBorder="1" applyAlignment="1">
      <alignment horizontal="center" vertical="center" wrapText="1"/>
    </xf>
    <xf numFmtId="0" fontId="6" fillId="44" borderId="4" xfId="0" applyFont="1" applyFill="1" applyBorder="1" applyAlignment="1">
      <alignment horizontal="center" vertical="center" wrapText="1"/>
    </xf>
    <xf numFmtId="0" fontId="23" fillId="48" borderId="16" xfId="9" applyFont="1" applyFill="1" applyBorder="1" applyAlignment="1">
      <alignment horizontal="center" vertical="center"/>
    </xf>
    <xf numFmtId="0" fontId="23" fillId="48" borderId="4" xfId="9" applyFont="1" applyFill="1" applyBorder="1" applyAlignment="1">
      <alignment horizontal="center" vertical="center"/>
    </xf>
    <xf numFmtId="0" fontId="23" fillId="46" borderId="16" xfId="9" applyFont="1" applyFill="1" applyBorder="1" applyAlignment="1">
      <alignment horizontal="center" vertical="center"/>
    </xf>
    <xf numFmtId="0" fontId="23" fillId="46" borderId="4" xfId="9" applyFont="1" applyFill="1" applyBorder="1" applyAlignment="1">
      <alignment horizontal="center" vertical="center"/>
    </xf>
    <xf numFmtId="0" fontId="23" fillId="47" borderId="16" xfId="9" applyFont="1" applyFill="1" applyBorder="1" applyAlignment="1">
      <alignment horizontal="center" vertical="center"/>
    </xf>
    <xf numFmtId="0" fontId="23" fillId="47" borderId="4" xfId="9" applyFont="1" applyFill="1" applyBorder="1" applyAlignment="1">
      <alignment horizontal="center" vertical="center"/>
    </xf>
    <xf numFmtId="0" fontId="23" fillId="38" borderId="16" xfId="9" applyFont="1" applyFill="1" applyBorder="1" applyAlignment="1">
      <alignment horizontal="center" vertical="center"/>
    </xf>
    <xf numFmtId="0" fontId="23" fillId="38" borderId="4" xfId="9" applyFont="1" applyFill="1" applyBorder="1" applyAlignment="1">
      <alignment horizontal="center" vertical="center"/>
    </xf>
  </cellXfs>
  <cellStyles count="20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Excel Built-in RowLevel_0" xfId="16"/>
    <cellStyle name="Excel_BuiltIn_RowLevel_1" xfId="18"/>
    <cellStyle name="Milliers" xfId="1" builtinId="3"/>
    <cellStyle name="Milliers 2" xfId="11"/>
    <cellStyle name="Neutre" xfId="4" builtinId="28"/>
    <cellStyle name="NiveauLigne_8" xfId="17"/>
    <cellStyle name="Normal" xfId="0" builtinId="0"/>
    <cellStyle name="Normal 2" xfId="10"/>
    <cellStyle name="Normal 3" xfId="13"/>
    <cellStyle name="Normal 4" xfId="14"/>
    <cellStyle name="Normal 5" xfId="19"/>
    <cellStyle name="Normal_Liste programmation logts PCA NBL v2014" xfId="9"/>
    <cellStyle name="Normal_Prévisionnel HONO PAC 2012 V4 fev 2012" xfId="12"/>
    <cellStyle name="Pourcentage" xfId="2" builtinId="5"/>
    <cellStyle name="Pourcentage 2" xfId="15"/>
    <cellStyle name="Satisfaisant" xfId="3" builtinId="26"/>
  </cellStyles>
  <dxfs count="12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6600"/>
      <color rgb="FF08E61D"/>
      <color rgb="FF0099FF"/>
      <color rgb="FFFF0066"/>
      <color rgb="FFFFFF99"/>
      <color rgb="FFFF505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initiales'!$C$173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initiales'!$D$173:$O$173</c15:sqref>
                        </c15:fullRef>
                        <c15:formulaRef>
                          <c15:sqref>('Données initiales'!$D$173,'Données initiales'!$F$173,'Données initiales'!$H$173,'Données initiales'!$J$173,'Données initiales'!$L$173,'Données initiales'!$N$173)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13E-88BA-49B1-9CE7-0FE5B6F55D49}"/>
                  </c:ext>
                  <c:ext uri="{02D57815-91ED-43cb-92C2-25804820EDAC}">
                    <c15:categoryFilterExceptions>
                      <c15:categoryFilterException>
                        <c15:sqref>'Données initiales'!$F$173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initiales'!$H$173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initiales'!$J$173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initiales'!$K$173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181036745406823"/>
          <c:h val="0.570605132691746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initiales'!$C$173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initiales'!$D$173:$O$173</c15:sqref>
                        </c15:fullRef>
                        <c15:formulaRef>
                          <c15:sqref>('Données initiales'!$D$173,'Données initiales'!$F$173,'Données initiales'!$H$173,'Données initiales'!$J$173,'Données initiales'!$L$173,'Données initiales'!$N$173)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D743-485C-85A8-46AAD4F995FD}"/>
                  </c:ext>
                  <c:ext uri="{02D57815-91ED-43cb-92C2-25804820EDAC}">
                    <c15:categoryFilterExceptions>
                      <c15:categoryFilterException>
                        <c15:sqref>'Données initiales'!$F$173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initiales'!$H$173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initiales'!$J$173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initiales'!$K$173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initiales'!$D$174:$O$174</c15:sqref>
                        </c15:fullRef>
                        <c15:formulaRef>
                          <c15:sqref>('Données initiales'!$D$174,'Données initiales'!$F$174,'Données initiales'!$H$174,'Données initiales'!$J$174,'Données initiales'!$L$174,'Données initiales'!$N$174)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D743-485C-85A8-46AAD4F995F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initiales'!$H$174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initiales'!$J$174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initiales'!$K$174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146530017710788"/>
          <c:h val="0.560975759570668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initiales'!$C$173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initiales'!$D$173:$O$173</c15:sqref>
                        </c15:fullRef>
                        <c15:formulaRef>
                          <c15:sqref>('Données initiales'!$D$173,'Données initiales'!$F$173,'Données initiales'!$H$173,'Données initiales'!$J$173,'Données initiales'!$L$173,'Données initiales'!$N$173)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9D65-47E6-A29B-84F0AE2A7889}"/>
                  </c:ext>
                  <c:ext uri="{02D57815-91ED-43cb-92C2-25804820EDAC}">
                    <c15:categoryFilterExceptions>
                      <c15:categoryFilterException>
                        <c15:sqref>'Données initiales'!$F$173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initiales'!$H$173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initiales'!$J$173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initiales'!$K$173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initiales'!$D$174:$O$174</c15:sqref>
                        </c15:fullRef>
                        <c15:formulaRef>
                          <c15:sqref>('Données initiales'!$D$174,'Données initiales'!$F$174,'Données initiales'!$H$174,'Données initiales'!$J$174,'Données initiales'!$L$174,'Données initiales'!$N$174)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9D65-47E6-A29B-84F0AE2A7889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initiales'!$H$174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initiales'!$J$174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initiales'!$K$174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initiales'!$D$175:$O$175</c15:sqref>
                        </c15:fullRef>
                        <c15:formulaRef>
                          <c15:sqref>('Données initiales'!$D$175,'Données initiales'!$F$175,'Données initiales'!$H$175,'Données initiales'!$J$175,'Données initiales'!$L$175,'Données initiales'!$N$175)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9D65-47E6-A29B-84F0AE2A7889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initiales'!$H$175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initiales'!$J$175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initiales'!$K$175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4"/>
          <c:order val="4"/>
          <c:tx>
            <c:strRef>
              <c:f>'Données initiales'!$C$177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'Données initiales'!$D$172:$O$172</c15:sqref>
                  </c15:fullRef>
                </c:ext>
              </c:extLst>
              <c:f>('Données initiales'!$D$172,'Données initiales'!$F$172,'Données initiales'!$H$172,'Données initiales'!$J$172,'Données initiales'!$L$172,'Données initiales'!$N$172)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initiales'!$D$177:$O$177</c15:sqref>
                  </c15:fullRef>
                </c:ext>
              </c:extLst>
              <c:f>('Données initiales'!$D$177,'Données initiales'!$F$177,'Données initiales'!$H$177,'Données initiales'!$J$177,'Données initiales'!$L$177,'Données initiales'!$N$177)</c:f>
              <c:numCache>
                <c:formatCode>0%</c:formatCode>
                <c:ptCount val="4"/>
                <c:pt idx="0" formatCode="General">
                  <c:v>6</c:v>
                </c:pt>
                <c:pt idx="1" formatCode="General">
                  <c:v>2</c:v>
                </c:pt>
                <c:pt idx="2" formatCode="General">
                  <c:v>0</c:v>
                </c:pt>
                <c:pt idx="3" formatCode="General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'Données initiales'!$F$177</c15:sqref>
                  <c15:spPr xmlns:c15="http://schemas.microsoft.com/office/drawing/2012/chart"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initiales'!$H$177</c15:sqref>
                  <c15:spPr xmlns:c15="http://schemas.microsoft.com/office/drawing/2012/chart"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initiales'!$J$177</c15:sqref>
                  <c15:spPr xmlns:c15="http://schemas.microsoft.com/office/drawing/2012/chart"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initiales'!$K$177</c15:sqref>
                  <c15:spPr xmlns:c15="http://schemas.microsoft.com/office/drawing/2012/chart"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ser>
          <c:idx val="5"/>
          <c:order val="5"/>
          <c:tx>
            <c:strRef>
              <c:f>'Données initiales'!$C$178</c:f>
              <c:strCache>
                <c:ptCount val="1"/>
                <c:pt idx="0">
                  <c:v>GGO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'Données initiales'!$D$172:$O$172</c15:sqref>
                  </c15:fullRef>
                </c:ext>
              </c:extLst>
              <c:f>('Données initiales'!$D$172,'Données initiales'!$F$172,'Données initiales'!$H$172,'Données initiales'!$J$172,'Données initiales'!$L$172,'Données initiales'!$N$172)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initiales'!$D$178:$O$178</c15:sqref>
                  </c15:fullRef>
                </c:ext>
              </c:extLst>
              <c:f>('Données initiales'!$D$178,'Données initiales'!$F$178,'Données initiales'!$H$178,'Données initiales'!$J$178,'Données initiales'!$L$178,'Données initiales'!$N$178)</c:f>
              <c:numCache>
                <c:formatCode>0%</c:formatCode>
                <c:ptCount val="4"/>
                <c:pt idx="0" formatCode="General">
                  <c:v>2</c:v>
                </c:pt>
                <c:pt idx="1" formatCode="General">
                  <c:v>1</c:v>
                </c:pt>
                <c:pt idx="2" formatCode="General">
                  <c:v>0</c:v>
                </c:pt>
                <c:pt idx="3" formatCode="General">
                  <c:v>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'Données initiales'!$F$178</c15:sqref>
                  <c15:spPr xmlns:c15="http://schemas.microsoft.com/office/drawing/2012/chart"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initiales'!$H$178</c15:sqref>
                  <c15:spPr xmlns:c15="http://schemas.microsoft.com/office/drawing/2012/chart"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initiales'!$J$178</c15:sqref>
                  <c15:spPr xmlns:c15="http://schemas.microsoft.com/office/drawing/2012/chart"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initiales'!$K$178</c15:sqref>
                  <c15:spPr xmlns:c15="http://schemas.microsoft.com/office/drawing/2012/chart"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ser>
          <c:idx val="6"/>
          <c:order val="6"/>
          <c:tx>
            <c:strRef>
              <c:f>'Données initiales'!$C$179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'Données initiales'!$D$172:$O$172</c15:sqref>
                  </c15:fullRef>
                </c:ext>
              </c:extLst>
              <c:f>('Données initiales'!$D$172,'Données initiales'!$F$172,'Données initiales'!$H$172,'Données initiales'!$J$172,'Données initiales'!$L$172,'Données initiales'!$N$172)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initiales'!$D$179:$O$179</c15:sqref>
                  </c15:fullRef>
                </c:ext>
              </c:extLst>
              <c:f>('Données initiales'!$D$179,'Données initiales'!$F$179,'Données initiales'!$H$179,'Données initiales'!$J$179,'Données initiales'!$L$179,'Données initiales'!$N$179)</c:f>
              <c:numCache>
                <c:formatCode>0%</c:formatCode>
                <c:ptCount val="4"/>
                <c:pt idx="0" formatCode="General">
                  <c:v>1</c:v>
                </c:pt>
                <c:pt idx="1" formatCode="General">
                  <c:v>1</c:v>
                </c:pt>
                <c:pt idx="2" formatCode="General">
                  <c:v>0</c:v>
                </c:pt>
                <c:pt idx="3" formatCode="General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'Données initiales'!$F$179</c15:sqref>
                  <c15:spPr xmlns:c15="http://schemas.microsoft.com/office/drawing/2012/chart"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initiales'!$H$179</c15:sqref>
                  <c15:spPr xmlns:c15="http://schemas.microsoft.com/office/drawing/2012/chart"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initiales'!$J$179</c15:sqref>
                  <c15:spPr xmlns:c15="http://schemas.microsoft.com/office/drawing/2012/chart"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initiales'!$K$179</c15:sqref>
                  <c15:spPr xmlns:c15="http://schemas.microsoft.com/office/drawing/2012/chart"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ser>
          <c:idx val="7"/>
          <c:order val="7"/>
          <c:tx>
            <c:strRef>
              <c:f>'Données initiales'!$C$180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'Données initiales'!$D$172:$O$172</c15:sqref>
                  </c15:fullRef>
                </c:ext>
              </c:extLst>
              <c:f>('Données initiales'!$D$172,'Données initiales'!$F$172,'Données initiales'!$H$172,'Données initiales'!$J$172,'Données initiales'!$L$172,'Données initiales'!$N$172)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initiales'!$D$180:$O$180</c15:sqref>
                  </c15:fullRef>
                </c:ext>
              </c:extLst>
              <c:f>('Données initiales'!$D$180,'Données initiales'!$F$180,'Données initiales'!$H$180,'Données initiales'!$J$180,'Données initiales'!$L$180,'Données initiales'!$N$180)</c:f>
              <c:numCache>
                <c:formatCode>0%</c:formatCode>
                <c:ptCount val="4"/>
                <c:pt idx="0" formatCode="General">
                  <c:v>1</c:v>
                </c:pt>
                <c:pt idx="1" formatCode="General">
                  <c:v>2</c:v>
                </c:pt>
                <c:pt idx="2" formatCode="General">
                  <c:v>0</c:v>
                </c:pt>
                <c:pt idx="3" formatCode="General">
                  <c:v>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'Données initiales'!$F$180</c15:sqref>
                  <c15:spPr xmlns:c15="http://schemas.microsoft.com/office/drawing/2012/chart"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initiales'!$H$180</c15:sqref>
                  <c15:spPr xmlns:c15="http://schemas.microsoft.com/office/drawing/2012/chart"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initiales'!$J$180</c15:sqref>
                  <c15:spPr xmlns:c15="http://schemas.microsoft.com/office/drawing/2012/chart"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'Données initiales'!$K$180</c15:sqref>
                  <c15:spPr xmlns:c15="http://schemas.microsoft.com/office/drawing/2012/chart"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initiales'!$C$173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initiales'!$D$173:$O$173</c15:sqref>
                        </c15:fullRef>
                        <c15:formulaRef>
                          <c15:sqref>('Données initiales'!$D$173,'Données initiales'!$F$173,'Données initiales'!$H$173,'Données initiales'!$J$173,'Données initiales'!$L$173,'Données initiales'!$N$173)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75A9-4F0F-A781-AA62B7A4A083}"/>
                  </c:ext>
                  <c:ext uri="{02D57815-91ED-43cb-92C2-25804820EDAC}">
                    <c15:categoryFilterExceptions>
                      <c15:categoryFilterException>
                        <c15:sqref>'Données initiales'!$F$173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initiales'!$H$173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initiales'!$J$173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initiales'!$K$173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initiales'!$C$174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initiales'!$D$174:$O$174</c15:sqref>
                        </c15:fullRef>
                        <c15:formulaRef>
                          <c15:sqref>('Données initiales'!$D$174,'Données initiales'!$F$174,'Données initiales'!$H$174,'Données initiales'!$J$174,'Données initiales'!$L$174,'Données initiales'!$N$174)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initiales'!$H$174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initiales'!$J$174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initiales'!$K$174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initiales'!$C$175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initiales'!$D$175:$O$175</c15:sqref>
                        </c15:fullRef>
                        <c15:formulaRef>
                          <c15:sqref>('Données initiales'!$D$175,'Données initiales'!$F$175,'Données initiales'!$H$175,'Données initiales'!$J$175,'Données initiales'!$L$175,'Données initiales'!$N$175)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initiales'!$H$175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initiales'!$J$175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initiales'!$K$175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initiales'!$C$176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initiales'!$D$176:$O$176</c15:sqref>
                        </c15:fullRef>
                        <c15:formulaRef>
                          <c15:sqref>('Données initiales'!$D$176,'Données initiales'!$F$176,'Données initiales'!$H$176,'Données initiales'!$J$176,'Données initiales'!$L$176,'Données initiales'!$N$176)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initiales'!$H$176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initiales'!$J$176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initiales'!$K$176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initiales'!$C$173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initiales'!$D$173:$O$173</c15:sqref>
                        </c15:fullRef>
                        <c15:formulaRef>
                          <c15:sqref>('Données initiales'!$D$173,'Données initiales'!$F$173,'Données initiales'!$H$173,'Données initiales'!$J$173,'Données initiales'!$L$173,'Données initiales'!$N$173)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7EDA-4BDF-B4D6-AED2B07C434D}"/>
                  </c:ext>
                  <c:ext uri="{02D57815-91ED-43cb-92C2-25804820EDAC}">
                    <c15:categoryFilterExceptions>
                      <c15:categoryFilterException>
                        <c15:sqref>'Données initiales'!$F$173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initiales'!$H$173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initiales'!$J$173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initiales'!$K$173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initiales'!$D$174:$O$174</c15:sqref>
                        </c15:fullRef>
                        <c15:formulaRef>
                          <c15:sqref>('Données initiales'!$D$174,'Données initiales'!$F$174,'Données initiales'!$H$174,'Données initiales'!$J$174,'Données initiales'!$L$174,'Données initiales'!$N$174)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initiales'!$H$174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initiales'!$J$174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initiales'!$K$174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initiales'!$D$175:$O$175</c15:sqref>
                        </c15:fullRef>
                        <c15:formulaRef>
                          <c15:sqref>('Données initiales'!$D$175,'Données initiales'!$F$175,'Données initiales'!$H$175,'Données initiales'!$J$175,'Données initiales'!$L$175,'Données initiales'!$N$175)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initiales'!$H$175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initiales'!$J$175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initiales'!$K$175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initiales'!$C$176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initiales'!$D$176:$O$176</c15:sqref>
                        </c15:fullRef>
                        <c15:formulaRef>
                          <c15:sqref>('Données initiales'!$D$176,'Données initiales'!$F$176,'Données initiales'!$H$176,'Données initiales'!$J$176,'Données initiales'!$L$176,'Données initiales'!$N$176)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64E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initiales'!$H$176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initiales'!$J$176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initiales'!$K$176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initiales'!$C$177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initiales'!$D$177:$O$177</c15:sqref>
                        </c15:fullRef>
                        <c15:formulaRef>
                          <c15:sqref>('Données initiales'!$D$177,'Données initiales'!$F$177,'Données initiales'!$H$177,'Données initiales'!$J$177,'Données initiales'!$L$177,'Données initiales'!$N$177)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6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initiales'!$H$177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initiales'!$J$177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initiales'!$K$177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initiales'!$C$173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initiales'!$D$173:$O$173</c15:sqref>
                        </c15:fullRef>
                        <c15:formulaRef>
                          <c15:sqref>('Données initiales'!$D$173,'Données initiales'!$F$173,'Données initiales'!$H$173,'Données initiales'!$J$173,'Données initiales'!$L$173,'Données initiales'!$N$173)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DB9F-452A-82DA-49E825A71C5F}"/>
                  </c:ext>
                  <c:ext uri="{02D57815-91ED-43cb-92C2-25804820EDAC}">
                    <c15:categoryFilterExceptions>
                      <c15:categoryFilterException>
                        <c15:sqref>'Données initiales'!$F$173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initiales'!$H$173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initiales'!$J$173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initiales'!$K$173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initiales'!$D$174:$O$174</c15:sqref>
                        </c15:fullRef>
                        <c15:formulaRef>
                          <c15:sqref>('Données initiales'!$D$174,'Données initiales'!$F$174,'Données initiales'!$H$174,'Données initiales'!$J$174,'Données initiales'!$L$174,'Données initiales'!$N$174)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initiales'!$H$174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initiales'!$J$174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initiales'!$K$174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initiales'!$D$175:$O$175</c15:sqref>
                        </c15:fullRef>
                        <c15:formulaRef>
                          <c15:sqref>('Données initiales'!$D$175,'Données initiales'!$F$175,'Données initiales'!$H$175,'Données initiales'!$J$175,'Données initiales'!$L$175,'Données initiales'!$N$175)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initiales'!$H$175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initiales'!$J$175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initiales'!$K$175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initiales'!$C$176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initiales'!$D$176:$O$176</c15:sqref>
                        </c15:fullRef>
                        <c15:formulaRef>
                          <c15:sqref>('Données initiales'!$D$176,'Données initiales'!$F$176,'Données initiales'!$H$176,'Données initiales'!$J$176,'Données initiales'!$L$176,'Données initiales'!$N$176)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64E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initiales'!$H$176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initiales'!$J$176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initiales'!$K$176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initiales'!$C$177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initiales'!$D$177:$O$177</c15:sqref>
                        </c15:fullRef>
                        <c15:formulaRef>
                          <c15:sqref>('Données initiales'!$D$177,'Données initiales'!$F$177,'Données initiales'!$H$177,'Données initiales'!$J$177,'Données initiales'!$L$177,'Données initiales'!$N$177)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6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791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initiales'!$H$177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initiales'!$J$177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initiales'!$K$177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initiales'!$C$178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initiales'!$D$178:$O$178</c15:sqref>
                        </c15:fullRef>
                        <c15:formulaRef>
                          <c15:sqref>('Données initiales'!$D$178,'Données initiales'!$F$178,'Données initiales'!$H$178,'Données initiales'!$J$178,'Données initiales'!$L$178,'Données initiales'!$N$178)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2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initiales'!$H$178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initiales'!$J$178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initiales'!$K$178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initiales'!$C$173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initiales'!$D$173:$O$173</c15:sqref>
                        </c15:fullRef>
                        <c15:formulaRef>
                          <c15:sqref>('Données initiales'!$D$173,'Données initiales'!$F$173,'Données initiales'!$H$173,'Données initiales'!$J$173,'Données initiales'!$L$173,'Données initiales'!$N$173)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834F-4CA6-9848-E201B4DA109F}"/>
                  </c:ext>
                  <c:ext uri="{02D57815-91ED-43cb-92C2-25804820EDAC}">
                    <c15:categoryFilterExceptions>
                      <c15:categoryFilterException>
                        <c15:sqref>'Données initiales'!$F$173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initiales'!$H$173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initiales'!$J$173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initiales'!$K$173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initiales'!$D$174:$O$174</c15:sqref>
                        </c15:fullRef>
                        <c15:formulaRef>
                          <c15:sqref>('Données initiales'!$D$174,'Données initiales'!$F$174,'Données initiales'!$H$174,'Données initiales'!$J$174,'Données initiales'!$L$174,'Données initiales'!$N$174)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initiales'!$H$174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initiales'!$J$174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initiales'!$K$174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initiales'!$D$175:$O$175</c15:sqref>
                        </c15:fullRef>
                        <c15:formulaRef>
                          <c15:sqref>('Données initiales'!$D$175,'Données initiales'!$F$175,'Données initiales'!$H$175,'Données initiales'!$J$175,'Données initiales'!$L$175,'Données initiales'!$N$175)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initiales'!$H$175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initiales'!$J$175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initiales'!$K$175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initiales'!$C$176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initiales'!$D$176:$O$176</c15:sqref>
                        </c15:fullRef>
                        <c15:formulaRef>
                          <c15:sqref>('Données initiales'!$D$176,'Données initiales'!$F$176,'Données initiales'!$H$176,'Données initiales'!$J$176,'Données initiales'!$L$176,'Données initiales'!$N$176)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64E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initiales'!$H$176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initiales'!$J$176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initiales'!$K$176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initiales'!$C$177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initiales'!$D$177:$O$177</c15:sqref>
                        </c15:fullRef>
                        <c15:formulaRef>
                          <c15:sqref>('Données initiales'!$D$177,'Données initiales'!$F$177,'Données initiales'!$H$177,'Données initiales'!$J$177,'Données initiales'!$L$177,'Données initiales'!$N$177)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6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791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initiales'!$H$177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initiales'!$J$177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initiales'!$K$177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initiales'!$C$178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initiales'!$D$178:$O$178</c15:sqref>
                        </c15:fullRef>
                        <c15:formulaRef>
                          <c15:sqref>('Données initiales'!$D$178,'Données initiales'!$F$178,'Données initiales'!$H$178,'Données initiales'!$J$178,'Données initiales'!$L$178,'Données initiales'!$N$178)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2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8D4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initiales'!$H$178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initiales'!$J$178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initiales'!$K$178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initiales'!$C$179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initiales'!$D$179:$O$179</c15:sqref>
                        </c15:fullRef>
                        <c15:formulaRef>
                          <c15:sqref>('Données initiales'!$D$179,'Données initiales'!$F$179,'Données initiales'!$H$179,'Données initiales'!$J$179,'Données initiales'!$L$179,'Données initiales'!$N$179)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A17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initiales'!$F$179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initiales'!$H$179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initiales'!$J$179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initiales'!$K$179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initiales'!$C$180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initiales'!$D$172:$O$172</c15:sqref>
                        </c15:fullRef>
                        <c15:formulaRef>
                          <c15:sqref>('Données initiales'!$D$172,'Données initiales'!$F$172,'Données initiales'!$H$172,'Données initiales'!$J$172,'Données initiales'!$L$172,'Données initiales'!$N$172)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initiales'!$D$180:$O$180</c15:sqref>
                        </c15:fullRef>
                        <c15:formulaRef>
                          <c15:sqref>('Données initiales'!$D$180,'Données initiales'!$F$180,'Données initiales'!$H$180,'Données initiales'!$J$180,'Données initiales'!$L$180,'Données initiales'!$N$180)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initiales'!$F$180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initiales'!$H$180</c15:sqref>
                        <c15:spPr xmlns:c15="http://schemas.microsoft.com/office/drawing/2012/chart">
                          <a:solidFill>
                            <a:schemeClr val="accent3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initiales'!$J$180</c15:sqref>
                        <c15:spPr xmlns:c15="http://schemas.microsoft.com/office/drawing/2012/chart">
                          <a:solidFill>
                            <a:schemeClr val="accent6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  <c15:categoryFilterException>
                        <c15:sqref>'Données initiales'!$K$180</c15:sqref>
                        <c15:spPr xmlns:c15="http://schemas.microsoft.com/office/drawing/2012/chart">
                          <a:solidFill>
                            <a:schemeClr val="accent2">
                              <a:lumMod val="60000"/>
                            </a:schemeClr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718703</xdr:colOff>
      <xdr:row>182</xdr:row>
      <xdr:rowOff>178377</xdr:rowOff>
    </xdr:from>
    <xdr:to>
      <xdr:col>8</xdr:col>
      <xdr:colOff>95249</xdr:colOff>
      <xdr:row>197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331593</xdr:colOff>
      <xdr:row>183</xdr:row>
      <xdr:rowOff>6</xdr:rowOff>
    </xdr:from>
    <xdr:to>
      <xdr:col>11</xdr:col>
      <xdr:colOff>1169996</xdr:colOff>
      <xdr:row>197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1463385</xdr:colOff>
      <xdr:row>183</xdr:row>
      <xdr:rowOff>22512</xdr:rowOff>
    </xdr:from>
    <xdr:to>
      <xdr:col>15</xdr:col>
      <xdr:colOff>320385</xdr:colOff>
      <xdr:row>197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718703</xdr:colOff>
      <xdr:row>198</xdr:row>
      <xdr:rowOff>109103</xdr:rowOff>
    </xdr:from>
    <xdr:to>
      <xdr:col>8</xdr:col>
      <xdr:colOff>34637</xdr:colOff>
      <xdr:row>212</xdr:row>
      <xdr:rowOff>121227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326571</xdr:colOff>
      <xdr:row>198</xdr:row>
      <xdr:rowOff>125185</xdr:rowOff>
    </xdr:from>
    <xdr:to>
      <xdr:col>11</xdr:col>
      <xdr:colOff>1156607</xdr:colOff>
      <xdr:row>213</xdr:row>
      <xdr:rowOff>10885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1476374</xdr:colOff>
      <xdr:row>198</xdr:row>
      <xdr:rowOff>152400</xdr:rowOff>
    </xdr:from>
    <xdr:to>
      <xdr:col>15</xdr:col>
      <xdr:colOff>357187</xdr:colOff>
      <xdr:row>213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833438</xdr:colOff>
      <xdr:row>183</xdr:row>
      <xdr:rowOff>33337</xdr:rowOff>
    </xdr:from>
    <xdr:to>
      <xdr:col>19</xdr:col>
      <xdr:colOff>642938</xdr:colOff>
      <xdr:row>197</xdr:row>
      <xdr:rowOff>109537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halie BLANDINO" refreshedDate="43348.436704282409" createdVersion="5" refreshedVersion="5" minRefreshableVersion="3" recordCount="105">
  <cacheSource type="worksheet">
    <worksheetSource ref="A1:JZ127" sheet="Données initiales"/>
  </cacheSource>
  <cacheFields count="270">
    <cacheField name="OPERATION" numFmtId="0">
      <sharedItems/>
    </cacheField>
    <cacheField name="COMMUNE" numFmtId="0">
      <sharedItems count="14">
        <s v="Petite-Ile"/>
        <s v="St Pierre"/>
        <s v="Tampon"/>
        <s v="St Leu"/>
        <s v="Etang-Salé"/>
        <s v="St Philippe"/>
        <s v="St Joseph"/>
        <s v="Entre-Deux"/>
        <s v="Trois Bassins"/>
        <s v="St Paul"/>
        <s v="St Louis"/>
        <s v="Avirons"/>
        <s v="Cilaos"/>
        <s v="La Possession"/>
      </sharedItems>
    </cacheField>
    <cacheField name="BASSIN" numFmtId="0">
      <sharedItems count="3">
        <s v="CIVIS"/>
        <s v="CA SUD"/>
        <s v="TCO"/>
      </sharedItems>
    </cacheField>
    <cacheField name="Prog" numFmtId="0">
      <sharedItems containsSemiMixedTypes="0" containsString="0" containsNumber="1" containsInteger="1" minValue="2010" maxValue="2021" count="12">
        <n v="2010"/>
        <n v="2011"/>
        <n v="2012"/>
        <n v="2013"/>
        <n v="2014"/>
        <n v="2015"/>
        <n v="2016"/>
        <n v="2017"/>
        <n v="2018"/>
        <n v="2019"/>
        <n v="2020"/>
        <n v="2021"/>
      </sharedItems>
    </cacheField>
    <cacheField name="CODE" numFmtId="0">
      <sharedItems containsBlank="1"/>
    </cacheField>
    <cacheField name="RO" numFmtId="0">
      <sharedItems containsBlank="1"/>
    </cacheField>
    <cacheField name="ASSISTANTE" numFmtId="0">
      <sharedItems containsBlank="1"/>
    </cacheField>
    <cacheField name="AVANCEMENT" numFmtId="0">
      <sharedItems count="12">
        <s v="patrimoine"/>
        <s v="GPA"/>
        <s v="Tvx"/>
        <s v="AO"/>
        <s v="DCE"/>
        <s v="OS"/>
        <s v="PRO"/>
        <s v="APD"/>
        <s v="APS"/>
        <s v="Faisa"/>
        <s v="ESQ"/>
        <s v="PC"/>
      </sharedItems>
    </cacheField>
    <cacheField name="CONTRÔLE DEAL" numFmtId="0">
      <sharedItems containsBlank="1" containsMixedTypes="1" containsNumber="1" minValue="15914.36866359447" maxValue="28778.48575"/>
    </cacheField>
    <cacheField name="PARCELLE" numFmtId="0">
      <sharedItems containsBlank="1" containsMixedTypes="1" containsNumber="1" minValue="26523.95" maxValue="26523.95"/>
    </cacheField>
    <cacheField name="FONCIER" numFmtId="0">
      <sharedItems containsBlank="1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1993-01-25T00:00:00" maxDate="2013-12-20T00:00:00"/>
    </cacheField>
    <cacheField name="S TERRAIN" numFmtId="3">
      <sharedItems containsString="0" containsBlank="1" containsNumber="1" minValue="606" maxValue="20161"/>
    </cacheField>
    <cacheField name="PRIX TERRAIN BRUT" numFmtId="3">
      <sharedItems containsString="0" containsBlank="1" containsNumber="1" minValue="1" maxValue="1550000"/>
    </cacheField>
    <cacheField name="PRIX TERRAIN AMENAGE" numFmtId="3">
      <sharedItems containsString="0" containsBlank="1" containsNumber="1" minValue="51520" maxValue="1300000"/>
    </cacheField>
    <cacheField name="PRIX BRUT / LGT " numFmtId="3">
      <sharedItems containsBlank="1" containsMixedTypes="1" containsNumber="1" minValue="0" maxValue="36111.111111111109"/>
    </cacheField>
    <cacheField name="PRIX m² terrain brut" numFmtId="3">
      <sharedItems containsBlank="1" containsMixedTypes="1" containsNumber="1" minValue="0" maxValue="700.63694267515928"/>
    </cacheField>
    <cacheField name="PRIX m² terrain aménagé" numFmtId="3">
      <sharedItems containsBlank="1" containsMixedTypes="1" containsNumber="1" minValue="0" maxValue="700.63694267515928"/>
    </cacheField>
    <cacheField name="PRIX m² SF" numFmtId="3">
      <sharedItems containsBlank="1" containsMixedTypes="1" containsNumber="1" minValue="0" maxValue="416.95086825847386"/>
    </cacheField>
    <cacheField name="PRIX AMENAGE/ LGT" numFmtId="3">
      <sharedItems containsBlank="1" containsMixedTypes="1" containsNumber="1" minValue="0" maxValue="35000"/>
    </cacheField>
    <cacheField name="M² TERRAIN / LGT" numFmtId="3">
      <sharedItems containsBlank="1" containsMixedTypes="1" containsNumber="1" minValue="0" maxValue="1089.75"/>
    </cacheField>
    <cacheField name="S EMPRISE" numFmtId="0">
      <sharedItems containsString="0" containsBlank="1" containsNumber="1" minValue="300" maxValue="2205.9499999999998"/>
    </cacheField>
    <cacheField name="DENSITE" numFmtId="0">
      <sharedItems containsBlank="1" containsMixedTypes="1" containsNumber="1" minValue="0" maxValue="2.3611955890887986"/>
    </cacheField>
    <cacheField name="ZONAGE" numFmtId="0">
      <sharedItems containsBlank="1"/>
    </cacheField>
    <cacheField name="Altitude" numFmtId="0">
      <sharedItems containsString="0" containsBlank="1" containsNumber="1" containsInteger="1" minValue="20" maxValue="900"/>
    </cacheField>
    <cacheField name="Pente" numFmtId="0">
      <sharedItems containsString="0" containsBlank="1" containsNumber="1" minValue="0" maxValue="0.3"/>
    </cacheField>
    <cacheField name="TYPE" numFmtId="0">
      <sharedItems containsBlank="1" count="5">
        <s v="LLTS"/>
        <s v="LLS"/>
        <s v="PLS"/>
        <s v="Rehab"/>
        <m/>
      </sharedItems>
    </cacheField>
    <cacheField name="N" numFmtId="1">
      <sharedItems containsSemiMixedTypes="0" containsString="0" containsNumber="1" containsInteger="1" minValue="0" maxValue="200"/>
    </cacheField>
    <cacheField name="N hors REHAB" numFmtId="1">
      <sharedItems containsSemiMixedTypes="0" containsString="0" containsNumber="1" containsInteger="1" minValue="0" maxValue="200"/>
    </cacheField>
    <cacheField name="LLS" numFmtId="0">
      <sharedItems containsString="0" containsBlank="1" containsNumber="1" containsInteger="1" minValue="4" maxValue="84" count="19">
        <m/>
        <n v="23"/>
        <n v="20"/>
        <n v="51"/>
        <n v="4"/>
        <n v="84"/>
        <n v="29"/>
        <n v="44"/>
        <n v="37"/>
        <n v="54"/>
        <n v="27"/>
        <n v="9"/>
        <n v="46"/>
        <n v="30"/>
        <n v="17"/>
        <n v="39"/>
        <n v="33"/>
        <n v="22"/>
        <n v="42"/>
      </sharedItems>
    </cacheField>
    <cacheField name="LLTS" numFmtId="0">
      <sharedItems containsString="0" containsBlank="1" containsNumber="1" containsInteger="1" minValue="6" maxValue="84" count="41">
        <n v="27"/>
        <n v="30"/>
        <m/>
        <n v="6"/>
        <n v="16"/>
        <n v="14"/>
        <n v="7"/>
        <n v="40"/>
        <n v="13"/>
        <n v="10"/>
        <n v="75"/>
        <n v="22"/>
        <n v="24"/>
        <n v="17"/>
        <n v="65"/>
        <n v="9"/>
        <n v="44"/>
        <n v="34"/>
        <n v="18"/>
        <n v="83"/>
        <n v="15"/>
        <n v="47"/>
        <n v="50"/>
        <n v="21"/>
        <n v="20"/>
        <n v="12"/>
        <n v="19"/>
        <n v="55"/>
        <n v="23"/>
        <n v="35"/>
        <n v="28"/>
        <n v="69"/>
        <n v="37"/>
        <n v="26"/>
        <n v="84"/>
        <n v="66"/>
        <n v="59"/>
        <n v="70"/>
        <n v="53"/>
        <n v="29"/>
        <n v="60"/>
      </sharedItems>
    </cacheField>
    <cacheField name="PLS" numFmtId="0">
      <sharedItems containsString="0" containsBlank="1" containsNumber="1" containsInteger="1" minValue="19" maxValue="200" count="7">
        <m/>
        <n v="200"/>
        <n v="100"/>
        <n v="61"/>
        <n v="30"/>
        <n v="60"/>
        <n v="19"/>
      </sharedItems>
    </cacheField>
    <cacheField name="REHAB" numFmtId="0">
      <sharedItems containsString="0" containsBlank="1" containsNumber="1" containsInteger="1" minValue="6" maxValue="128" count="16">
        <m/>
        <n v="10"/>
        <n v="31"/>
        <n v="45"/>
        <n v="74"/>
        <n v="6"/>
        <n v="26"/>
        <n v="23"/>
        <n v="30"/>
        <n v="34"/>
        <n v="128"/>
        <n v="16"/>
        <n v="38"/>
        <n v="32"/>
        <n v="83"/>
        <n v="18"/>
      </sharedItems>
    </cacheField>
    <cacheField name="SHAB VEFA" numFmtId="0">
      <sharedItems containsString="0" containsBlank="1" containsNumber="1" minValue="391.83999999999992" maxValue="4451.04"/>
    </cacheField>
    <cacheField name="SF" numFmtId="4">
      <sharedItems containsString="0" containsBlank="1" containsNumber="1" minValue="317.76" maxValue="7367.96"/>
    </cacheField>
    <cacheField name="SF VEFA" numFmtId="4">
      <sharedItems containsString="0" containsBlank="1" containsNumber="1" minValue="470.86" maxValue="5226.45"/>
    </cacheField>
    <cacheField name="SF priorisée" numFmtId="4">
      <sharedItems containsString="0" containsBlank="1" containsNumber="1" minValue="317.76" maxValue="7367.66"/>
    </cacheField>
    <cacheField name="SF / lgt" numFmtId="4">
      <sharedItems containsBlank="1" containsMixedTypes="1" containsNumber="1" minValue="0" maxValue="1746"/>
    </cacheField>
    <cacheField name="T1" numFmtId="0">
      <sharedItems containsString="0" containsBlank="1" containsNumber="1" minValue="0" maxValue="0.22857142857142856"/>
    </cacheField>
    <cacheField name="T2" numFmtId="0">
      <sharedItems containsString="0" containsBlank="1" containsNumber="1" minValue="0" maxValue="7"/>
    </cacheField>
    <cacheField name="T3" numFmtId="0">
      <sharedItems containsString="0" containsBlank="1" containsNumber="1" minValue="0" maxValue="8"/>
    </cacheField>
    <cacheField name="T4" numFmtId="0">
      <sharedItems containsString="0" containsBlank="1" containsNumber="1" minValue="0" maxValue="5"/>
    </cacheField>
    <cacheField name="T5" numFmtId="0">
      <sharedItems containsString="0" containsBlank="1" containsNumber="1" minValue="0" maxValue="1"/>
    </cacheField>
    <cacheField name="S espaces verts collectifs" numFmtId="0">
      <sharedItems containsBlank="1" containsMixedTypes="1" containsNumber="1" minValue="217.58" maxValue="12480"/>
    </cacheField>
    <cacheField name="S ANC" numFmtId="41">
      <sharedItems containsBlank="1" containsMixedTypes="1" containsNumber="1" minValue="0" maxValue="2000"/>
    </cacheField>
    <cacheField name="Emprise ANC" numFmtId="9">
      <sharedItems containsBlank="1" containsMixedTypes="1" containsNumber="1" minValue="0" maxValue="0.39273927392739272"/>
    </cacheField>
    <cacheField name="N niveaux lgt y/c RDC" numFmtId="0">
      <sharedItems containsBlank="1" containsMixedTypes="1" containsNumber="1" minValue="1" maxValue="7"/>
    </cacheField>
    <cacheField name="Type Habitat" numFmtId="0">
      <sharedItems containsBlank="1"/>
    </cacheField>
    <cacheField name="Pkgs couverts" numFmtId="0">
      <sharedItems containsBlank="1"/>
    </cacheField>
    <cacheField name="Prix Achat TTC" numFmtId="0">
      <sharedItems containsString="0" containsBlank="1" containsNumber="1" minValue="1052631.5789473683" maxValue="10783875.512"/>
    </cacheField>
    <cacheField name="PPA" numFmtId="0">
      <sharedItems containsNonDate="0" containsDate="1" containsString="0" containsBlank="1" minDate="2018-04-17T00:00:00" maxDate="2018-06-27T00:00:00"/>
    </cacheField>
    <cacheField name="Archi conseil DEAL" numFmtId="0">
      <sharedItems containsDate="1" containsBlank="1" containsMixedTypes="1" minDate="2012-09-18T00:00:00" maxDate="2018-04-19T00:00:00"/>
    </cacheField>
    <cacheField name="CA" numFmtId="0">
      <sharedItems containsNonDate="0" containsDate="1" containsString="0" containsBlank="1" minDate="2011-09-30T00:00:00" maxDate="2018-07-28T00:00:00"/>
    </cacheField>
    <cacheField name="Arrangeur" numFmtId="0">
      <sharedItems containsBlank="1"/>
    </cacheField>
    <cacheField name="Structure" numFmtId="0">
      <sharedItems containsBlank="1"/>
    </cacheField>
    <cacheField name="Convention CAF" numFmtId="0">
      <sharedItems containsBlank="1" containsMixedTypes="1" containsNumber="1" containsInteger="1" minValue="120000" maxValue="415000"/>
    </cacheField>
    <cacheField name="Arrêté LBU" numFmtId="14">
      <sharedItems containsNonDate="0" containsDate="1" containsString="0" containsBlank="1" minDate="2010-11-09T00:00:00" maxDate="2018-08-24T00:00:00"/>
    </cacheField>
    <cacheField name="Transmission à DAF" numFmtId="14">
      <sharedItems containsNonDate="0" containsDate="1" containsString="0" containsBlank="1" minDate="2015-10-14T00:00:00" maxDate="2018-01-17T00:00:00"/>
    </cacheField>
    <cacheField name="Date Dépôt DRFIP" numFmtId="14">
      <sharedItems containsDate="1" containsBlank="1" containsMixedTypes="1" minDate="2013-07-12T00:00:00" maxDate="2016-10-07T00:00:00"/>
    </cacheField>
    <cacheField name="Date Agrément DRFIP" numFmtId="14">
      <sharedItems containsDate="1" containsBlank="1" containsMixedTypes="1" minDate="2012-08-13T00:00:00" maxDate="2016-11-24T00:00:00"/>
    </cacheField>
    <cacheField name="Transmission à DAF2" numFmtId="14">
      <sharedItems containsDate="1" containsBlank="1" containsMixedTypes="1" minDate="2015-10-14T00:00:00" maxDate="2016-11-25T00:00:00"/>
    </cacheField>
    <cacheField name="Dde édition prêt" numFmtId="0">
      <sharedItems containsNonDate="0" containsDate="1" containsString="0" containsBlank="1" minDate="2013-10-02T00:00:00" maxDate="2019-06-19T00:00:00"/>
    </cacheField>
    <cacheField name="Contrat de prêt" numFmtId="0">
      <sharedItems containsDate="1" containsBlank="1" containsMixedTypes="1" minDate="2013-10-28T00:00:00" maxDate="2019-07-19T00:00:00"/>
    </cacheField>
    <cacheField name="Limite validité Ct prêt" numFmtId="0">
      <sharedItems containsDate="1" containsBlank="1" containsMixedTypes="1" minDate="2014-01-03T00:00:00" maxDate="2019-10-19T00:00:00"/>
    </cacheField>
    <cacheField name="Transmission Ct Prêt à DAF" numFmtId="0">
      <sharedItems containsDate="1" containsBlank="1" containsMixedTypes="1" minDate="2015-03-11T00:00:00" maxDate="2018-06-13T00:00:00"/>
    </cacheField>
    <cacheField name="Début préfinancement (date contrat de prêt)" numFmtId="164">
      <sharedItems containsNonDate="0" containsDate="1" containsString="0" containsBlank="1" minDate="1899-12-30T00:00:00" maxDate="2019-07-19T00:00:00"/>
    </cacheField>
    <cacheField name="Fin préfinancement (24 mois)" numFmtId="164">
      <sharedItems containsNonDate="0" containsDate="1" containsString="0" containsBlank="1" minDate="1901-12-31T00:00:00" maxDate="2021-07-19T00:00:00"/>
    </cacheField>
    <cacheField name="1e échéance prêt (12 mois après fin préfinancement)" numFmtId="164">
      <sharedItems containsNonDate="0" containsDate="1" containsString="0" containsBlank="1" minDate="1902-12-31T00:00:00" maxDate="2022-07-19T00:00:00"/>
    </cacheField>
    <cacheField name="Montant échéance annuelle" numFmtId="0">
      <sharedItems containsString="0" containsBlank="1" containsNumber="1" minValue="44850" maxValue="235126.41"/>
    </cacheField>
    <cacheField name="PROBLEME" numFmtId="164">
      <sharedItems containsBlank="1"/>
    </cacheField>
    <cacheField name="Mois de loyers avant 1e échéance" numFmtId="3">
      <sharedItems containsBlank="1" containsMixedTypes="1" containsNumber="1" containsInteger="1" minValue="0" maxValue="20"/>
    </cacheField>
    <cacheField name="Montant des loyers perçus avant 1e échéance" numFmtId="3">
      <sharedItems containsBlank="1" containsMixedTypes="1" containsNumber="1" minValue="0" maxValue="342957.37513997324"/>
    </cacheField>
    <cacheField name="Perte" numFmtId="3">
      <sharedItems containsBlank="1" containsMixedTypes="1" containsNumber="1" minValue="-158948.52943073068" maxValue="0"/>
    </cacheField>
    <cacheField name="Dde dossier Ass" numFmtId="0">
      <sharedItems containsDate="1" containsBlank="1" containsMixedTypes="1" minDate="2016-07-13T00:00:00" maxDate="2017-07-05T00:00:00"/>
    </cacheField>
    <cacheField name="Transmission garanties à CDC" numFmtId="0">
      <sharedItems containsDate="1" containsBlank="1" containsMixedTypes="1" minDate="2014-01-13T00:00:00" maxDate="2018-03-05T00:00:00"/>
    </cacheField>
    <cacheField name="Transmission à DAF_x000a_Garantie CG" numFmtId="0">
      <sharedItems containsDate="1" containsBlank="1" containsMixedTypes="1" minDate="2017-01-12T00:00:00" maxDate="2017-10-19T00:00:00"/>
    </cacheField>
    <cacheField name="Transmission à DAF_x000a_Garantie CM" numFmtId="0">
      <sharedItems containsDate="1" containsBlank="1" containsMixedTypes="1" minDate="2016-02-01T00:00:00" maxDate="2018-03-20T00:00:00"/>
    </cacheField>
    <cacheField name="Transmission à DAF_x000a_Garantie EPCI" numFmtId="0">
      <sharedItems containsDate="1" containsBlank="1" containsMixedTypes="1" minDate="2015-09-29T00:00:00" maxDate="2017-06-30T00:00:00"/>
    </cacheField>
    <cacheField name="Transmission à DAF_x000a_Garantie CR" numFmtId="0">
      <sharedItems containsDate="1" containsBlank="1" containsMixedTypes="1" minDate="2015-12-22T00:00:00" maxDate="2017-07-07T00:00:00"/>
    </cacheField>
    <cacheField name="Notaire VEFA" numFmtId="0">
      <sharedItems containsBlank="1"/>
    </cacheField>
    <cacheField name="Signature VEFA / Placement defisc" numFmtId="14">
      <sharedItems containsDate="1" containsBlank="1" containsMixedTypes="1" minDate="2011-12-21T00:00:00" maxDate="2018-03-24T00:00:00"/>
    </cacheField>
    <cacheField name="Transmission VEFA à DAF" numFmtId="14">
      <sharedItems containsDate="1" containsBlank="1" containsMixedTypes="1" minDate="2016-06-27T00:00:00" maxDate="2016-06-28T00:00:00"/>
    </cacheField>
    <cacheField name="PRIX VEFA HT" numFmtId="43">
      <sharedItems containsBlank="1" containsMixedTypes="1" containsNumber="1" minValue="1051215.9099999999" maxValue="18979814"/>
    </cacheField>
    <cacheField name="Date limite d'utilisation des fonds" numFmtId="14">
      <sharedItems containsDate="1" containsBlank="1" containsMixedTypes="1" minDate="2014-06-12T00:00:00" maxDate="2018-06-24T00:00:00"/>
    </cacheField>
    <cacheField name="LIMITE AF FONDATIONS" numFmtId="14">
      <sharedItems containsDate="1" containsBlank="1" containsMixedTypes="1" minDate="2014-12-12T00:00:00" maxDate="2018-12-24T00:00:00"/>
    </cacheField>
    <cacheField name="AF FONDATIONS" numFmtId="14">
      <sharedItems containsDate="1" containsBlank="1" containsMixedTypes="1" minDate="2012-03-16T00:00:00" maxDate="2018-05-03T00:00:00"/>
    </cacheField>
    <cacheField name="ACHEVEMENT VEFA" numFmtId="14">
      <sharedItems containsDate="1" containsBlank="1" containsMixedTypes="1" minDate="2013-03-31T00:00:00" maxDate="2019-10-31T00:00:00"/>
    </cacheField>
    <cacheField name="Retard livraison VEFA (mois)" numFmtId="0">
      <sharedItems containsBlank="1" containsMixedTypes="1" containsNumber="1" minValue="-8.5666666666666664" maxValue="1456.4333333333334"/>
    </cacheField>
    <cacheField name="Marché MOE notifié" numFmtId="164">
      <sharedItems containsNonDate="0" containsDate="1" containsString="0" containsBlank="1" minDate="2011-07-10T00:00:00" maxDate="2018-02-20T00:00:00"/>
    </cacheField>
    <cacheField name="OS ESQ - prévu" numFmtId="0">
      <sharedItems containsDate="1" containsString="0" containsBlank="1" containsMixedTypes="1" minDate="2011-07-30T00:00:00" maxDate="2018-02-21T00:00:00"/>
    </cacheField>
    <cacheField name="OS ESQ - Réalisé" numFmtId="0">
      <sharedItems containsDate="1" containsString="0" containsBlank="1" containsMixedTypes="1" minDate="2011-07-11T00:00:00" maxDate="2017-11-01T00:00:00"/>
    </cacheField>
    <cacheField name="ECART (j)" numFmtId="0">
      <sharedItems containsBlank="1" containsMixedTypes="1" containsNumber="1" containsInteger="1" minValue="-27" maxValue="768"/>
    </cacheField>
    <cacheField name="Dépôt du dossier PC en Mairie (GANTT)-Prévu" numFmtId="164">
      <sharedItems containsNonDate="0" containsDate="1" containsString="0" containsBlank="1" minDate="2011-12-08T00:00:00" maxDate="2018-06-16T00:00:00"/>
    </cacheField>
    <cacheField name="Dépôt du dossier PC en Mairie - Réalisé" numFmtId="164">
      <sharedItems containsNonDate="0" containsDate="1" containsString="0" containsBlank="1" minDate="2012-02-07T00:00:00" maxDate="2018-09-06T00:00:00"/>
    </cacheField>
    <cacheField name="Ecart dépôt PC (j)" numFmtId="1">
      <sharedItems containsBlank="1" containsMixedTypes="1" containsNumber="1" containsInteger="1" minValue="-730" maxValue="1519"/>
    </cacheField>
    <cacheField name="OS APD - prévu" numFmtId="0">
      <sharedItems containsNonDate="0" containsDate="1" containsString="0" containsBlank="1" minDate="2011-11-18T00:00:00" maxDate="2018-05-26T00:00:00"/>
    </cacheField>
    <cacheField name="OS APD - Réalisé" numFmtId="164">
      <sharedItems containsNonDate="0" containsDate="1" containsString="0" containsBlank="1" minDate="2012-01-03T00:00:00" maxDate="2018-09-06T00:00:00"/>
    </cacheField>
    <cacheField name="Ecart" numFmtId="1">
      <sharedItems containsBlank="1" containsMixedTypes="1" containsNumber="1" containsInteger="1" minValue="-24" maxValue="400"/>
    </cacheField>
    <cacheField name="OS PRO - prévu" numFmtId="0">
      <sharedItems containsNonDate="0" containsDate="1" containsString="0" containsBlank="1" minDate="2012-02-10T00:00:00" maxDate="2018-08-15T00:00:00"/>
    </cacheField>
    <cacheField name="OS PRO - Réalisé" numFmtId="164">
      <sharedItems containsNonDate="0" containsDate="1" containsString="0" containsBlank="1" minDate="2013-05-22T00:00:00" maxDate="2018-09-06T00:00:00"/>
    </cacheField>
    <cacheField name="Ecart2" numFmtId="1">
      <sharedItems containsBlank="1" containsMixedTypes="1" containsNumber="1" containsInteger="1" minValue="0" maxValue="755"/>
    </cacheField>
    <cacheField name="OS DCE - prévu" numFmtId="0">
      <sharedItems containsNonDate="0" containsDate="1" containsString="0" containsBlank="1" minDate="2013-08-25T00:00:00" maxDate="2018-10-16T00:00:00"/>
    </cacheField>
    <cacheField name="OS DCE - Réalisé" numFmtId="0">
      <sharedItems containsNonDate="0" containsDate="1" containsString="0" containsBlank="1" minDate="2013-09-12T00:00:00" maxDate="2018-10-16T00:00:00"/>
    </cacheField>
    <cacheField name="Ecart3" numFmtId="1">
      <sharedItems containsBlank="1" containsMixedTypes="1" containsNumber="1" containsInteger="1" minValue="-411" maxValue="386"/>
    </cacheField>
    <cacheField name="Taux conformité DCE au CRATE " numFmtId="0">
      <sharedItems containsNonDate="0" containsString="0" containsBlank="1"/>
    </cacheField>
    <cacheField name="CAO" numFmtId="0">
      <sharedItems containsNonDate="0" containsDate="1" containsString="0" containsBlank="1" minDate="2014-02-14T00:00:00" maxDate="2018-11-13T00:00:00"/>
    </cacheField>
    <cacheField name="Signature Marché Travaux - Prévu" numFmtId="164">
      <sharedItems containsNonDate="0" containsDate="1" containsString="0" containsBlank="1" minDate="2013-10-26T00:00:00" maxDate="2019-07-31T00:00:00"/>
    </cacheField>
    <cacheField name="Signature Marché Travaux - Réalisé" numFmtId="0">
      <sharedItems containsNonDate="0" containsDate="1" containsString="0" containsBlank="1" minDate="2014-04-14T00:00:00" maxDate="2019-07-31T00:00:00"/>
    </cacheField>
    <cacheField name="Ecart4" numFmtId="1">
      <sharedItems containsBlank="1" containsMixedTypes="1" containsNumber="1" containsInteger="1" minValue="-29" maxValue="603"/>
    </cacheField>
    <cacheField name="Date OS Prévu" numFmtId="164">
      <sharedItems containsNonDate="0" containsDate="1" containsString="0" containsBlank="1" minDate="2014-04-14T00:00:00" maxDate="2019-08-15T00:00:00"/>
    </cacheField>
    <cacheField name="OS démarrage" numFmtId="164">
      <sharedItems containsSemiMixedTypes="0" containsNonDate="0" containsDate="1" containsString="0" minDate="2011-06-27T00:00:00" maxDate="2022-07-02T00:00:00" count="67">
        <d v="2011-06-27T00:00:00"/>
        <d v="2012-02-06T00:00:00"/>
        <d v="2011-12-21T00:00:00"/>
        <d v="2011-12-22T00:00:00"/>
        <d v="2012-02-01T00:00:00"/>
        <d v="2012-03-02T00:00:00"/>
        <d v="2013-05-06T00:00:00"/>
        <d v="2013-02-04T00:00:00"/>
        <d v="2013-01-21T00:00:00"/>
        <d v="2013-06-26T00:00:00"/>
        <d v="2013-06-03T00:00:00"/>
        <d v="2013-10-25T00:00:00"/>
        <d v="2013-02-15T00:00:00"/>
        <d v="2014-07-28T00:00:00"/>
        <d v="2014-09-18T00:00:00"/>
        <d v="2014-05-07T00:00:00"/>
        <d v="2014-06-11T00:00:00"/>
        <d v="2014-03-31T00:00:00"/>
        <d v="2014-04-22T00:00:00"/>
        <d v="2014-05-05T00:00:00"/>
        <d v="2014-08-25T00:00:00"/>
        <d v="2015-05-15T00:00:00"/>
        <d v="2015-12-03T00:00:00"/>
        <d v="2015-02-02T00:00:00"/>
        <d v="2016-04-28T00:00:00"/>
        <d v="2015-12-10T00:00:00"/>
        <d v="2016-05-10T00:00:00"/>
        <d v="2017-02-06T00:00:00"/>
        <d v="2017-07-17T00:00:00"/>
        <d v="2017-02-20T00:00:00"/>
        <d v="2017-02-16T00:00:00"/>
        <d v="2017-07-31T00:00:00"/>
        <d v="2017-02-01T00:00:00"/>
        <d v="2018-01-22T00:00:00"/>
        <d v="2018-01-29T00:00:00"/>
        <d v="2016-08-01T00:00:00"/>
        <d v="2017-02-14T00:00:00"/>
        <d v="2018-03-05T00:00:00"/>
        <d v="2018-06-12T00:00:00"/>
        <d v="2019-02-01T00:00:00"/>
        <d v="2019-02-15T00:00:00"/>
        <d v="2019-02-07T00:00:00"/>
        <d v="2019-07-15T00:00:00"/>
        <d v="2017-12-01T00:00:00"/>
        <d v="2017-12-22T00:00:00"/>
        <d v="2018-09-01T00:00:00"/>
        <d v="2018-08-06T00:00:00"/>
        <d v="2018-11-15T00:00:00"/>
        <d v="2018-10-24T00:00:00"/>
        <d v="2018-11-30T00:00:00"/>
        <d v="2019-04-01T00:00:00"/>
        <d v="2019-01-24T00:00:00"/>
        <d v="2018-03-09T00:00:00"/>
        <d v="2018-12-07T00:00:00"/>
        <d v="2019-04-05T00:00:00"/>
        <d v="2019-06-06T00:00:00"/>
        <d v="2019-10-16T00:00:00"/>
        <d v="2020-02-01T00:00:00"/>
        <d v="2020-04-05T00:00:00"/>
        <d v="2020-07-01T00:00:00"/>
        <d v="2019-11-15T00:00:00"/>
        <d v="2020-01-15T00:00:00"/>
        <d v="2021-02-01T00:00:00"/>
        <d v="2021-07-01T00:00:00"/>
        <d v="2022-07-01T00:00:00"/>
        <d v="2018-12-17T00:00:00" u="1"/>
        <d v="2018-11-17T00:00:00" u="1"/>
      </sharedItems>
    </cacheField>
    <cacheField name="ANNEE DEMARRAGE" numFmtId="0">
      <sharedItems containsString="0" containsBlank="1" containsNumber="1" containsInteger="1" minValue="2011" maxValue="2018" count="9">
        <n v="2011"/>
        <n v="2012"/>
        <n v="2013"/>
        <n v="2014"/>
        <n v="2015"/>
        <n v="2016"/>
        <n v="2017"/>
        <n v="2018"/>
        <m/>
      </sharedItems>
    </cacheField>
    <cacheField name="ECART Arrêté DEAL / OS" numFmtId="1">
      <sharedItems containsString="0" containsBlank="1" containsNumber="1" minValue="1.3333333333333333" maxValue="1479.2666666666667"/>
    </cacheField>
    <cacheField name="Ecart " numFmtId="1">
      <sharedItems containsMixedTypes="1" containsNumber="1" containsInteger="1" minValue="-228" maxValue="510"/>
    </cacheField>
    <cacheField name="Délai chantier initial" numFmtId="1">
      <sharedItems containsSemiMixedTypes="0" containsString="0" containsNumber="1" containsInteger="1" minValue="10" maxValue="24"/>
    </cacheField>
    <cacheField name="Délai chantier réel" numFmtId="1">
      <sharedItems containsSemiMixedTypes="0" containsString="0" containsNumber="1" containsInteger="1" minValue="12" maxValue="51"/>
    </cacheField>
    <cacheField name="Terrassement - Prévu" numFmtId="164">
      <sharedItems containsNonDate="0" containsDate="1" containsString="0" containsBlank="1" minDate="2014-07-15T00:00:00" maxDate="2018-06-13T00:00:00"/>
    </cacheField>
    <cacheField name="Terrassement Réalisé" numFmtId="0">
      <sharedItems containsDate="1" containsString="0" containsBlank="1" containsMixedTypes="1" minDate="1900-01-04T16:49:04" maxDate="2018-09-06T00:00:00"/>
    </cacheField>
    <cacheField name="Ecart5" numFmtId="1">
      <sharedItems containsMixedTypes="1" containsNumber="1" containsInteger="1" minValue="-17" maxValue="354"/>
    </cacheField>
    <cacheField name="Fondations - Prévu" numFmtId="164">
      <sharedItems containsNonDate="0" containsDate="1" containsString="0" containsBlank="1" minDate="2014-08-29T00:00:00" maxDate="2018-08-11T00:00:00"/>
    </cacheField>
    <cacheField name="Fondations Réalisé" numFmtId="164">
      <sharedItems containsNonDate="0" containsDate="1" containsString="0" containsBlank="1" minDate="2008-05-31T00:00:00" maxDate="2018-09-06T00:00:00"/>
    </cacheField>
    <cacheField name="Ecart6" numFmtId="1">
      <sharedItems containsBlank="1" containsMixedTypes="1" containsNumber="1" containsInteger="1" minValue="-51" maxValue="273"/>
    </cacheField>
    <cacheField name="Elevations - Prévu" numFmtId="0">
      <sharedItems containsNonDate="0" containsDate="1" containsString="0" containsBlank="1" minDate="2015-02-16T00:00:00" maxDate="2019-03-06T00:00:00"/>
    </cacheField>
    <cacheField name="Elevations Réalisé" numFmtId="0">
      <sharedItems containsDate="1" containsString="0" containsBlank="1" containsMixedTypes="1" minDate="2015-09-08T00:00:00" maxDate="1900-01-01T21:50:04"/>
    </cacheField>
    <cacheField name="Ecart7" numFmtId="1">
      <sharedItems containsMixedTypes="1" containsNumber="1" containsInteger="1" minValue="-56" maxValue="213"/>
    </cacheField>
    <cacheField name="Charpente / Couv - Prévu" numFmtId="0">
      <sharedItems containsNonDate="0" containsDate="1" containsString="0" containsBlank="1" minDate="2015-03-18T00:00:00" maxDate="2019-05-31T00:00:00"/>
    </cacheField>
    <cacheField name="Charpente / Couv - Réalisé" numFmtId="164">
      <sharedItems containsNonDate="0" containsDate="1" containsString="0" containsBlank="1" minDate="2017-07-13T00:00:00" maxDate="2019-05-31T00:00:00"/>
    </cacheField>
    <cacheField name="Ecart8" numFmtId="1">
      <sharedItems containsMixedTypes="1" containsNumber="1" containsInteger="1" minValue="0" maxValue="862"/>
    </cacheField>
    <cacheField name="Clos - Prévu" numFmtId="0">
      <sharedItems containsNonDate="0" containsDate="1" containsString="0" containsBlank="1" minDate="2015-03-18T00:00:00" maxDate="2019-06-07T00:00:00"/>
    </cacheField>
    <cacheField name="Clos - Réalisé" numFmtId="0">
      <sharedItems containsNonDate="0" containsDate="1" containsString="0" containsBlank="1" minDate="2017-07-27T00:00:00" maxDate="2019-06-07T00:00:00"/>
    </cacheField>
    <cacheField name="Ecart9" numFmtId="1">
      <sharedItems containsMixedTypes="1" containsNumber="1" containsInteger="1" minValue="0" maxValue="862"/>
    </cacheField>
    <cacheField name="Cloisons - Prévu" numFmtId="0">
      <sharedItems containsNonDate="0" containsDate="1" containsString="0" containsBlank="1" minDate="2015-05-17T00:00:00" maxDate="2019-06-11T00:00:00"/>
    </cacheField>
    <cacheField name="Cloisons - Réalisé" numFmtId="0">
      <sharedItems containsNonDate="0" containsDate="1" containsString="0" containsBlank="1" minDate="2017-07-18T00:00:00" maxDate="2019-06-11T00:00:00"/>
    </cacheField>
    <cacheField name="Ecart10" numFmtId="1">
      <sharedItems containsMixedTypes="1" containsNumber="1" containsInteger="1" minValue="0" maxValue="793"/>
    </cacheField>
    <cacheField name="Finitions int - Prévu" numFmtId="0">
      <sharedItems containsNonDate="0" containsDate="1" containsString="0" containsBlank="1" minDate="2015-08-15T00:00:00" maxDate="2019-07-03T00:00:00"/>
    </cacheField>
    <cacheField name="Finitions int - Réalisé" numFmtId="0">
      <sharedItems containsNonDate="0" containsDate="1" containsString="0" containsBlank="1" minDate="2017-09-07T00:00:00" maxDate="2019-07-03T00:00:00"/>
    </cacheField>
    <cacheField name="Ecart11" numFmtId="1">
      <sharedItems containsMixedTypes="1" containsNumber="1" containsInteger="1" minValue="0" maxValue="754"/>
    </cacheField>
    <cacheField name="Réception AEP" numFmtId="0">
      <sharedItems containsNonDate="0" containsDate="1" containsString="0" containsBlank="1" minDate="2017-11-13T00:00:00" maxDate="2019-08-27T00:00:00"/>
    </cacheField>
    <cacheField name="Réception FT" numFmtId="0">
      <sharedItems containsDate="1" containsBlank="1" containsMixedTypes="1" minDate="2017-11-02T00:00:00" maxDate="2019-08-27T00:00:00"/>
    </cacheField>
    <cacheField name="Réception EDF" numFmtId="0">
      <sharedItems containsNonDate="0" containsDate="1" containsString="0" containsBlank="1" minDate="2017-10-23T00:00:00" maxDate="2019-07-12T00:00:00"/>
    </cacheField>
    <cacheField name="Date réception prévue initialement" numFmtId="164">
      <sharedItems containsSemiMixedTypes="0" containsNonDate="0" containsDate="1" containsString="0" minDate="2012-09-27T00:00:00" maxDate="2023-11-02T00:00:00"/>
    </cacheField>
    <cacheField name="Date réception recalée" numFmtId="0">
      <sharedItems containsSemiMixedTypes="0" containsNonDate="0" containsDate="1" containsString="0" minDate="2013-07-09T00:00:00" maxDate="2024-02-02T00:00:00"/>
    </cacheField>
    <cacheField name="Retard réception (m)" numFmtId="0">
      <sharedItems containsSemiMixedTypes="0" containsString="0" containsNumber="1" minValue="0" maxValue="32.666666666666664"/>
    </cacheField>
    <cacheField name="DATE LIMITE DAT DEFISC" numFmtId="0">
      <sharedItems containsNonDate="0" containsDate="1" containsString="0" containsBlank="1" minDate="1901-12-31T00:00:00" maxDate="2020-05-03T00:00:00"/>
    </cacheField>
    <cacheField name="DAT" numFmtId="0">
      <sharedItems containsNonDate="0" containsDate="1" containsString="0" containsBlank="1" minDate="2013-06-04T00:00:00" maxDate="2018-04-21T00:00:00"/>
    </cacheField>
    <cacheField name="Transmission Fiche Pgr GL" numFmtId="0">
      <sharedItems containsDate="1" containsBlank="1" containsMixedTypes="1" minDate="2015-12-04T00:00:00" maxDate="2018-09-06T00:00:00"/>
    </cacheField>
    <cacheField name="Date RDC Patrimoine" numFmtId="0">
      <sharedItems containsDate="1" containsBlank="1" containsMixedTypes="1" minDate="2013-07-26T00:00:00" maxDate="2024-02-17T00:00:00"/>
    </cacheField>
    <cacheField name="Date EDLE" numFmtId="0">
      <sharedItems containsDate="1" containsBlank="1" containsMixedTypes="1" minDate="2018-08-16T00:00:00" maxDate="2018-08-29T00:00:00"/>
    </cacheField>
    <cacheField name="Date inauguration initiale" numFmtId="164">
      <sharedItems containsSemiMixedTypes="0" containsNonDate="0" containsDate="1" containsString="0" minDate="2012-10-27T00:00:00" maxDate="2023-12-02T00:00:00"/>
    </cacheField>
    <cacheField name="Date inauguration recalée" numFmtId="164">
      <sharedItems containsSemiMixedTypes="0" containsNonDate="0" containsDate="1" containsString="0" minDate="2013-07-26T00:00:00" maxDate="2024-03-17T00:00:00" count="76">
        <d v="2013-07-26T00:00:00"/>
        <d v="2014-01-24T00:00:00"/>
        <d v="2013-07-31T00:00:00"/>
        <d v="2013-09-12T00:00:00"/>
        <d v="2014-02-13T00:00:00"/>
        <d v="2014-02-26T00:00:00"/>
        <d v="2014-05-15T00:00:00"/>
        <d v="2014-09-12T00:00:00"/>
        <d v="2014-11-04T00:00:00"/>
        <d v="2014-11-12T00:00:00"/>
        <d v="2015-05-27T00:00:00"/>
        <d v="2015-06-03T00:00:00"/>
        <d v="2015-10-09T00:00:00"/>
        <d v="2015-11-24T00:00:00"/>
        <d v="2016-02-09T00:00:00"/>
        <d v="2016-09-14T00:00:00"/>
        <d v="2016-12-22T00:00:00"/>
        <d v="2017-05-24T00:00:00"/>
        <d v="2015-11-05T00:00:00"/>
        <d v="2016-07-26T00:00:00"/>
        <d v="2016-10-28T00:00:00"/>
        <d v="2016-11-30T00:00:00"/>
        <d v="2017-12-04T00:00:00"/>
        <d v="2017-11-30T00:00:00"/>
        <d v="2017-12-12T00:00:00"/>
        <d v="2017-02-08T00:00:00"/>
        <d v="2017-11-29T00:00:00"/>
        <d v="2017-03-20T00:00:00"/>
        <d v="2016-11-08T00:00:00"/>
        <d v="2017-08-10T00:00:00"/>
        <d v="2018-04-17T00:00:00"/>
        <d v="2018-04-25T00:00:00"/>
        <d v="2018-08-27T00:00:00"/>
        <d v="2019-02-01T00:00:00"/>
        <d v="2018-08-24T00:00:00"/>
        <d v="2018-09-25T00:00:00"/>
        <d v="2018-11-15T00:00:00"/>
        <d v="2019-06-27T00:00:00"/>
        <d v="2020-04-02T00:00:00"/>
        <d v="2018-05-22T00:00:00"/>
        <d v="2018-08-30T00:00:00"/>
        <d v="2019-08-17T00:00:00"/>
        <d v="2019-12-12T00:00:00"/>
        <d v="2020-07-01T00:00:00"/>
        <d v="2020-08-15T00:00:00"/>
        <d v="2020-09-07T00:00:00"/>
        <d v="2021-02-15T00:00:00"/>
        <d v="2019-04-16T00:00:00"/>
        <d v="2019-08-16T00:00:00"/>
        <d v="2019-09-01T00:00:00"/>
        <d v="2019-09-06T00:00:00"/>
        <d v="2019-10-01T00:00:00"/>
        <d v="2019-12-15T00:00:00"/>
        <d v="2020-04-24T00:00:00"/>
        <d v="2020-04-30T00:00:00"/>
        <d v="2020-05-15T00:00:00"/>
        <d v="2020-10-01T00:00:00"/>
        <d v="2021-04-24T00:00:00"/>
        <d v="2020-02-15T00:00:00"/>
        <d v="2020-03-07T00:00:00"/>
        <d v="2020-08-24T00:00:00"/>
        <d v="2021-01-05T00:00:00"/>
        <d v="2021-03-06T00:00:00"/>
        <d v="2021-03-16T00:00:00"/>
        <d v="2021-10-16T00:00:00"/>
        <d v="2022-01-05T00:00:00"/>
        <d v="2022-02-01T00:00:00"/>
        <d v="2022-04-01T00:00:00"/>
        <d v="2022-03-01T00:00:00"/>
        <d v="2021-04-15T00:00:00"/>
        <d v="2022-10-16T00:00:00"/>
        <d v="2022-12-01T00:00:00"/>
        <d v="2023-03-16T00:00:00"/>
        <d v="2023-04-01T00:00:00"/>
        <d v="2023-06-01T00:00:00"/>
        <d v="2024-03-16T00:00:00"/>
      </sharedItems>
    </cacheField>
    <cacheField name="Année Inauguration" numFmtId="0">
      <sharedItems containsString="0" containsBlank="1" containsNumber="1" containsInteger="1" minValue="2013" maxValue="2018" count="7">
        <n v="2013"/>
        <n v="2014"/>
        <n v="2015"/>
        <n v="2016"/>
        <n v="2017"/>
        <n v="2018"/>
        <m/>
      </sharedItems>
    </cacheField>
    <cacheField name="Retard Inauguration (m)" numFmtId="0">
      <sharedItems containsSemiMixedTypes="0" containsString="0" containsNumber="1" minValue="0" maxValue="32.1"/>
    </cacheField>
    <cacheField name="Loyer mensuel" numFmtId="0">
      <sharedItems containsString="0" containsBlank="1" containsNumber="1" minValue="2035" maxValue="38106.375015552585"/>
    </cacheField>
    <cacheField name="Perte loyer" numFmtId="3">
      <sharedItems containsSemiMixedTypes="0" containsString="0" containsNumber="1" minValue="0" maxValue="843391.87190730055"/>
    </cacheField>
    <cacheField name="CAL" numFmtId="0">
      <sharedItems containsDate="1" containsBlank="1" containsMixedTypes="1" minDate="2016-10-27T00:00:00" maxDate="2018-08-17T00:00:00"/>
    </cacheField>
    <cacheField name="Fonds propres au démarrage" numFmtId="0">
      <sharedItems containsString="0" containsBlank="1" containsNumber="1" containsInteger="1" minValue="0" maxValue="368628"/>
    </cacheField>
    <cacheField name="Fonds propres actualisés" numFmtId="0">
      <sharedItems containsSemiMixedTypes="0" containsString="0" containsNumber="1" minValue="0" maxValue="406263"/>
    </cacheField>
    <cacheField name="IMPREVUS AU DEMARRAGE" numFmtId="3">
      <sharedItems containsBlank="1" containsMixedTypes="1" containsNumber="1" minValue="0" maxValue="491714.43721999996"/>
    </cacheField>
    <cacheField name="IMPREVUS ACTUALISES" numFmtId="0">
      <sharedItems containsString="0" containsBlank="1" containsNumber="1" minValue="0" maxValue="131635.37"/>
    </cacheField>
    <cacheField name="TS Correspondant à des imprévus chantier (or résiliation)" numFmtId="3">
      <sharedItems containsString="0" containsBlank="1" containsNumber="1" minValue="0" maxValue="713667.76899999997"/>
    </cacheField>
    <cacheField name="% TS / PRP" numFmtId="0">
      <sharedItems containsBlank="1" containsMixedTypes="1" containsNumber="1" minValue="0" maxValue="3.5947813466163943E-2"/>
    </cacheField>
    <cacheField name="RO successifs" numFmtId="0">
      <sharedItems containsBlank="1"/>
    </cacheField>
    <cacheField name="Résiliations marchés" numFmtId="0">
      <sharedItems containsBlank="1" longText="1"/>
    </cacheField>
    <cacheField name="Problémes chantier" numFmtId="0">
      <sharedItems containsBlank="1"/>
    </cacheField>
    <cacheField name="Observations générales" numFmtId="0">
      <sharedItems containsBlank="1" longText="1"/>
    </cacheField>
    <cacheField name="RFCT" numFmtId="164">
      <sharedItems containsDate="1" containsBlank="1" containsMixedTypes="1" minDate="2015-11-13T00:00:00" maxDate="2016-12-22T00:00:00"/>
    </cacheField>
    <cacheField name="H2" numFmtId="164">
      <sharedItems containsDate="1" containsBlank="1" containsMixedTypes="1" minDate="2017-04-26T00:00:00" maxDate="2018-03-08T00:00:00"/>
    </cacheField>
    <cacheField name="DGD" numFmtId="164">
      <sharedItems containsBlank="1"/>
    </cacheField>
    <cacheField name="DOE" numFmtId="164">
      <sharedItems containsDate="1" containsBlank="1" containsMixedTypes="1" minDate="2015-12-10T00:00:00" maxDate="2015-12-11T00:00:00"/>
    </cacheField>
    <cacheField name="Attestation conformité Mairie" numFmtId="0">
      <sharedItems containsDate="1" containsBlank="1" containsMixedTypes="1" minDate="2014-01-22T00:00:00" maxDate="2018-08-23T00:00:00"/>
    </cacheField>
    <cacheField name="Clôture DO" numFmtId="0">
      <sharedItems containsDate="1" containsBlank="1" containsMixedTypes="1" minDate="2015-03-19T00:00:00" maxDate="2018-05-04T00:00:00"/>
    </cacheField>
    <cacheField name="Fin GPA" numFmtId="0">
      <sharedItems containsDate="1" containsBlank="1" containsMixedTypes="1" minDate="2014-07-09T00:00:00" maxDate="2025-02-02T00:00:00"/>
    </cacheField>
    <cacheField name="Frais financiers clôture" numFmtId="0">
      <sharedItems containsString="0" containsBlank="1" containsNumber="1" minValue="0" maxValue="280724"/>
    </cacheField>
    <cacheField name="RDV pré-clôture avec RO" numFmtId="0">
      <sharedItems containsDate="1" containsBlank="1" containsMixedTypes="1" minDate="2014-10-03T00:00:00" maxDate="2018-02-23T00:00:00"/>
    </cacheField>
    <cacheField name="Transmission budget pré-clôture DAF" numFmtId="0">
      <sharedItems containsDate="1" containsBlank="1" containsMixedTypes="1" minDate="2014-10-06T00:00:00" maxDate="2018-08-29T00:00:00"/>
    </cacheField>
    <cacheField name="RDV clôture avec RO" numFmtId="0">
      <sharedItems containsDate="1" containsBlank="1" containsMixedTypes="1" minDate="2014-10-07T00:00:00" maxDate="2016-10-05T00:00:00"/>
    </cacheField>
    <cacheField name="Transmission budget DAF" numFmtId="0">
      <sharedItems containsDate="1" containsBlank="1" containsMixedTypes="1" minDate="2014-10-09T00:00:00" maxDate="2018-01-26T00:00:00"/>
    </cacheField>
    <cacheField name="Budget clôture validé DAF" numFmtId="0">
      <sharedItems containsNonDate="0" containsDate="1" containsString="0" containsBlank="1" minDate="2015-03-16T00:00:00" maxDate="2018-04-28T00:00:00"/>
    </cacheField>
    <cacheField name="Avenant global" numFmtId="0">
      <sharedItems containsBlank="1"/>
    </cacheField>
    <cacheField name="RDV RO DDAD" numFmtId="0">
      <sharedItems containsDate="1" containsBlank="1" containsMixedTypes="1" minDate="2016-02-26T00:00:00" maxDate="2017-09-21T00:00:00"/>
    </cacheField>
    <cacheField name="Dépôt DDA définitif" numFmtId="0">
      <sharedItems containsDate="1" containsBlank="1" containsMixedTypes="1" minDate="2015-04-27T00:00:00" maxDate="2018-02-06T00:00:00"/>
    </cacheField>
    <cacheField name="Agrément définitif" numFmtId="0">
      <sharedItems containsDate="1" containsBlank="1" containsMixedTypes="1" minDate="2017-04-26T00:00:00" maxDate="2017-04-27T00:00:00"/>
    </cacheField>
    <cacheField name="Baux" numFmtId="0">
      <sharedItems containsDate="1" containsBlank="1" containsMixedTypes="1" minDate="2017-03-14T00:00:00" maxDate="2018-08-04T00:00:00"/>
    </cacheField>
    <cacheField name="Rapport de fin d'opération" numFmtId="0">
      <sharedItems containsDate="1" containsBlank="1" containsMixedTypes="1" minDate="2018-02-08T00:00:00" maxDate="2018-02-09T00:00:00"/>
    </cacheField>
    <cacheField name="Transmission patrimoine" numFmtId="0">
      <sharedItems containsDate="1" containsBlank="1" containsMixedTypes="1" minDate="2015-04-20T00:00:00" maxDate="2018-04-25T00:00:00"/>
    </cacheField>
    <cacheField name="Archivage" numFmtId="0">
      <sharedItems containsDate="1" containsBlank="1" containsMixedTypes="1" minDate="2016-02-24T00:00:00" maxDate="2016-02-25T00:00:00"/>
    </cacheField>
    <cacheField name="Priorisation" numFmtId="0">
      <sharedItems containsBlank="1"/>
    </cacheField>
    <cacheField name="PRP CA" numFmtId="0">
      <sharedItems containsString="0" containsBlank="1" containsNumber="1" minValue="1547410" maxValue="14323815"/>
    </cacheField>
    <cacheField name="PRP TTC " numFmtId="165">
      <sharedItems containsString="0" containsBlank="1" containsNumber="1" minValue="0" maxValue="15377280.710000001"/>
    </cacheField>
    <cacheField name="PRP TTC  " numFmtId="0">
      <sharedItems containsString="0" containsBlank="1" containsNumber="1" minValue="0" maxValue="14364754"/>
    </cacheField>
    <cacheField name="ECART PRP" numFmtId="165">
      <sharedItems containsString="0" containsBlank="1" containsNumber="1" minValue="-5522950" maxValue="3202767"/>
    </cacheField>
    <cacheField name="PRP /m² SF" numFmtId="165">
      <sharedItems containsBlank="1" containsMixedTypes="1" containsNumber="1" minValue="0" maxValue="3338.263457349155"/>
    </cacheField>
    <cacheField name="PRP / lgt" numFmtId="165">
      <sharedItems containsBlank="1" containsMixedTypes="1" containsNumber="1" minValue="0" maxValue="210808.56200000001"/>
    </cacheField>
    <cacheField name="BE" numFmtId="0">
      <sharedItems containsString="0" containsBlank="1" containsNumber="1" minValue="970725" maxValue="14981542.360255377"/>
    </cacheField>
    <cacheField name="BE PRIORISE" numFmtId="165">
      <sharedItems containsString="0" containsBlank="1" containsNumber="1" minValue="0" maxValue="12989943"/>
    </cacheField>
    <cacheField name="ECART BE" numFmtId="0">
      <sharedItems containsString="0" containsBlank="1" containsNumber="1" minValue="-9295451" maxValue="6233418.6500000004"/>
    </cacheField>
    <cacheField name="% BE / PRP" numFmtId="0">
      <sharedItems containsBlank="1" containsMixedTypes="1" containsNumber="1" minValue="0" maxValue="1.1647617113577102"/>
    </cacheField>
    <cacheField name="Tx rétrocession" numFmtId="0">
      <sharedItems containsString="0" containsBlank="1" containsNumber="1" minValue="0.37030000000000002" maxValue="0.4"/>
    </cacheField>
    <cacheField name="CREDIT IMPOT" numFmtId="0">
      <sharedItems containsString="0" containsBlank="1" containsNumber="1" minValue="0" maxValue="4234760"/>
    </cacheField>
    <cacheField name="CREDIT IMPOT2" numFmtId="0">
      <sharedItems containsString="0" containsBlank="1" containsNumber="1" minValue="0" maxValue="4422509"/>
    </cacheField>
    <cacheField name="PRÊT CREDIT D'IMPOT (PM)" numFmtId="0">
      <sharedItems containsString="0" containsBlank="1" containsNumber="1" containsInteger="1" minValue="866176" maxValue="3306813"/>
    </cacheField>
    <cacheField name="DEFISC / lgt" numFmtId="165">
      <sharedItems containsBlank="1" containsMixedTypes="1" containsNumber="1" minValue="0" maxValue="117689.6875"/>
    </cacheField>
    <cacheField name="ECART DEFISC" numFmtId="0">
      <sharedItems containsString="0" containsBlank="1" containsNumber="1" minValue="-378191.10999999987" maxValue="3306813"/>
    </cacheField>
    <cacheField name="PRÊT " numFmtId="0">
      <sharedItems containsString="0" containsBlank="1" containsNumber="1" minValue="289664" maxValue="10921593"/>
    </cacheField>
    <cacheField name="PRÊT 2" numFmtId="0">
      <sharedItems containsString="0" containsBlank="1" containsNumber="1" minValue="0" maxValue="8282245"/>
    </cacheField>
    <cacheField name="FONCIER2" numFmtId="0">
      <sharedItems containsString="0" containsBlank="1" containsNumber="1" minValue="85556" maxValue="1887032"/>
    </cacheField>
    <cacheField name="CONSTRUCTION" numFmtId="0">
      <sharedItems containsString="0" containsBlank="1" containsNumber="1" minValue="249856" maxValue="7004220"/>
    </cacheField>
    <cacheField name="ECART PRÊT" numFmtId="165">
      <sharedItems containsString="0" containsBlank="1" containsNumber="1" minValue="-5067534" maxValue="1772076"/>
    </cacheField>
    <cacheField name="PRÊT / lgt" numFmtId="0">
      <sharedItems containsBlank="1" containsMixedTypes="1" containsNumber="1" minValue="0" maxValue="133327.33333333334"/>
    </cacheField>
    <cacheField name="PRÊT 1 %" numFmtId="0">
      <sharedItems containsString="0" containsBlank="1" containsNumber="1" containsInteger="1" minValue="0" maxValue="100000"/>
    </cacheField>
    <cacheField name="LBU y/c CAF " numFmtId="0">
      <sharedItems containsString="0" containsBlank="1" containsNumber="1" containsInteger="1" minValue="1" maxValue="2000000"/>
    </cacheField>
    <cacheField name="LBU " numFmtId="0">
      <sharedItems containsString="0" containsBlank="1" containsNumber="1" containsInteger="1" minValue="1" maxValue="1512000"/>
    </cacheField>
    <cacheField name="CAF" numFmtId="0">
      <sharedItems containsString="0" containsBlank="1" containsNumber="1" containsInteger="1" minValue="0" maxValue="415000"/>
    </cacheField>
    <cacheField name="% LBU / PRP" numFmtId="0">
      <sharedItems containsBlank="1" containsMixedTypes="1" containsNumber="1" minValue="0" maxValue="1"/>
    </cacheField>
    <cacheField name="PHBB" numFmtId="0">
      <sharedItems containsString="0" containsBlank="1" containsNumber="1" containsInteger="1" minValue="38546" maxValue="822995"/>
    </cacheField>
    <cacheField name="AUTRES SUBVENTIONS" numFmtId="0">
      <sharedItems containsString="0" containsBlank="1" containsNumber="1" minValue="0" maxValue="2455687.71"/>
    </cacheField>
    <cacheField name="ECART LBU y/c CAF" numFmtId="0">
      <sharedItems containsString="0" containsBlank="1" containsNumber="1" containsInteger="1" minValue="-2000000" maxValue="529000"/>
    </cacheField>
    <cacheField name="LBU / lgt_x000a_" numFmtId="165">
      <sharedItems containsBlank="1" containsMixedTypes="1" containsNumber="1" minValue="0" maxValue="46945.481481481482"/>
    </cacheField>
    <cacheField name="LBU+Défisc/lgt" numFmtId="165">
      <sharedItems containsBlank="1" containsMixedTypes="1" containsNumber="1" minValue="0" maxValue="81986.53333333334"/>
    </cacheField>
    <cacheField name="ECART LBU/lgt" numFmtId="165">
      <sharedItems containsBlank="1" containsMixedTypes="1" containsNumber="1" minValue="-15625" maxValue="23000"/>
    </cacheField>
    <cacheField name="Loyer max" numFmtId="4">
      <sharedItems containsString="0" containsBlank="1" containsNumber="1" minValue="4.9400000000000004" maxValue="6.74"/>
    </cacheField>
    <cacheField name="Loyer d'équilibre" numFmtId="4">
      <sharedItems containsString="0" containsBlank="1" containsNumber="1" minValue="4.8499999999999996" maxValue="6.3"/>
    </cacheField>
    <cacheField name="PRP FRAFU hors TVA résiduelle" numFmtId="165">
      <sharedItems containsString="0" containsBlank="1" containsNumber="1" minValue="0" maxValue="2467086.73961312"/>
    </cacheField>
    <cacheField name="FRAFU" numFmtId="165">
      <sharedItems containsString="0" containsBlank="1" containsNumber="1" minValue="0" maxValue="1660000"/>
    </cacheField>
    <cacheField name="AIDES ETAT / lgt" numFmtId="165">
      <sharedItems containsBlank="1" containsMixedTypes="1" containsNumber="1" minValue="0" maxValue="148599.5"/>
    </cacheField>
    <cacheField name="SUBVENTION COLLECTIVITE FRAFU" numFmtId="165">
      <sharedItems containsString="0" containsBlank="1" containsNumber="1" minValue="0" maxValue="1220907.39295"/>
    </cacheField>
    <cacheField name="AIDES PUBLIQUES / lgt" numFmtId="165">
      <sharedItems containsBlank="1" containsMixedTypes="1" containsNumber="1" minValue="0" maxValue="267168.17749999999"/>
    </cacheField>
    <cacheField name="% AIDES PUBLIQUES" numFmtId="9">
      <sharedItems containsBlank="1" containsMixedTypes="1" containsNumber="1" minValue="0" maxValue="0.62937481320481981"/>
    </cacheField>
    <cacheField name="CESSION FONCIERE" numFmtId="165">
      <sharedItems containsString="0" containsBlank="1" containsNumber="1" minValue="0" maxValue="770132.02990000008"/>
    </cacheField>
    <cacheField name="FONDS PROPRES FRAFU" numFmtId="165">
      <sharedItems containsNonDate="0" containsString="0" containsBlank="1"/>
    </cacheField>
    <cacheField name="FONDS PROPRES CONSTRUCTION" numFmtId="165">
      <sharedItems containsString="0" containsBlank="1" containsNumber="1" minValue="0" maxValue="406263"/>
    </cacheField>
    <cacheField name="PRP GLOBAL" numFmtId="43">
      <sharedItems containsString="0" containsBlank="1" containsNumber="1" minValue="0" maxValue="16831840.73961312"/>
    </cacheField>
    <cacheField name="HONORAIRES" numFmtId="3">
      <sharedItems containsString="0" containsBlank="1" containsNumber="1" minValue="79167" maxValue="965006"/>
    </cacheField>
    <cacheField name="CUMUL" numFmtId="3">
      <sharedItems containsString="0" containsBlank="1" containsNumber="1" minValue="0" maxValue="482504"/>
    </cacheField>
    <cacheField name="NH PROG" numFmtId="0">
      <sharedItems containsNonDate="0" containsDate="1" containsString="0" containsBlank="1" minDate="2009-12-14T00:00:00" maxDate="2017-12-05T00:00:00"/>
    </cacheField>
    <cacheField name="NH PROG 10%" numFmtId="3">
      <sharedItems containsString="0" containsBlank="1" containsNumber="1" containsInteger="1" minValue="0" maxValue="210013"/>
    </cacheField>
    <cacheField name="NH ESQ" numFmtId="0">
      <sharedItems containsNonDate="0" containsDate="1" containsString="0" containsBlank="1" minDate="2017-12-11T00:00:00" maxDate="2017-12-22T00:00:00"/>
    </cacheField>
    <cacheField name="NH ESQ 5%" numFmtId="0">
      <sharedItems containsString="0" containsBlank="1" containsNumber="1" containsInteger="1" minValue="7809" maxValue="20695"/>
    </cacheField>
    <cacheField name="NH APS" numFmtId="14">
      <sharedItems containsDate="1" containsBlank="1" containsMixedTypes="1" minDate="2004-02-28T00:00:00" maxDate="2018-03-27T00:00:00"/>
    </cacheField>
    <cacheField name="NH APS 5%" numFmtId="3">
      <sharedItems containsString="0" containsBlank="1" containsNumber="1" minValue="0" maxValue="51495"/>
    </cacheField>
    <cacheField name="NH PC" numFmtId="14">
      <sharedItems containsNonDate="0" containsDate="1" containsString="0" containsBlank="1" minDate="2011-12-15T00:00:00" maxDate="2018-02-15T00:00:00"/>
    </cacheField>
    <cacheField name="NH PC 10%" numFmtId="3">
      <sharedItems containsString="0" containsBlank="1" containsNumber="1" minValue="0" maxValue="121749"/>
    </cacheField>
    <cacheField name="NH APD" numFmtId="0">
      <sharedItems containsDate="1" containsBlank="1" containsMixedTypes="1" minDate="1932-06-11T00:00:00" maxDate="2018-06-22T00:00:00"/>
    </cacheField>
    <cacheField name="NH APD 10%" numFmtId="3">
      <sharedItems containsString="0" containsBlank="1" containsNumber="1" minValue="10005" maxValue="113602"/>
    </cacheField>
    <cacheField name="NH PRO" numFmtId="0">
      <sharedItems containsDate="1" containsBlank="1" containsMixedTypes="1" minDate="1900-01-02T23:49:04" maxDate="2018-07-10T00:00:00"/>
    </cacheField>
    <cacheField name="NH PRO 10%" numFmtId="3">
      <sharedItems containsString="0" containsBlank="1" containsNumber="1" containsInteger="1" minValue="0" maxValue="144751"/>
    </cacheField>
    <cacheField name="NH CAO" numFmtId="0">
      <sharedItems containsNonDate="0" containsString="0" containsBlank="1"/>
    </cacheField>
    <cacheField name="NH CAO 5%" numFmtId="0">
      <sharedItems containsNonDate="0" containsString="0" containsBlank="1"/>
    </cacheField>
    <cacheField name="NH VEFA" numFmtId="164">
      <sharedItems containsDate="1" containsBlank="1" containsMixedTypes="1" minDate="2016-07-13T00:00:00" maxDate="2017-12-22T00:00:00"/>
    </cacheField>
    <cacheField name="NH VEFA 5%" numFmtId="3">
      <sharedItems containsString="0" containsBlank="1" containsNumber="1" minValue="7178" maxValue="129228"/>
    </cacheField>
    <cacheField name="NH OS" numFmtId="164">
      <sharedItems containsDate="1" containsBlank="1" containsMixedTypes="1" minDate="2016-07-13T00:00:00" maxDate="2018-07-10T00:00:00"/>
    </cacheField>
    <cacheField name="NH OS 10%" numFmtId="3">
      <sharedItems containsString="0" containsBlank="1" containsNumber="1" minValue="14356" maxValue="68549"/>
    </cacheField>
    <cacheField name="NH Fondations" numFmtId="0">
      <sharedItems containsDate="1" containsBlank="1" containsMixedTypes="1" minDate="2016-07-13T00:00:00" maxDate="2018-08-22T00:00:00"/>
    </cacheField>
    <cacheField name="NH Fondations 5%" numFmtId="0">
      <sharedItems containsString="0" containsBlank="1" containsNumber="1" minValue="3735" maxValue="80260"/>
    </cacheField>
    <cacheField name="NH R+1" numFmtId="0">
      <sharedItems containsDate="1" containsBlank="1" containsMixedTypes="1" minDate="2016-10-17T00:00:00" maxDate="2018-07-11T00:00:00"/>
    </cacheField>
    <cacheField name="NH R+1 5%" numFmtId="0">
      <sharedItems containsString="0" containsBlank="1" containsNumber="1" minValue="5451" maxValue="67499"/>
    </cacheField>
    <cacheField name="NH HDE" numFmtId="0">
      <sharedItems containsNonDate="0" containsDate="1" containsString="0" containsBlank="1" minDate="2017-03-28T00:00:00" maxDate="2018-08-30T00:00:00"/>
    </cacheField>
    <cacheField name="NH HDE 5%" numFmtId="0">
      <sharedItems containsBlank="1" containsMixedTypes="1" containsNumber="1" minValue="5070.5345622119812" maxValue="16776"/>
    </cacheField>
    <cacheField name="NH HDA" numFmtId="0">
      <sharedItems containsDate="1" containsBlank="1" containsMixedTypes="1" minDate="2017-06-16T00:00:00" maxDate="1899-12-31T03:53:03"/>
    </cacheField>
    <cacheField name="NH HDA 5%" numFmtId="0">
      <sharedItems containsString="0" containsBlank="1" containsNumber="1" containsInteger="1" minValue="7555" maxValue="16845"/>
    </cacheField>
    <cacheField name="NH CLOISONS" numFmtId="0">
      <sharedItems containsDate="1" containsBlank="1" containsMixedTypes="1" minDate="2017-07-05T00:00:00" maxDate="2018-04-27T00:00:00"/>
    </cacheField>
    <cacheField name="NH Cloisons 5%" numFmtId="0">
      <sharedItems containsString="0" containsBlank="1" containsNumber="1" minValue="7198" maxValue="15909"/>
    </cacheField>
    <cacheField name="NH DAT" numFmtId="0">
      <sharedItems containsDate="1" containsBlank="1" containsMixedTypes="1" minDate="1900-01-01T17:25:04" maxDate="1900-01-04T02:52:04"/>
    </cacheField>
    <cacheField name="NH DAT 3%" numFmtId="0">
      <sharedItems containsString="0" containsBlank="1" containsNumber="1" minValue="2535.2626728110604" maxValue="21809"/>
    </cacheField>
    <cacheField name="NH RDC" numFmtId="0">
      <sharedItems containsNonDate="0" containsDate="1" containsString="0" containsBlank="1" minDate="2017-08-17T00:00:00" maxDate="2018-08-22T00:00:00"/>
    </cacheField>
    <cacheField name="NH RDC 2%" numFmtId="0">
      <sharedItems containsString="0" containsBlank="1" containsNumber="1" minValue="3717" maxValue="19717"/>
    </cacheField>
    <cacheField name="Bilan final" numFmtId="164">
      <sharedItems containsNonDate="0" containsDate="1" containsString="0" containsBlank="1" minDate="2018-02-12T00:00:00" maxDate="2018-02-13T00:00:00"/>
    </cacheField>
    <cacheField name="NH bilan 5%" numFmtId="0">
      <sharedItems containsString="0" containsBlank="1" containsNumber="1" containsInteger="1" minValue="4271" maxValue="42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">
  <r>
    <s v="DESIRE"/>
    <x v="0"/>
    <x v="0"/>
    <x v="0"/>
    <s v="PRLC 0099"/>
    <s v="FHO"/>
    <m/>
    <x v="0"/>
    <s v="oui"/>
    <m/>
    <s v="rétrocession voirie Mairie à faire : solliciter la Commune_x000a_"/>
    <m/>
    <m/>
    <m/>
    <n v="9556"/>
    <n v="407560.68000000005"/>
    <n v="222180"/>
    <n v="15094.840000000002"/>
    <n v="42.649715362076186"/>
    <n v="23.250313938886563"/>
    <n v="100.51347010789659"/>
    <n v="8228.8888888888887"/>
    <n v="353.92592592592592"/>
    <m/>
    <n v="0.23131540393470068"/>
    <s v="UC"/>
    <m/>
    <m/>
    <x v="0"/>
    <n v="27"/>
    <n v="27"/>
    <x v="0"/>
    <x v="0"/>
    <x v="0"/>
    <x v="0"/>
    <m/>
    <n v="2110.92"/>
    <m/>
    <n v="2210.4499999999998"/>
    <n v="81.868518518518513"/>
    <m/>
    <n v="0.22"/>
    <n v="0.3"/>
    <n v="0.3"/>
    <n v="0.19"/>
    <n v="1400"/>
    <m/>
    <n v="0"/>
    <n v="3"/>
    <s v="collectif"/>
    <s v="non"/>
    <m/>
    <m/>
    <m/>
    <d v="2011-09-30T00:00:00"/>
    <s v="SO"/>
    <s v="SO"/>
    <m/>
    <d v="2010-11-09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s v="SO"/>
    <m/>
    <s v="SO"/>
    <s v="SO"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x v="0"/>
    <x v="0"/>
    <n v="7.666666666666667"/>
    <s v="0"/>
    <n v="15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2-09-27T00:00:00"/>
    <d v="2013-07-09T00:00:00"/>
    <n v="9.5"/>
    <m/>
    <d v="2013-11-28T00:00:00"/>
    <s v="ok"/>
    <d v="2013-07-26T00:00:00"/>
    <m/>
    <d v="2012-10-27T00:00:00"/>
    <x v="0"/>
    <x v="0"/>
    <n v="9.0666666666666664"/>
    <n v="11101"/>
    <n v="100649.06666666667"/>
    <m/>
    <m/>
    <n v="1409"/>
    <m/>
    <m/>
    <m/>
    <m/>
    <m/>
    <s v="Lot Charpente : BCCM par CMOI_x000a_Lot Peinture/Sol : RSOP par Corail_x000a_Lot Etanchéité : RVD par Corail_x000a_Lot ECS : Sunzil par Gaia _x000a_Soit 4 lots / 14 lots  =  28 % "/>
    <m/>
    <m/>
    <m/>
    <m/>
    <m/>
    <m/>
    <m/>
    <m/>
    <d v="2014-07-09T00:00:00"/>
    <n v="51423"/>
    <s v="ok"/>
    <m/>
    <d v="2014-10-14T00:00:00"/>
    <s v="attente doc signé"/>
    <m/>
    <s v="SO"/>
    <m/>
    <s v="SO"/>
    <m/>
    <m/>
    <m/>
    <d v="2015-04-20T00:00:00"/>
    <d v="2016-02-24T00:00:00"/>
    <m/>
    <m/>
    <n v="3574937"/>
    <n v="3574937"/>
    <n v="0"/>
    <n v="1693.5445208724157"/>
    <n v="132405.07407407407"/>
    <m/>
    <n v="0"/>
    <n v="0"/>
    <n v="0"/>
    <m/>
    <n v="0"/>
    <n v="0"/>
    <m/>
    <n v="0"/>
    <n v="0"/>
    <n v="2306000"/>
    <n v="2306000"/>
    <n v="511146"/>
    <n v="1794854"/>
    <n v="0"/>
    <n v="85407.407407407401"/>
    <m/>
    <n v="1362028"/>
    <n v="1267528"/>
    <n v="94500"/>
    <n v="0.35455953489530023"/>
    <m/>
    <m/>
    <n v="0"/>
    <n v="46945.481481481482"/>
    <n v="46945.481481481482"/>
    <n v="0"/>
    <m/>
    <m/>
    <n v="1734704.6581725003"/>
    <n v="660000"/>
    <n v="71389.925925925927"/>
    <n v="767026.95965000009"/>
    <n v="99798.331838888887"/>
    <n v="0.52964624417787332"/>
    <n v="222180"/>
    <m/>
    <n v="1409"/>
    <n v="5309641.658172500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JULES VIENNE"/>
    <x v="0"/>
    <x v="0"/>
    <x v="0"/>
    <s v="PRLC 0098"/>
    <s v="FMA"/>
    <s v="SRI"/>
    <x v="0"/>
    <m/>
    <m/>
    <s v="vente des lots à faire : signature SICA en mai 2017_x000a_voie à rétrocéder à l'issue du contentieux"/>
    <m/>
    <m/>
    <m/>
    <n v="9462"/>
    <n v="874165.66"/>
    <n v="262890"/>
    <n v="29138.855333333333"/>
    <n v="92.386985838089203"/>
    <n v="27.783766645529486"/>
    <n v="117.46438848277958"/>
    <n v="8763"/>
    <n v="315.39999999999998"/>
    <n v="379.2"/>
    <n v="0.23652927499471571"/>
    <s v="UC"/>
    <m/>
    <m/>
    <x v="0"/>
    <n v="30"/>
    <n v="30"/>
    <x v="0"/>
    <x v="1"/>
    <x v="0"/>
    <x v="0"/>
    <m/>
    <n v="2238.04"/>
    <m/>
    <n v="2238.04"/>
    <n v="74.601333333333329"/>
    <m/>
    <n v="0.17"/>
    <n v="0.37"/>
    <n v="0.33"/>
    <n v="0.13"/>
    <n v="1419.56"/>
    <n v="664"/>
    <n v="7.0175438596491224E-2"/>
    <m/>
    <s v="collectif"/>
    <m/>
    <m/>
    <m/>
    <m/>
    <d v="2011-09-30T00:00:00"/>
    <s v="SO"/>
    <s v="SO"/>
    <m/>
    <d v="2010-11-09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s v="SO"/>
    <m/>
    <s v="SO"/>
    <s v="SO"/>
    <m/>
    <s v="SO"/>
    <s v="SO"/>
    <m/>
    <m/>
    <m/>
    <m/>
    <s v="0"/>
    <m/>
    <m/>
    <s v="0"/>
    <m/>
    <m/>
    <s v="0"/>
    <m/>
    <m/>
    <s v="0"/>
    <m/>
    <m/>
    <s v="0"/>
    <m/>
    <m/>
    <m/>
    <m/>
    <s v="0"/>
    <m/>
    <x v="1"/>
    <x v="1"/>
    <n v="15.133333333333333"/>
    <s v="0"/>
    <n v="15"/>
    <n v="21"/>
    <m/>
    <m/>
    <s v="0"/>
    <m/>
    <m/>
    <s v="0"/>
    <m/>
    <m/>
    <s v="0"/>
    <m/>
    <m/>
    <s v="0"/>
    <m/>
    <m/>
    <s v="0"/>
    <m/>
    <m/>
    <s v="0"/>
    <m/>
    <m/>
    <s v="0"/>
    <m/>
    <m/>
    <m/>
    <d v="2013-05-06T00:00:00"/>
    <d v="2013-11-23T00:00:00"/>
    <n v="6.7"/>
    <m/>
    <d v="2014-01-30T00:00:00"/>
    <s v="ok"/>
    <d v="2014-01-24T00:00:00"/>
    <m/>
    <d v="2013-06-06T00:00:00"/>
    <x v="1"/>
    <x v="1"/>
    <n v="7.7333333333333334"/>
    <n v="11928"/>
    <n v="92243.199999999997"/>
    <m/>
    <m/>
    <n v="70784"/>
    <m/>
    <m/>
    <m/>
    <m/>
    <m/>
    <s v="Lot Couverture : BCCM par GMF_x000a_soit 1 lot sur 14_x000a_2 RO"/>
    <m/>
    <m/>
    <m/>
    <m/>
    <s v="ok"/>
    <s v="ok"/>
    <m/>
    <d v="2016-11-23T00:00:00"/>
    <d v="2014-11-23T00:00:00"/>
    <n v="59348.24"/>
    <s v="ok"/>
    <m/>
    <d v="2014-10-13T00:00:00"/>
    <d v="2014-10-16T00:00:00"/>
    <m/>
    <m/>
    <m/>
    <s v="SO"/>
    <m/>
    <m/>
    <m/>
    <m/>
    <m/>
    <m/>
    <m/>
    <n v="3911389"/>
    <n v="3911389"/>
    <n v="0"/>
    <n v="1747.6850279709031"/>
    <n v="130379.63333333333"/>
    <m/>
    <m/>
    <n v="0"/>
    <n v="0"/>
    <m/>
    <n v="0"/>
    <n v="0"/>
    <m/>
    <n v="0"/>
    <n v="0"/>
    <n v="2481000"/>
    <n v="2481000"/>
    <n v="486094"/>
    <n v="1994906"/>
    <n v="0"/>
    <n v="82700"/>
    <m/>
    <n v="1359605"/>
    <n v="1359605"/>
    <m/>
    <n v="0.34760158092176463"/>
    <m/>
    <m/>
    <n v="0"/>
    <n v="45320.166666666664"/>
    <n v="45320.166666666664"/>
    <n v="0"/>
    <m/>
    <m/>
    <n v="2106869"/>
    <n v="550000"/>
    <n v="63653.5"/>
    <n v="1220907.39295"/>
    <n v="104350.41309833335"/>
    <n v="0.5439291445742479"/>
    <n v="262890"/>
    <m/>
    <n v="70784"/>
    <n v="6018258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Oiseaux du Paradis "/>
    <x v="1"/>
    <x v="0"/>
    <x v="1"/>
    <s v="PRLC 0123"/>
    <s v="NBL"/>
    <m/>
    <x v="0"/>
    <m/>
    <m/>
    <m/>
    <m/>
    <m/>
    <m/>
    <n v="4531"/>
    <n v="799078"/>
    <n v="799078"/>
    <n v="34742.521739130432"/>
    <n v="176.35797837122047"/>
    <n v="176.35797837122047"/>
    <n v="416.95086825847386"/>
    <n v="34742.521739130432"/>
    <n v="197"/>
    <m/>
    <n v="0.42297064665636724"/>
    <s v="U3"/>
    <m/>
    <m/>
    <x v="1"/>
    <n v="23"/>
    <n v="23"/>
    <x v="1"/>
    <x v="2"/>
    <x v="0"/>
    <x v="0"/>
    <n v="1916.48"/>
    <n v="1916.48"/>
    <n v="1916.48"/>
    <n v="1916.48"/>
    <n v="83.325217391304349"/>
    <m/>
    <m/>
    <m/>
    <m/>
    <m/>
    <m/>
    <m/>
    <n v="0"/>
    <n v="2.5"/>
    <s v="collectif"/>
    <s v="non"/>
    <n v="3772000"/>
    <m/>
    <m/>
    <d v="2011-09-30T00:00:00"/>
    <s v="INGEPAR"/>
    <s v="LS 12"/>
    <m/>
    <d v="2011-07-06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QUINOT"/>
    <d v="2012-12-21T00:00:00"/>
    <m/>
    <n v="3694417.2380019594"/>
    <s v="SO"/>
    <m/>
    <d v="2012-03-16T00:00:00"/>
    <d v="2013-03-31T00:00:00"/>
    <n v="4.0666666666666664"/>
    <m/>
    <m/>
    <m/>
    <s v="0"/>
    <m/>
    <m/>
    <s v="0"/>
    <m/>
    <m/>
    <s v="0"/>
    <m/>
    <m/>
    <s v="0"/>
    <m/>
    <m/>
    <s v="0"/>
    <m/>
    <m/>
    <m/>
    <m/>
    <s v="0"/>
    <m/>
    <x v="2"/>
    <x v="0"/>
    <n v="5.6"/>
    <s v="0"/>
    <n v="16"/>
    <n v="18"/>
    <m/>
    <m/>
    <s v="0"/>
    <m/>
    <m/>
    <s v="0"/>
    <m/>
    <m/>
    <s v="0"/>
    <m/>
    <m/>
    <s v="0"/>
    <m/>
    <m/>
    <s v="0"/>
    <m/>
    <m/>
    <s v="0"/>
    <m/>
    <m/>
    <s v="0"/>
    <m/>
    <m/>
    <m/>
    <d v="2013-04-21T00:00:00"/>
    <d v="2013-07-18T00:00:00"/>
    <n v="2.9333333333333331"/>
    <m/>
    <d v="2013-07-15T00:00:00"/>
    <s v="ok"/>
    <d v="2013-07-31T00:00:00"/>
    <m/>
    <d v="2013-05-21T00:00:00"/>
    <x v="2"/>
    <x v="0"/>
    <n v="2.3666666666666667"/>
    <n v="12116"/>
    <n v="28674.533333333333"/>
    <m/>
    <m/>
    <n v="0"/>
    <m/>
    <m/>
    <m/>
    <m/>
    <m/>
    <m/>
    <m/>
    <m/>
    <m/>
    <m/>
    <m/>
    <m/>
    <m/>
    <m/>
    <d v="2014-07-18T00:00:00"/>
    <n v="0"/>
    <s v="ok"/>
    <m/>
    <m/>
    <s v="25/09/2014 : à détailler plus"/>
    <m/>
    <s v="ok"/>
    <m/>
    <d v="2016-10-21T00:00:00"/>
    <m/>
    <m/>
    <m/>
    <s v="ok"/>
    <s v="ok"/>
    <m/>
    <m/>
    <n v="4024614"/>
    <n v="4024614"/>
    <n v="0"/>
    <n v="2100.0031307396894"/>
    <n v="174983.21739130435"/>
    <n v="3671820"/>
    <m/>
    <n v="-3671820"/>
    <n v="0.93150006932341833"/>
    <m/>
    <n v="1191366"/>
    <n v="1191366"/>
    <m/>
    <n v="51798.521739130432"/>
    <n v="0"/>
    <n v="2593661"/>
    <n v="2593661"/>
    <n v="592565"/>
    <n v="2001096"/>
    <n v="0"/>
    <n v="112767.86956521739"/>
    <n v="0"/>
    <n v="239587"/>
    <n v="239587"/>
    <m/>
    <n v="5.9530429502059078E-2"/>
    <m/>
    <n v="0"/>
    <n v="0"/>
    <n v="10416.826086956522"/>
    <n v="62215.34782608696"/>
    <n v="0"/>
    <m/>
    <m/>
    <n v="0"/>
    <n v="0"/>
    <n v="62215.34782608696"/>
    <n v="0"/>
    <n v="62215.34782608696"/>
    <n v="0.3555503707933233"/>
    <m/>
    <m/>
    <n v="0"/>
    <n v="4024614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Les Pechers "/>
    <x v="2"/>
    <x v="1"/>
    <x v="1"/>
    <s v="PRLC 0105"/>
    <s v="FMA"/>
    <s v="SRI"/>
    <x v="0"/>
    <m/>
    <m/>
    <m/>
    <m/>
    <m/>
    <m/>
    <n v="3280"/>
    <n v="700000"/>
    <n v="700000"/>
    <n v="35000"/>
    <n v="213.41463414634146"/>
    <n v="213.41463414634146"/>
    <n v="409.99209300963486"/>
    <n v="35000"/>
    <n v="164"/>
    <m/>
    <n v="0.52053353658536583"/>
    <s v="UC"/>
    <m/>
    <m/>
    <x v="1"/>
    <n v="20"/>
    <n v="20"/>
    <x v="2"/>
    <x v="2"/>
    <x v="0"/>
    <x v="0"/>
    <n v="1707.35"/>
    <n v="1707.35"/>
    <n v="1707.35"/>
    <n v="1707.35"/>
    <n v="85.367499999999993"/>
    <n v="0"/>
    <n v="0"/>
    <n v="0.1"/>
    <n v="0.9"/>
    <n v="0"/>
    <n v="461.7"/>
    <m/>
    <n v="0"/>
    <n v="2"/>
    <s v="collectif"/>
    <m/>
    <n v="3506440.94"/>
    <m/>
    <m/>
    <d v="2011-09-30T00:00:00"/>
    <s v="INGEPAR"/>
    <s v="LS 4"/>
    <m/>
    <d v="2011-06-28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BELLANGER"/>
    <d v="2012-12-22T00:00:00"/>
    <m/>
    <n v="3434319.2948090113"/>
    <s v="SO"/>
    <m/>
    <d v="2012-05-15T00:00:00"/>
    <d v="2013-07-22T00:00:00"/>
    <n v="1.7333333333333334"/>
    <m/>
    <m/>
    <m/>
    <s v="0"/>
    <m/>
    <m/>
    <s v="0"/>
    <m/>
    <m/>
    <s v="0"/>
    <m/>
    <m/>
    <s v="0"/>
    <m/>
    <m/>
    <s v="0"/>
    <m/>
    <m/>
    <m/>
    <m/>
    <s v="0"/>
    <m/>
    <x v="3"/>
    <x v="0"/>
    <n v="5.9"/>
    <s v="0"/>
    <n v="15"/>
    <n v="19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22T00:00:00"/>
    <d v="2013-08-14T00:00:00"/>
    <n v="4.833333333333333"/>
    <m/>
    <d v="2013-06-04T00:00:00"/>
    <s v="ok"/>
    <d v="2013-08-22T00:00:00"/>
    <m/>
    <d v="2013-04-22T00:00:00"/>
    <x v="3"/>
    <x v="0"/>
    <n v="4.7666666666666666"/>
    <n v="10566"/>
    <n v="50364.6"/>
    <m/>
    <m/>
    <n v="0"/>
    <m/>
    <m/>
    <m/>
    <m/>
    <m/>
    <m/>
    <m/>
    <m/>
    <m/>
    <m/>
    <m/>
    <m/>
    <m/>
    <m/>
    <d v="2014-08-14T00:00:00"/>
    <n v="0"/>
    <s v="13/10/14 DPR"/>
    <s v="ok"/>
    <s v="ok"/>
    <d v="2014-10-20T00:00:00"/>
    <m/>
    <s v="ok"/>
    <m/>
    <d v="2015-06-23T00:00:00"/>
    <m/>
    <m/>
    <m/>
    <s v="ok"/>
    <s v="ok"/>
    <m/>
    <m/>
    <n v="3732556"/>
    <n v="3732556"/>
    <n v="0"/>
    <n v="2186.1692095938151"/>
    <n v="186627.8"/>
    <n v="3491780"/>
    <m/>
    <n v="-3491780"/>
    <n v="0.95513835023506677"/>
    <m/>
    <n v="1090090"/>
    <n v="1090090"/>
    <m/>
    <n v="54504.5"/>
    <n v="0"/>
    <n v="2287466"/>
    <n v="2287466"/>
    <n v="616923"/>
    <n v="1670543"/>
    <n v="0"/>
    <n v="114373.3"/>
    <n v="0"/>
    <n v="355000"/>
    <n v="355000"/>
    <m/>
    <n v="9.5109088785272078E-2"/>
    <m/>
    <n v="0"/>
    <n v="0"/>
    <n v="17750"/>
    <n v="72254.5"/>
    <n v="0"/>
    <m/>
    <m/>
    <n v="0"/>
    <n v="0"/>
    <n v="72254.5"/>
    <n v="0"/>
    <n v="72254.5"/>
    <n v="0.38715829045833472"/>
    <m/>
    <m/>
    <n v="0"/>
    <n v="3732556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LLS  Les Rosiers "/>
    <x v="2"/>
    <x v="1"/>
    <x v="1"/>
    <s v="PRLC 0124"/>
    <m/>
    <m/>
    <x v="0"/>
    <m/>
    <m/>
    <m/>
    <m/>
    <m/>
    <m/>
    <n v="5169"/>
    <n v="908948"/>
    <n v="908948"/>
    <n v="6783.1940298507461"/>
    <n v="175.84600502998646"/>
    <n v="175.84600502998646"/>
    <n v="74.473290498499793"/>
    <n v="6783.1940298507461"/>
    <n v="38.57462686567164"/>
    <m/>
    <n v="2.3611955890887986"/>
    <s v="UB"/>
    <m/>
    <m/>
    <x v="1"/>
    <n v="51"/>
    <n v="51"/>
    <x v="3"/>
    <x v="2"/>
    <x v="0"/>
    <x v="0"/>
    <n v="4165.7300000000005"/>
    <n v="4837.3599999999997"/>
    <n v="4837.3599999999997"/>
    <n v="4837.3599999999997"/>
    <n v="94.850196078431367"/>
    <m/>
    <m/>
    <m/>
    <m/>
    <m/>
    <n v="900"/>
    <n v="0"/>
    <n v="0"/>
    <m/>
    <s v="collectif"/>
    <s v="oui"/>
    <n v="8947368.421052631"/>
    <m/>
    <m/>
    <d v="2011-09-30T00:00:00"/>
    <s v="INGEPAR"/>
    <s v="LS 11"/>
    <m/>
    <d v="2011-06-28T00:00:00"/>
    <d v="2015-11-09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BARET/GILLOT"/>
    <d v="2011-12-21T00:00:00"/>
    <m/>
    <n v="9794319.2948090117"/>
    <s v="SO"/>
    <m/>
    <d v="2012-09-24T00:00:00"/>
    <d v="2013-10-21T00:00:00"/>
    <n v="3.8333333333333335"/>
    <m/>
    <m/>
    <m/>
    <s v="0"/>
    <m/>
    <m/>
    <s v="0"/>
    <m/>
    <m/>
    <s v="0"/>
    <m/>
    <m/>
    <s v="0"/>
    <m/>
    <m/>
    <s v="0"/>
    <m/>
    <m/>
    <m/>
    <m/>
    <s v="0"/>
    <m/>
    <x v="2"/>
    <x v="0"/>
    <n v="5.8666666666666663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d v="2013-12-03T00:00:00"/>
    <s v="ok"/>
    <d v="2014-02-13T00:00:00"/>
    <m/>
    <d v="2013-11-21T00:00:00"/>
    <x v="4"/>
    <x v="1"/>
    <n v="2.8"/>
    <n v="30568"/>
    <n v="85590.399999999994"/>
    <m/>
    <m/>
    <n v="0"/>
    <m/>
    <m/>
    <m/>
    <m/>
    <m/>
    <m/>
    <m/>
    <m/>
    <m/>
    <m/>
    <m/>
    <m/>
    <m/>
    <m/>
    <d v="2014-10-21T00:00:00"/>
    <n v="0"/>
    <s v="14/10/14 DPR"/>
    <s v="ok"/>
    <m/>
    <m/>
    <m/>
    <m/>
    <m/>
    <d v="2015-04-27T00:00:00"/>
    <m/>
    <m/>
    <m/>
    <m/>
    <m/>
    <m/>
    <m/>
    <n v="9522775"/>
    <n v="9522775"/>
    <n v="0"/>
    <n v="1968.5892718342238"/>
    <n v="186721.07843137256"/>
    <m/>
    <m/>
    <n v="0"/>
    <n v="0"/>
    <m/>
    <n v="2932668"/>
    <n v="2932668"/>
    <m/>
    <n v="57503.294117647056"/>
    <n v="0"/>
    <n v="6290107"/>
    <n v="6290107"/>
    <n v="1887032"/>
    <n v="4403075"/>
    <n v="0"/>
    <n v="123335.43137254902"/>
    <n v="0"/>
    <n v="300000"/>
    <n v="300000"/>
    <m/>
    <n v="3.150342205922118E-2"/>
    <m/>
    <n v="0"/>
    <n v="0"/>
    <n v="5882.3529411764703"/>
    <n v="63385.647058823532"/>
    <n v="0"/>
    <m/>
    <m/>
    <n v="0"/>
    <n v="0"/>
    <n v="63385.647058823532"/>
    <n v="0"/>
    <n v="63385.647058823532"/>
    <n v="0.33946701460446144"/>
    <m/>
    <m/>
    <n v="0"/>
    <n v="9522775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LLTS Les Rosiers "/>
    <x v="2"/>
    <x v="1"/>
    <x v="1"/>
    <s v="PRLC 0124"/>
    <m/>
    <m/>
    <x v="0"/>
    <m/>
    <m/>
    <m/>
    <m/>
    <m/>
    <m/>
    <m/>
    <m/>
    <m/>
    <m/>
    <m/>
    <m/>
    <m/>
    <m/>
    <m/>
    <m/>
    <m/>
    <s v="UB"/>
    <m/>
    <m/>
    <x v="0"/>
    <n v="6"/>
    <n v="6"/>
    <x v="0"/>
    <x v="3"/>
    <x v="0"/>
    <x v="0"/>
    <n v="391.83999999999992"/>
    <n v="470.86"/>
    <n v="470.86"/>
    <n v="470.86"/>
    <n v="78.476666666666674"/>
    <m/>
    <m/>
    <m/>
    <m/>
    <m/>
    <m/>
    <n v="0"/>
    <e v="#DIV/0!"/>
    <m/>
    <s v="collectif"/>
    <s v="oui"/>
    <n v="1052631.5789473683"/>
    <m/>
    <m/>
    <d v="2011-09-30T00:00:00"/>
    <s v="INGEPAR"/>
    <s v="LS 11"/>
    <m/>
    <d v="2011-07-06T00:00:00"/>
    <d v="2015-11-09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d v="2012-12-21T00:00:00"/>
    <m/>
    <m/>
    <s v="SO"/>
    <m/>
    <d v="2012-09-24T00:00:00"/>
    <m/>
    <m/>
    <m/>
    <m/>
    <m/>
    <s v="0"/>
    <m/>
    <m/>
    <s v="0"/>
    <m/>
    <m/>
    <s v="0"/>
    <m/>
    <m/>
    <s v="0"/>
    <m/>
    <m/>
    <s v="0"/>
    <m/>
    <m/>
    <m/>
    <m/>
    <s v="0"/>
    <m/>
    <x v="2"/>
    <x v="0"/>
    <n v="5.6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d v="2013-12-03T00:00:00"/>
    <s v="ok"/>
    <d v="2014-02-13T00:00:00"/>
    <m/>
    <d v="2013-11-21T00:00:00"/>
    <x v="4"/>
    <x v="1"/>
    <n v="2.8"/>
    <n v="2502"/>
    <n v="7005.5999999999995"/>
    <m/>
    <m/>
    <n v="0"/>
    <m/>
    <m/>
    <m/>
    <m/>
    <m/>
    <m/>
    <m/>
    <m/>
    <m/>
    <m/>
    <m/>
    <m/>
    <m/>
    <m/>
    <d v="2014-10-21T00:00:00"/>
    <n v="0"/>
    <s v="14/10/14 DPR"/>
    <s v="ok"/>
    <m/>
    <m/>
    <m/>
    <m/>
    <m/>
    <d v="2015-04-27T00:00:00"/>
    <m/>
    <m/>
    <m/>
    <m/>
    <m/>
    <m/>
    <m/>
    <n v="926283"/>
    <n v="926283"/>
    <n v="0"/>
    <n v="1967.2153081595377"/>
    <n v="154380.5"/>
    <m/>
    <m/>
    <n v="0"/>
    <n v="0"/>
    <m/>
    <n v="340124"/>
    <n v="340124"/>
    <m/>
    <n v="56687.333333333336"/>
    <n v="0"/>
    <n v="486159"/>
    <n v="486159"/>
    <n v="145848"/>
    <n v="340311"/>
    <n v="0"/>
    <n v="81026.5"/>
    <n v="0"/>
    <n v="100000"/>
    <n v="100000"/>
    <m/>
    <n v="0.10795836693537504"/>
    <m/>
    <n v="0"/>
    <n v="0"/>
    <n v="16666.666666666668"/>
    <n v="73354"/>
    <n v="0"/>
    <m/>
    <m/>
    <n v="0"/>
    <n v="0"/>
    <n v="73354"/>
    <n v="0"/>
    <n v="73354"/>
    <n v="0.47515068289065004"/>
    <m/>
    <m/>
    <n v="0"/>
    <n v="92628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'titCanal         LLTS"/>
    <x v="3"/>
    <x v="2"/>
    <x v="1"/>
    <s v="PRLC 0094"/>
    <m/>
    <m/>
    <x v="0"/>
    <m/>
    <m/>
    <s v="rétrocession voirie Mairie à faire / DA en attente validation par Commune_x000a_DOE transmis à commune"/>
    <m/>
    <m/>
    <m/>
    <m/>
    <m/>
    <m/>
    <m/>
    <m/>
    <m/>
    <m/>
    <m/>
    <m/>
    <m/>
    <m/>
    <m/>
    <m/>
    <m/>
    <x v="0"/>
    <n v="16"/>
    <n v="16"/>
    <x v="0"/>
    <x v="4"/>
    <x v="0"/>
    <x v="0"/>
    <m/>
    <n v="1432.77"/>
    <m/>
    <n v="1432.77"/>
    <n v="89.548124999999999"/>
    <m/>
    <m/>
    <m/>
    <m/>
    <m/>
    <m/>
    <m/>
    <m/>
    <n v="2.5"/>
    <s v="collectif"/>
    <s v="oui"/>
    <m/>
    <m/>
    <m/>
    <d v="2011-09-30T00:00:00"/>
    <s v="INGEPAR"/>
    <s v="LS 5"/>
    <m/>
    <d v="2011-06-28T00:00:00"/>
    <d v="2015-10-14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d v="2012-12-23T00:00:00"/>
    <m/>
    <m/>
    <s v="SO"/>
    <m/>
    <d v="2012-08-16T00:00:00"/>
    <d v="2013-12-23T00:00:00"/>
    <n v="2.1666666666666665"/>
    <m/>
    <m/>
    <m/>
    <s v="0"/>
    <m/>
    <m/>
    <s v="0"/>
    <m/>
    <m/>
    <s v="0"/>
    <m/>
    <m/>
    <s v="0"/>
    <m/>
    <m/>
    <s v="0"/>
    <m/>
    <m/>
    <m/>
    <m/>
    <s v="0"/>
    <m/>
    <x v="4"/>
    <x v="1"/>
    <n v="7.2666666666666666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d v="2014-02-19T00:00:00"/>
    <s v="ok"/>
    <d v="2014-02-26T00:00:00"/>
    <m/>
    <d v="2013-04-01T00:00:00"/>
    <x v="5"/>
    <x v="1"/>
    <n v="11.033333333333333"/>
    <n v="7110"/>
    <n v="78447"/>
    <m/>
    <m/>
    <n v="0"/>
    <m/>
    <m/>
    <m/>
    <m/>
    <m/>
    <m/>
    <m/>
    <m/>
    <m/>
    <m/>
    <m/>
    <m/>
    <d v="2014-05-28T00:00:00"/>
    <m/>
    <d v="2015-02-18T00:00:00"/>
    <n v="35103.575989752957"/>
    <s v="ok"/>
    <m/>
    <d v="2014-10-07T00:00:00"/>
    <d v="2014-10-09T00:00:00"/>
    <m/>
    <s v="ok"/>
    <m/>
    <d v="2015-10-13T00:00:00"/>
    <m/>
    <m/>
    <m/>
    <s v="ok"/>
    <s v="ok"/>
    <m/>
    <m/>
    <n v="2817333"/>
    <n v="2817333"/>
    <n v="0"/>
    <n v="1966.3539856362152"/>
    <n v="176083.3125"/>
    <m/>
    <m/>
    <n v="0"/>
    <n v="0"/>
    <m/>
    <n v="853424"/>
    <n v="853424"/>
    <m/>
    <n v="53339"/>
    <n v="0"/>
    <n v="1530227"/>
    <n v="1530227"/>
    <n v="304961"/>
    <n v="1225266"/>
    <n v="0"/>
    <n v="95639.1875"/>
    <n v="0"/>
    <n v="421063"/>
    <n v="380000"/>
    <m/>
    <n v="0.13487933446277028"/>
    <m/>
    <n v="53682"/>
    <n v="-41063"/>
    <n v="23750"/>
    <n v="77089"/>
    <n v="-2566.4375"/>
    <m/>
    <m/>
    <n v="0"/>
    <n v="0"/>
    <n v="77089"/>
    <n v="0"/>
    <n v="77089"/>
    <n v="0.46171877778297693"/>
    <n v="145958"/>
    <m/>
    <n v="0"/>
    <n v="281733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'titCanal  LLS       "/>
    <x v="3"/>
    <x v="2"/>
    <x v="1"/>
    <s v="PRLC 0094"/>
    <m/>
    <m/>
    <x v="0"/>
    <m/>
    <m/>
    <s v="rétrocession voirie Mairie à faire / DA en attente validation par Commune_x000a_DOE transmis à commune"/>
    <m/>
    <m/>
    <m/>
    <n v="8131"/>
    <n v="227747.25"/>
    <n v="178042"/>
    <e v="#REF!"/>
    <n v="28.009746648628706"/>
    <n v="21.896691673840856"/>
    <e v="#REF!"/>
    <e v="#REF!"/>
    <e v="#REF!"/>
    <n v="1079"/>
    <e v="#REF!"/>
    <s v="UC"/>
    <m/>
    <m/>
    <x v="1"/>
    <n v="4"/>
    <n v="4"/>
    <x v="4"/>
    <x v="2"/>
    <x v="0"/>
    <x v="0"/>
    <m/>
    <n v="317.76"/>
    <m/>
    <n v="317.76"/>
    <n v="79.44"/>
    <m/>
    <m/>
    <m/>
    <m/>
    <m/>
    <n v="2180"/>
    <n v="850"/>
    <n v="0.10453818718484811"/>
    <n v="2.5"/>
    <s v="collectif"/>
    <s v="oui"/>
    <m/>
    <m/>
    <m/>
    <d v="2011-09-30T00:00:00"/>
    <s v="INGEPAR"/>
    <s v="LS 5"/>
    <m/>
    <d v="2011-07-06T00:00:00"/>
    <d v="2015-10-14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LE GOFF"/>
    <d v="2012-12-23T00:00:00"/>
    <m/>
    <m/>
    <s v="SO"/>
    <m/>
    <d v="2012-08-16T00:00:00"/>
    <m/>
    <m/>
    <m/>
    <m/>
    <m/>
    <s v="0"/>
    <m/>
    <m/>
    <s v="0"/>
    <m/>
    <m/>
    <s v="0"/>
    <m/>
    <m/>
    <s v="0"/>
    <m/>
    <m/>
    <s v="0"/>
    <m/>
    <m/>
    <m/>
    <m/>
    <s v="0"/>
    <m/>
    <x v="4"/>
    <x v="1"/>
    <n v="7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d v="2014-02-19T00:00:00"/>
    <s v="ok"/>
    <d v="2014-02-26T00:00:00"/>
    <m/>
    <d v="2013-04-01T00:00:00"/>
    <x v="5"/>
    <x v="1"/>
    <n v="11.033333333333333"/>
    <n v="2035"/>
    <n v="22452.833333333332"/>
    <m/>
    <m/>
    <n v="0"/>
    <m/>
    <m/>
    <m/>
    <m/>
    <m/>
    <m/>
    <m/>
    <m/>
    <m/>
    <m/>
    <m/>
    <m/>
    <d v="2014-05-28T00:00:00"/>
    <m/>
    <d v="2015-02-18T00:00:00"/>
    <n v="7942.4140102470437"/>
    <s v="ok"/>
    <m/>
    <d v="2014-10-07T00:00:00"/>
    <d v="2014-10-09T00:00:00"/>
    <m/>
    <s v="ok"/>
    <m/>
    <d v="2015-10-13T00:00:00"/>
    <m/>
    <m/>
    <m/>
    <m/>
    <m/>
    <m/>
    <m/>
    <n v="642137"/>
    <n v="642137"/>
    <n v="0"/>
    <n v="2020.8238922457201"/>
    <n v="160534.25"/>
    <m/>
    <m/>
    <n v="0"/>
    <n v="0"/>
    <m/>
    <n v="75000"/>
    <n v="75000"/>
    <m/>
    <n v="18750"/>
    <n v="0"/>
    <n v="335412"/>
    <n v="335412"/>
    <n v="85556"/>
    <n v="249856"/>
    <n v="0"/>
    <n v="83853"/>
    <n v="100000"/>
    <n v="119398"/>
    <n v="119398"/>
    <m/>
    <n v="0.18593851467833189"/>
    <m/>
    <n v="12327"/>
    <n v="0"/>
    <n v="29849.5"/>
    <n v="48599.5"/>
    <n v="0"/>
    <m/>
    <m/>
    <n v="1087937.9071325003"/>
    <n v="400000"/>
    <n v="148599.5"/>
    <n v="474274.71"/>
    <n v="267168.17749999999"/>
    <n v="0.62937481320481981"/>
    <n v="32084"/>
    <m/>
    <n v="0"/>
    <n v="1730074.907132500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Lavoir "/>
    <x v="3"/>
    <x v="2"/>
    <x v="1"/>
    <s v="PRLC 0100"/>
    <s v="YFR"/>
    <s v="NLE"/>
    <x v="0"/>
    <m/>
    <m/>
    <m/>
    <m/>
    <m/>
    <m/>
    <n v="2405"/>
    <n v="133800"/>
    <n v="120788"/>
    <n v="9557.1428571428569"/>
    <n v="55.634095634095637"/>
    <n v="50.223700623700623"/>
    <n v="115.00004760408635"/>
    <n v="8627.7142857142862"/>
    <n v="171.78571428571428"/>
    <m/>
    <n v="0.43672765072765068"/>
    <s v="UC"/>
    <m/>
    <m/>
    <x v="0"/>
    <n v="14"/>
    <n v="14"/>
    <x v="0"/>
    <x v="5"/>
    <x v="0"/>
    <x v="0"/>
    <m/>
    <n v="1050.33"/>
    <m/>
    <n v="1050.33"/>
    <n v="75.023571428571429"/>
    <m/>
    <m/>
    <m/>
    <m/>
    <m/>
    <n v="600"/>
    <s v="x"/>
    <e v="#VALUE!"/>
    <n v="2"/>
    <s v="collectif"/>
    <s v="oui"/>
    <m/>
    <m/>
    <m/>
    <d v="2011-09-30T00:00:00"/>
    <s v="SO"/>
    <s v="SO"/>
    <m/>
    <d v="2011-12-07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s v="SO"/>
    <m/>
    <s v="SO"/>
    <s v="SO"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x v="5"/>
    <x v="1"/>
    <n v="2.8666666666666667"/>
    <s v="0"/>
    <n v="12"/>
    <n v="20"/>
    <m/>
    <m/>
    <s v="0"/>
    <m/>
    <m/>
    <s v="0"/>
    <m/>
    <d v="2018-09-05T00:00:00"/>
    <s v="0"/>
    <m/>
    <m/>
    <s v="0"/>
    <m/>
    <m/>
    <s v="0"/>
    <m/>
    <m/>
    <s v="0"/>
    <m/>
    <m/>
    <s v="0"/>
    <m/>
    <m/>
    <m/>
    <d v="2013-03-02T00:00:00"/>
    <d v="2013-11-05T00:00:00"/>
    <n v="8.2666666666666675"/>
    <m/>
    <d v="2013-12-19T00:00:00"/>
    <s v="ok"/>
    <d v="2014-05-15T00:00:00"/>
    <m/>
    <d v="2013-04-02T00:00:00"/>
    <x v="6"/>
    <x v="1"/>
    <n v="13.6"/>
    <n v="5964"/>
    <n v="81110.399999999994"/>
    <m/>
    <m/>
    <n v="253357.88"/>
    <m/>
    <m/>
    <m/>
    <m/>
    <m/>
    <s v="Lot GO : Dunite btp par CH2D_x000a_Lot Métallerie : Sodure par Espace alu_x000a_Soit 2 sur 14 lots = 14%_x000a_4 RO"/>
    <m/>
    <m/>
    <m/>
    <m/>
    <m/>
    <m/>
    <d v="2014-01-22T00:00:00"/>
    <s v="ok"/>
    <d v="2014-11-05T00:00:00"/>
    <n v="31451.360000000001"/>
    <s v="ok"/>
    <m/>
    <d v="2014-10-07T00:00:00"/>
    <d v="2014-10-13T00:00:00"/>
    <m/>
    <m/>
    <m/>
    <s v="SO"/>
    <m/>
    <m/>
    <m/>
    <m/>
    <m/>
    <m/>
    <m/>
    <n v="2230353.88"/>
    <n v="2230353.88"/>
    <n v="0"/>
    <n v="2123.4791732122285"/>
    <n v="159310.99142857143"/>
    <m/>
    <n v="0"/>
    <n v="0"/>
    <n v="0"/>
    <m/>
    <n v="0"/>
    <n v="0"/>
    <m/>
    <n v="0"/>
    <n v="0"/>
    <n v="1285412"/>
    <n v="1285412"/>
    <n v="305730"/>
    <n v="979682"/>
    <n v="0"/>
    <n v="91815.142857142855"/>
    <m/>
    <n v="620464"/>
    <n v="620464"/>
    <n v="70000"/>
    <n v="0.27819083131328021"/>
    <m/>
    <n v="1120"/>
    <n v="0"/>
    <n v="44318.857142857145"/>
    <n v="44318.857142857145"/>
    <n v="0"/>
    <m/>
    <m/>
    <n v="715424.22886499984"/>
    <n v="280000"/>
    <n v="64318.857142857145"/>
    <n v="259894.04"/>
    <n v="82882.717142857146"/>
    <n v="0.41111677977683803"/>
    <n v="123324.49695"/>
    <m/>
    <n v="253357.88"/>
    <n v="2945778.1088649998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Desiré 2"/>
    <x v="0"/>
    <x v="0"/>
    <x v="2"/>
    <s v="PRLC 0133"/>
    <s v="YFR"/>
    <m/>
    <x v="0"/>
    <m/>
    <m/>
    <m/>
    <m/>
    <m/>
    <m/>
    <n v="606"/>
    <n v="89040"/>
    <n v="51520"/>
    <n v="12720"/>
    <n v="146.93069306930693"/>
    <n v="85.016501650165011"/>
    <n v="96.464949071300168"/>
    <n v="7360"/>
    <n v="86.571428571428569"/>
    <n v="300"/>
    <n v="0.88132013201320136"/>
    <s v="UC"/>
    <n v="606"/>
    <m/>
    <x v="0"/>
    <n v="7"/>
    <n v="7"/>
    <x v="0"/>
    <x v="6"/>
    <x v="0"/>
    <x v="0"/>
    <m/>
    <n v="534.08000000000004"/>
    <m/>
    <n v="534.08000000000004"/>
    <n v="76.297142857142859"/>
    <m/>
    <n v="0.2857142857142857"/>
    <n v="0.5714285714285714"/>
    <n v="0.14285714285714285"/>
    <m/>
    <n v="217.58"/>
    <n v="238"/>
    <n v="0.39273927392739272"/>
    <n v="2"/>
    <s v="collectif"/>
    <m/>
    <m/>
    <m/>
    <m/>
    <d v="2012-02-24T00:00:00"/>
    <s v="OFOI"/>
    <s v="LOGIS 3"/>
    <m/>
    <d v="2012-09-19T00:00:00"/>
    <m/>
    <m/>
    <d v="2012-11-12T00:00:00"/>
    <m/>
    <m/>
    <m/>
    <m/>
    <m/>
    <m/>
    <d v="1901-12-31T00:00:00"/>
    <d v="1902-12-31T00:00:00"/>
    <m/>
    <s v="non"/>
    <e v="#NUM!"/>
    <e v="#NUM!"/>
    <e v="#NUM!"/>
    <m/>
    <m/>
    <m/>
    <m/>
    <m/>
    <m/>
    <s v="LE GOFF"/>
    <d v="2012-12-12T00:00:00"/>
    <m/>
    <n v="1051215.9099999999"/>
    <d v="2014-06-12T00:00:00"/>
    <m/>
    <d v="2013-12-04T00:00:00"/>
    <d v="2014-07-15T00:00:00"/>
    <n v="1.9666666666666666"/>
    <m/>
    <m/>
    <m/>
    <s v="0"/>
    <m/>
    <m/>
    <s v="0"/>
    <m/>
    <m/>
    <s v="0"/>
    <m/>
    <m/>
    <s v="0"/>
    <m/>
    <m/>
    <s v="0"/>
    <m/>
    <m/>
    <m/>
    <m/>
    <s v="0"/>
    <m/>
    <x v="6"/>
    <x v="2"/>
    <n v="7.6333333333333337"/>
    <s v="0"/>
    <n v="10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6T00:00:00"/>
    <d v="2014-07-11T00:00:00"/>
    <n v="4.2333333333333334"/>
    <m/>
    <d v="2014-09-01T00:00:00"/>
    <s v="ok"/>
    <d v="2014-09-12T00:00:00"/>
    <m/>
    <d v="2014-04-06T00:00:00"/>
    <x v="7"/>
    <x v="1"/>
    <n v="5.3"/>
    <n v="2815.5833333333335"/>
    <n v="14922.591666666667"/>
    <m/>
    <m/>
    <n v="50607"/>
    <m/>
    <m/>
    <m/>
    <m/>
    <m/>
    <m/>
    <m/>
    <m/>
    <m/>
    <m/>
    <m/>
    <m/>
    <s v="ok"/>
    <d v="2015-03-19T00:00:00"/>
    <d v="2015-07-11T00:00:00"/>
    <n v="10711"/>
    <d v="2014-10-03T00:00:00"/>
    <d v="2014-10-06T00:00:00"/>
    <s v="ok"/>
    <d v="2015-12-08T00:00:00"/>
    <m/>
    <s v="ok"/>
    <s v="ok"/>
    <m/>
    <d v="2017-04-26T00:00:00"/>
    <s v="ok"/>
    <m/>
    <s v="ok"/>
    <s v="ok"/>
    <m/>
    <m/>
    <n v="1127563"/>
    <n v="1127563"/>
    <n v="0"/>
    <n v="2111.2249101258235"/>
    <n v="161080.42857142858"/>
    <n v="970725"/>
    <m/>
    <n v="-970725"/>
    <n v="0.87898434499890454"/>
    <m/>
    <n v="294297"/>
    <n v="294297"/>
    <m/>
    <n v="42042.428571428572"/>
    <n v="0"/>
    <n v="604971"/>
    <n v="604971"/>
    <n v="112853"/>
    <n v="492118"/>
    <n v="0"/>
    <n v="86424.428571428565"/>
    <n v="0"/>
    <n v="177688"/>
    <n v="177688"/>
    <m/>
    <n v="0.15758587325054121"/>
    <m/>
    <n v="0"/>
    <n v="0"/>
    <n v="25384"/>
    <n v="67426.428571428565"/>
    <n v="0"/>
    <m/>
    <m/>
    <n v="176884.08837750001"/>
    <n v="119543.69426743503"/>
    <n v="84504.099181062149"/>
    <n v="0"/>
    <n v="84504.099181062149"/>
    <n v="0.47252544420817433"/>
    <n v="52601.919999999998"/>
    <m/>
    <n v="50607"/>
    <n v="1304447.0883775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Avenue Raymond Barre "/>
    <x v="4"/>
    <x v="0"/>
    <x v="2"/>
    <s v="PRLC 0116"/>
    <s v="FHO"/>
    <s v="EGI"/>
    <x v="0"/>
    <s v="oui"/>
    <m/>
    <m/>
    <m/>
    <m/>
    <m/>
    <n v="2671"/>
    <n v="176000"/>
    <n v="110833"/>
    <n v="12571.428571428571"/>
    <n v="65.89292399850244"/>
    <n v="41.494945713216026"/>
    <n v="99.936881779573142"/>
    <n v="7916.6428571428569"/>
    <n v="190.78571428571428"/>
    <n v="748.11"/>
    <n v="0.41521153126169974"/>
    <s v="UC"/>
    <m/>
    <m/>
    <x v="0"/>
    <n v="14"/>
    <n v="14"/>
    <x v="0"/>
    <x v="5"/>
    <x v="0"/>
    <x v="0"/>
    <m/>
    <n v="1109.03"/>
    <m/>
    <n v="1109.03"/>
    <n v="79.216428571428565"/>
    <n v="0.21428571428571427"/>
    <n v="0.21428571428571427"/>
    <n v="0.42857142857142855"/>
    <n v="7.1428571428571425E-2"/>
    <n v="7.1428571428571425E-2"/>
    <n v="1000"/>
    <m/>
    <n v="0"/>
    <n v="3"/>
    <s v="collectif"/>
    <m/>
    <m/>
    <m/>
    <m/>
    <d v="2012-02-24T00:00:00"/>
    <s v="OFOI"/>
    <s v="LOGIS 3"/>
    <m/>
    <d v="2012-09-18T00:00:00"/>
    <m/>
    <m/>
    <d v="2012-12-05T00:00:00"/>
    <m/>
    <m/>
    <m/>
    <m/>
    <m/>
    <m/>
    <d v="1901-12-31T00:00:00"/>
    <d v="1902-12-31T00:00:00"/>
    <m/>
    <s v="non"/>
    <e v="#NUM!"/>
    <e v="#NUM!"/>
    <e v="#NUM!"/>
    <m/>
    <m/>
    <m/>
    <m/>
    <m/>
    <m/>
    <s v="LE GOFF"/>
    <d v="2012-12-12T00:00:00"/>
    <m/>
    <n v="2312263.67"/>
    <d v="2014-06-12T00:00:00"/>
    <m/>
    <d v="2013-07-12T00:00:00"/>
    <d v="2014-09-15T00:00:00"/>
    <n v="1.6666666666666667"/>
    <m/>
    <m/>
    <m/>
    <s v="0"/>
    <m/>
    <m/>
    <s v="0"/>
    <m/>
    <m/>
    <s v="0"/>
    <m/>
    <m/>
    <s v="0"/>
    <m/>
    <m/>
    <s v="0"/>
    <m/>
    <m/>
    <m/>
    <m/>
    <s v="0"/>
    <m/>
    <x v="7"/>
    <x v="2"/>
    <n v="4.6333333333333337"/>
    <s v="0"/>
    <n v="13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4T00:00:00"/>
    <d v="2014-10-31T00:00:00"/>
    <n v="8.0333333333333332"/>
    <m/>
    <d v="2014-12-10T00:00:00"/>
    <s v="ok"/>
    <d v="2014-11-06T00:00:00"/>
    <m/>
    <d v="2014-04-04T00:00:00"/>
    <x v="8"/>
    <x v="1"/>
    <n v="7.1333333333333337"/>
    <n v="5777.4969208543998"/>
    <n v="41212.811368761388"/>
    <m/>
    <m/>
    <n v="123760"/>
    <m/>
    <m/>
    <m/>
    <m/>
    <m/>
    <s v="Lot Cloison : SPB par CPR_x000a_Lot Etanchéité : RSOP par Corail_x000a_Lot Sol souple : RSOP par Corail_x000a_Lot peinture : RSOP par Marine Peinture_x000a_Soit 4 lots sur 15 lots = 26 %"/>
    <m/>
    <m/>
    <m/>
    <m/>
    <m/>
    <m/>
    <s v="ok"/>
    <m/>
    <s v=" "/>
    <n v="19707.689999999999"/>
    <d v="2014-11-26T00:00:00"/>
    <d v="2014-12-11T00:00:00"/>
    <d v="2015-11-16T00:00:00"/>
    <d v="2015-11-16T00:00:00"/>
    <m/>
    <s v="SO"/>
    <d v="2016-02-26T00:00:00"/>
    <d v="2017-06-20T00:00:00"/>
    <m/>
    <s v="ok"/>
    <m/>
    <d v="2016-02-26T00:00:00"/>
    <m/>
    <m/>
    <m/>
    <n v="2368881"/>
    <n v="2368881"/>
    <n v="0"/>
    <n v="2135.9936160428483"/>
    <n v="169205.78571428571"/>
    <m/>
    <n v="2068826"/>
    <n v="2068826"/>
    <n v="0"/>
    <m/>
    <n v="745095"/>
    <n v="745095"/>
    <m/>
    <n v="53221.071428571428"/>
    <n v="0"/>
    <n v="1240121"/>
    <n v="1240121"/>
    <n v="347814"/>
    <n v="892307"/>
    <n v="0"/>
    <n v="88580.071428571435"/>
    <n v="100000"/>
    <n v="159905"/>
    <n v="89905"/>
    <n v="70000"/>
    <n v="3.7952518509794288E-2"/>
    <m/>
    <n v="0"/>
    <n v="0"/>
    <n v="6421.7857142857147"/>
    <n v="59642.857142857145"/>
    <n v="0"/>
    <m/>
    <m/>
    <n v="339632.49384750001"/>
    <n v="210000"/>
    <n v="74642.857142857145"/>
    <n v="0"/>
    <n v="74642.857142857145"/>
    <n v="0.40351792401683728"/>
    <n v="118789.62334999999"/>
    <m/>
    <n v="123760"/>
    <n v="2708513.4938475001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Sceau de Salomon "/>
    <x v="2"/>
    <x v="1"/>
    <x v="2"/>
    <s v="PRLC 0128"/>
    <m/>
    <s v="DBE"/>
    <x v="0"/>
    <m/>
    <m/>
    <m/>
    <m/>
    <m/>
    <m/>
    <n v="7275"/>
    <n v="773000"/>
    <n v="773000"/>
    <n v="9202.3809523809523"/>
    <n v="106.25429553264605"/>
    <n v="106.25429553264605"/>
    <n v="168.94476183815397"/>
    <n v="9202.3809523809523"/>
    <n v="86.607142857142861"/>
    <m/>
    <n v="0.62892920962199317"/>
    <s v="UB"/>
    <n v="530"/>
    <n v="0.1"/>
    <x v="1"/>
    <n v="84"/>
    <n v="84"/>
    <x v="5"/>
    <x v="2"/>
    <x v="0"/>
    <x v="0"/>
    <m/>
    <n v="4575.46"/>
    <m/>
    <n v="4575.46"/>
    <n v="54.469761904761903"/>
    <m/>
    <m/>
    <m/>
    <m/>
    <m/>
    <n v="2038"/>
    <n v="0"/>
    <n v="0"/>
    <n v="4"/>
    <s v="collectif"/>
    <m/>
    <m/>
    <m/>
    <m/>
    <d v="2012-02-24T00:00:00"/>
    <s v="INGEPAR"/>
    <s v="LS 55"/>
    <m/>
    <d v="2012-08-23T00:00:00"/>
    <d v="2016-04-21T00:00:00"/>
    <m/>
    <d v="2012-10-17T00:00:00"/>
    <m/>
    <m/>
    <m/>
    <m/>
    <m/>
    <m/>
    <d v="1901-12-31T00:00:00"/>
    <d v="1902-12-31T00:00:00"/>
    <m/>
    <s v="oui"/>
    <e v="#NUM!"/>
    <e v="#NUM!"/>
    <e v="#NUM!"/>
    <m/>
    <m/>
    <m/>
    <m/>
    <m/>
    <m/>
    <s v="MAREL"/>
    <d v="2012-12-27T00:00:00"/>
    <s v="ok"/>
    <n v="9461576.1300000008"/>
    <d v="2014-06-27T00:00:00"/>
    <d v="2014-12-27T00:00:00"/>
    <d v="2013-10-02T00:00:00"/>
    <d v="2015-05-14T00:00:00"/>
    <n v="-6.1"/>
    <m/>
    <m/>
    <m/>
    <s v="0"/>
    <m/>
    <m/>
    <s v="0"/>
    <m/>
    <m/>
    <s v="0"/>
    <m/>
    <m/>
    <s v="0"/>
    <m/>
    <m/>
    <s v="0"/>
    <m/>
    <m/>
    <m/>
    <m/>
    <s v="0"/>
    <m/>
    <x v="8"/>
    <x v="2"/>
    <n v="5.0333333333333332"/>
    <s v="0"/>
    <n v="19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8-21T00:00:00"/>
    <d v="2014-10-15T00:00:00"/>
    <n v="1.8333333333333333"/>
    <m/>
    <d v="2014-10-23T00:00:00"/>
    <s v="ok"/>
    <d v="2014-11-12T00:00:00"/>
    <m/>
    <d v="2014-09-21T00:00:00"/>
    <x v="9"/>
    <x v="1"/>
    <n v="1.7333333333333334"/>
    <n v="33642.054927489415"/>
    <n v="58312.895207648318"/>
    <m/>
    <m/>
    <n v="0"/>
    <m/>
    <m/>
    <m/>
    <m/>
    <m/>
    <m/>
    <m/>
    <m/>
    <m/>
    <m/>
    <m/>
    <m/>
    <m/>
    <d v="2015-09-03T00:00:00"/>
    <d v="2015-10-15T00:00:00"/>
    <n v="90420"/>
    <d v="2014-11-25T00:00:00"/>
    <d v="2014-11-26T00:00:00"/>
    <s v="ok"/>
    <d v="2015-10-29T00:00:00"/>
    <m/>
    <m/>
    <s v="ok"/>
    <d v="2016-04-15T00:00:00"/>
    <m/>
    <m/>
    <m/>
    <d v="2015-08-03T00:00:00"/>
    <m/>
    <m/>
    <m/>
    <n v="9756378.3699999992"/>
    <n v="9756378.3699999992"/>
    <n v="0"/>
    <n v="2132.327322280164"/>
    <n v="116147.36154761903"/>
    <n v="8749715"/>
    <m/>
    <n v="-8749715"/>
    <n v="0.91565319386029509"/>
    <m/>
    <n v="3263643"/>
    <n v="3263643"/>
    <m/>
    <n v="38852.892857142855"/>
    <n v="0"/>
    <n v="6429606.3699999992"/>
    <n v="6429606.3699999992"/>
    <n v="1639468.02"/>
    <n v="4790138.3499999996"/>
    <n v="0"/>
    <n v="76542.932976190466"/>
    <n v="0"/>
    <n v="1"/>
    <n v="1"/>
    <m/>
    <n v="1.0249704983510188E-7"/>
    <m/>
    <n v="63128"/>
    <n v="0"/>
    <n v="1.1904761904761904E-2"/>
    <n v="38852.904761904763"/>
    <n v="0"/>
    <m/>
    <m/>
    <n v="0"/>
    <n v="0"/>
    <n v="38852.904761904763"/>
    <n v="0"/>
    <n v="38852.904761904763"/>
    <n v="0.33451388171203122"/>
    <m/>
    <m/>
    <n v="0"/>
    <n v="9756378.3699999992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Harry PAYET (Les Mimosas)"/>
    <x v="2"/>
    <x v="1"/>
    <x v="2"/>
    <s v="PRLC 0114"/>
    <s v="FHO"/>
    <s v="MMA"/>
    <x v="0"/>
    <s v="dossier transmis"/>
    <m/>
    <m/>
    <m/>
    <m/>
    <m/>
    <n v="8821"/>
    <n v="530000"/>
    <n v="289110"/>
    <n v="13250"/>
    <n v="60.083890715338399"/>
    <n v="32.775195556059401"/>
    <n v="111.55441514093337"/>
    <n v="7227.75"/>
    <n v="220.52500000000001"/>
    <m/>
    <n v="0.29380455730642785"/>
    <s v="UC"/>
    <m/>
    <m/>
    <x v="0"/>
    <n v="40"/>
    <n v="40"/>
    <x v="0"/>
    <x v="7"/>
    <x v="0"/>
    <x v="0"/>
    <m/>
    <n v="2591.65"/>
    <m/>
    <n v="2591.65"/>
    <n v="64.791250000000005"/>
    <n v="0.1"/>
    <n v="0.3"/>
    <n v="0.32500000000000001"/>
    <n v="0.22500000000000001"/>
    <n v="0.05"/>
    <n v="1150"/>
    <m/>
    <n v="0"/>
    <n v="2.5"/>
    <s v="collectif"/>
    <s v="non"/>
    <m/>
    <m/>
    <m/>
    <d v="2012-02-24T00:00:00"/>
    <s v="INGEPAR"/>
    <s v="LS 19"/>
    <m/>
    <d v="2012-07-04T00:00:00"/>
    <m/>
    <m/>
    <d v="2012-08-13T00:00:00"/>
    <m/>
    <m/>
    <m/>
    <m/>
    <m/>
    <d v="2013-02-14T00:00:00"/>
    <d v="2015-02-14T00:00:00"/>
    <d v="2016-02-14T00:00:00"/>
    <m/>
    <s v="oui"/>
    <n v="8"/>
    <n v="114909.510455786"/>
    <n v="0"/>
    <m/>
    <m/>
    <m/>
    <m/>
    <m/>
    <m/>
    <s v="MAREL"/>
    <d v="2012-12-18T00:00:00"/>
    <m/>
    <m/>
    <d v="2014-06-18T00:00:00"/>
    <d v="2014-12-18T00:00:00"/>
    <d v="2013-10-23T00:00:00"/>
    <d v="2014-12-15T00:00:00"/>
    <n v="5.4333333333333336"/>
    <m/>
    <m/>
    <m/>
    <s v="0"/>
    <m/>
    <m/>
    <s v="0"/>
    <m/>
    <m/>
    <s v="0"/>
    <m/>
    <m/>
    <s v="0"/>
    <m/>
    <m/>
    <s v="0"/>
    <m/>
    <m/>
    <m/>
    <m/>
    <s v="0"/>
    <m/>
    <x v="7"/>
    <x v="2"/>
    <n v="7.166666666666667"/>
    <s v="0"/>
    <n v="15"/>
    <n v="26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4-17T00:00:00"/>
    <n v="11.6"/>
    <m/>
    <d v="2015-07-17T00:00:00"/>
    <s v="ok"/>
    <d v="2015-05-27T00:00:00"/>
    <m/>
    <d v="2014-06-04T00:00:00"/>
    <x v="10"/>
    <x v="2"/>
    <n v="11.9"/>
    <n v="14363.68880697325"/>
    <n v="170927.89680298168"/>
    <m/>
    <m/>
    <n v="51532.92"/>
    <m/>
    <m/>
    <m/>
    <m/>
    <m/>
    <s v="Lot VRD - SATP par Austral TP_x000a_Lot Cloisons - SPB par 3PPLUS_x000a_Lot Elec : DTS par EES_x000a_Soit 3 lots sur 14 = 21%_x000a_3 RO"/>
    <m/>
    <m/>
    <s v="ok"/>
    <m/>
    <s v="ok"/>
    <s v="ok"/>
    <d v="2016-09-15T00:00:00"/>
    <d v="2017-04-06T00:00:00"/>
    <d v="2016-04-17T00:00:00"/>
    <n v="45341"/>
    <d v="2015-06-15T00:00:00"/>
    <s v="17/11/2015_x000a_27/01/16_x000a_15/03/16"/>
    <d v="2016-10-04T00:00:00"/>
    <m/>
    <d v="2015-03-16T00:00:00"/>
    <m/>
    <d v="2016-02-26T00:00:00"/>
    <d v="2017-03-03T00:00:00"/>
    <m/>
    <m/>
    <m/>
    <d v="2017-08-31T00:00:00"/>
    <m/>
    <m/>
    <n v="5246631"/>
    <n v="5090210.4499999993"/>
    <n v="5090210.4499999993"/>
    <n v="0"/>
    <n v="1964.0809715818104"/>
    <n v="127255.26124999998"/>
    <n v="4689965"/>
    <m/>
    <n v="-4689965"/>
    <n v="0.9407183282569388"/>
    <m/>
    <n v="1480537"/>
    <n v="1480537"/>
    <m/>
    <n v="37013.425000000003"/>
    <n v="0"/>
    <n v="2895140.53"/>
    <n v="2895140.53"/>
    <n v="565518"/>
    <n v="2329622.5299999998"/>
    <n v="0"/>
    <n v="72378.513249999989"/>
    <n v="0"/>
    <n v="663000"/>
    <n v="663000"/>
    <m/>
    <n v="0.13025001746244108"/>
    <m/>
    <n v="0"/>
    <n v="0"/>
    <n v="16575"/>
    <n v="53588.425000000003"/>
    <n v="0"/>
    <m/>
    <m/>
    <n v="1151902.8490725001"/>
    <n v="800000"/>
    <n v="73588.425000000003"/>
    <n v="0"/>
    <n v="73588.425000000003"/>
    <n v="0.4949673218743304"/>
    <n v="295181.31"/>
    <m/>
    <n v="51532.92"/>
    <n v="6242113.2990724994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oker d'As LLS"/>
    <x v="2"/>
    <x v="1"/>
    <x v="2"/>
    <s v="PRLC 0090"/>
    <s v="FMA"/>
    <s v="NLE"/>
    <x v="0"/>
    <m/>
    <m/>
    <m/>
    <m/>
    <m/>
    <m/>
    <n v="3735"/>
    <n v="860000"/>
    <n v="860000"/>
    <n v="221.47823847540562"/>
    <n v="230.25435073627844"/>
    <n v="230.25435073627844"/>
    <n v="359.81005376231616"/>
    <n v="221.47823847540562"/>
    <n v="0.9618851403553953"/>
    <m/>
    <n v="0.63993306559571628"/>
    <s v="UA"/>
    <m/>
    <m/>
    <x v="1"/>
    <n v="29"/>
    <n v="29"/>
    <x v="6"/>
    <x v="2"/>
    <x v="0"/>
    <x v="0"/>
    <m/>
    <n v="2390.15"/>
    <m/>
    <n v="2390.15"/>
    <n v="82.418965517241389"/>
    <m/>
    <m/>
    <m/>
    <m/>
    <m/>
    <n v="1046"/>
    <n v="0"/>
    <n v="0"/>
    <n v="4"/>
    <s v="collectif"/>
    <s v="oui"/>
    <m/>
    <m/>
    <m/>
    <d v="2012-02-24T00:00:00"/>
    <s v="INGEPAR"/>
    <s v="LS 56"/>
    <m/>
    <d v="2012-05-24T00:00:00"/>
    <m/>
    <m/>
    <d v="2012-10-11T00:00:00"/>
    <m/>
    <m/>
    <m/>
    <m/>
    <m/>
    <d v="2013-02-14T00:00:00"/>
    <d v="2015-02-14T00:00:00"/>
    <d v="2016-02-14T00:00:00"/>
    <m/>
    <s v="oui"/>
    <n v="8"/>
    <n v="123231.77509643867"/>
    <n v="0"/>
    <m/>
    <m/>
    <m/>
    <m/>
    <m/>
    <m/>
    <s v="QUINOT"/>
    <d v="2012-12-18T00:00:00"/>
    <m/>
    <n v="6314520.7599999998"/>
    <d v="2014-06-18T00:00:00"/>
    <d v="2014-12-18T00:00:00"/>
    <d v="2013-07-15T00:00:00"/>
    <d v="2015-06-15T00:00:00"/>
    <n v="-0.4"/>
    <m/>
    <m/>
    <m/>
    <s v="0"/>
    <m/>
    <m/>
    <s v="0"/>
    <m/>
    <m/>
    <s v="0"/>
    <m/>
    <m/>
    <s v="0"/>
    <m/>
    <m/>
    <s v="0"/>
    <m/>
    <m/>
    <m/>
    <m/>
    <s v="0"/>
    <m/>
    <x v="7"/>
    <x v="2"/>
    <n v="8.5333333333333332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d v="2014-12-19T00:00:00"/>
    <s v="ok"/>
    <d v="2015-06-03T00:00:00"/>
    <m/>
    <d v="2014-06-04T00:00:00"/>
    <x v="11"/>
    <x v="2"/>
    <n v="12.133333333333333"/>
    <n v="15403.971887054833"/>
    <n v="186901.52556293196"/>
    <m/>
    <m/>
    <n v="20258"/>
    <m/>
    <m/>
    <m/>
    <m/>
    <m/>
    <m/>
    <m/>
    <m/>
    <m/>
    <m/>
    <m/>
    <m/>
    <m/>
    <s v="à faire"/>
    <d v="2016-06-03T00:00:00"/>
    <n v="10000"/>
    <s v="7/9/15 - correctifs à apporter"/>
    <d v="2015-12-15T00:00:00"/>
    <m/>
    <m/>
    <m/>
    <m/>
    <m/>
    <d v="2017-09-28T00:00:00"/>
    <m/>
    <m/>
    <m/>
    <m/>
    <m/>
    <m/>
    <n v="4670611"/>
    <n v="4807009.38"/>
    <n v="4681218.38"/>
    <n v="-125791"/>
    <n v="1958.5458569545842"/>
    <n v="161421.32344827586"/>
    <m/>
    <m/>
    <n v="0"/>
    <n v="0"/>
    <m/>
    <n v="1473759.38"/>
    <n v="1473759.38"/>
    <m/>
    <n v="50819.28896551724"/>
    <n v="0"/>
    <n v="3186090"/>
    <n v="3186090"/>
    <n v="549227"/>
    <n v="2636863"/>
    <n v="0"/>
    <n v="109865.1724137931"/>
    <n v="0"/>
    <n v="1111"/>
    <n v="1"/>
    <m/>
    <n v="2.1361960045965641E-7"/>
    <m/>
    <n v="1110"/>
    <n v="0"/>
    <n v="3.4482758620689655E-2"/>
    <n v="50819.323448275856"/>
    <n v="0"/>
    <m/>
    <m/>
    <n v="0"/>
    <n v="0"/>
    <n v="50819.323448275856"/>
    <n v="0"/>
    <n v="50819.323448275856"/>
    <n v="0.31482410354887136"/>
    <m/>
    <m/>
    <n v="20258"/>
    <n v="4681218.38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oker d'As LLTS"/>
    <x v="2"/>
    <x v="1"/>
    <x v="2"/>
    <s v="PRLC 0090"/>
    <s v="FMA"/>
    <m/>
    <x v="0"/>
    <m/>
    <m/>
    <m/>
    <m/>
    <m/>
    <m/>
    <m/>
    <m/>
    <m/>
    <m/>
    <m/>
    <m/>
    <m/>
    <m/>
    <m/>
    <m/>
    <m/>
    <s v="UA"/>
    <m/>
    <m/>
    <x v="0"/>
    <n v="13"/>
    <n v="13"/>
    <x v="0"/>
    <x v="8"/>
    <x v="0"/>
    <x v="0"/>
    <m/>
    <n v="927.22"/>
    <m/>
    <n v="927.22"/>
    <n v="71.324615384615385"/>
    <m/>
    <m/>
    <m/>
    <m/>
    <m/>
    <m/>
    <m/>
    <m/>
    <m/>
    <s v="collectif"/>
    <s v="oui"/>
    <m/>
    <m/>
    <m/>
    <d v="2012-02-24T00:00:00"/>
    <s v="INGEPAR"/>
    <s v="LS 56"/>
    <m/>
    <d v="2012-06-21T00:00:00"/>
    <m/>
    <m/>
    <d v="2012-10-11T00:00:00"/>
    <m/>
    <m/>
    <m/>
    <m/>
    <m/>
    <d v="2013-02-14T00:00:00"/>
    <d v="2015-02-14T00:00:00"/>
    <d v="2016-02-14T00:00:00"/>
    <m/>
    <s v="oui"/>
    <n v="8"/>
    <n v="36781.047877244135"/>
    <n v="0"/>
    <m/>
    <m/>
    <m/>
    <m/>
    <m/>
    <m/>
    <m/>
    <d v="2012-12-18T00:00:00"/>
    <m/>
    <n v="6314520.7599999998"/>
    <d v="2014-06-18T00:00:00"/>
    <d v="2014-12-18T00:00:00"/>
    <d v="2013-07-15T00:00:00"/>
    <m/>
    <m/>
    <m/>
    <m/>
    <m/>
    <s v="0"/>
    <m/>
    <m/>
    <s v="0"/>
    <m/>
    <m/>
    <s v="0"/>
    <m/>
    <m/>
    <s v="0"/>
    <m/>
    <m/>
    <s v="0"/>
    <m/>
    <m/>
    <m/>
    <m/>
    <s v="0"/>
    <m/>
    <x v="7"/>
    <x v="2"/>
    <n v="7.6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d v="2014-12-19T00:00:00"/>
    <s v="ok"/>
    <d v="2015-06-03T00:00:00"/>
    <m/>
    <d v="2014-06-04T00:00:00"/>
    <x v="11"/>
    <x v="2"/>
    <n v="12.133333333333333"/>
    <n v="4597.6309846555168"/>
    <n v="55784.589280486936"/>
    <m/>
    <m/>
    <n v="90483"/>
    <m/>
    <m/>
    <m/>
    <m/>
    <m/>
    <s v="Lot Elec : DTS par Rayroux_x000a_Soit 1 lot sur 16_x000a_3 RO"/>
    <m/>
    <m/>
    <m/>
    <m/>
    <m/>
    <m/>
    <m/>
    <s v="à faire"/>
    <d v="2016-06-03T00:00:00"/>
    <n v="59673"/>
    <s v="7/9/15 - correctifs à apporter"/>
    <d v="2015-12-15T00:00:00"/>
    <m/>
    <m/>
    <m/>
    <m/>
    <m/>
    <d v="2017-09-28T00:00:00"/>
    <m/>
    <m/>
    <m/>
    <m/>
    <m/>
    <m/>
    <n v="1808199"/>
    <n v="1878610.47"/>
    <n v="1898659.47"/>
    <n v="20049"/>
    <n v="2047.6903755311575"/>
    <n v="146050.72846153847"/>
    <m/>
    <m/>
    <n v="0"/>
    <n v="0"/>
    <m/>
    <n v="706398.49"/>
    <n v="706398.49"/>
    <m/>
    <n v="54338.345384615386"/>
    <n v="0"/>
    <n v="1041347.98"/>
    <n v="1041347.98"/>
    <n v="179485"/>
    <n v="861862.98"/>
    <n v="0"/>
    <n v="80103.690769230772"/>
    <n v="0"/>
    <n v="60430"/>
    <n v="60000"/>
    <m/>
    <n v="3.1601243376201633E-2"/>
    <m/>
    <n v="430"/>
    <n v="0"/>
    <n v="4615.3846153846152"/>
    <n v="58953.729999999996"/>
    <n v="0"/>
    <m/>
    <m/>
    <n v="0"/>
    <n v="0"/>
    <n v="58953.729999999996"/>
    <n v="0"/>
    <n v="58953.729999999996"/>
    <n v="0.40365242009405722"/>
    <m/>
    <m/>
    <n v="90483"/>
    <n v="1898659.47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aille en Queue"/>
    <x v="3"/>
    <x v="2"/>
    <x v="2"/>
    <s v="PRLC 0138"/>
    <s v="YFR"/>
    <s v="VAF"/>
    <x v="0"/>
    <m/>
    <m/>
    <s v="servitude EP à faire : délib CM transmise au notaire qui doit faire un projet de servitude_x000a_rétrocéder voirie : BJE doit faire DA / DOE transmis à Commune"/>
    <m/>
    <m/>
    <m/>
    <n v="3000"/>
    <n v="200500"/>
    <n v="112930"/>
    <n v="20050"/>
    <n v="66.833333333333329"/>
    <n v="37.643333333333331"/>
    <n v="120.70587229312298"/>
    <n v="11293"/>
    <n v="300"/>
    <n v="691.97"/>
    <n v="0.31186000000000003"/>
    <s v="UD"/>
    <n v="850"/>
    <n v="0.3"/>
    <x v="0"/>
    <n v="10"/>
    <n v="10"/>
    <x v="0"/>
    <x v="9"/>
    <x v="0"/>
    <x v="0"/>
    <m/>
    <n v="935.58"/>
    <m/>
    <n v="935.58"/>
    <n v="93.558000000000007"/>
    <m/>
    <m/>
    <n v="0.3"/>
    <n v="0.5"/>
    <n v="0.2"/>
    <n v="884"/>
    <n v="91"/>
    <n v="3.0333333333333334E-2"/>
    <n v="1.5"/>
    <s v="MDV"/>
    <m/>
    <m/>
    <m/>
    <m/>
    <d v="2012-02-24T00:00:00"/>
    <s v="OFOI"/>
    <s v="LOGIS 2"/>
    <m/>
    <d v="2012-09-27T00:00:00"/>
    <m/>
    <m/>
    <d v="2012-10-08T00:00:00"/>
    <m/>
    <m/>
    <m/>
    <m/>
    <m/>
    <d v="2013-02-14T00:00:00"/>
    <d v="2015-02-14T00:00:00"/>
    <d v="2016-02-14T00:00:00"/>
    <m/>
    <s v="oui"/>
    <n v="4"/>
    <n v="18677.224538483835"/>
    <n v="0"/>
    <m/>
    <m/>
    <m/>
    <m/>
    <m/>
    <m/>
    <s v="BARET/GILLOT"/>
    <d v="2012-12-12T00:00:00"/>
    <m/>
    <n v="1784992.95"/>
    <d v="2014-06-12T00:00:00"/>
    <d v="2014-12-12T00:00:00"/>
    <d v="2014-04-17T00:00:00"/>
    <d v="2014-12-12T00:00:00"/>
    <n v="10.033333333333333"/>
    <m/>
    <m/>
    <m/>
    <s v="0"/>
    <m/>
    <m/>
    <s v="0"/>
    <m/>
    <m/>
    <s v="0"/>
    <m/>
    <m/>
    <s v="0"/>
    <m/>
    <m/>
    <s v="0"/>
    <m/>
    <m/>
    <m/>
    <m/>
    <s v="0"/>
    <m/>
    <x v="9"/>
    <x v="2"/>
    <n v="9.0666666666666664"/>
    <s v="0"/>
    <n v="14"/>
    <n v="26"/>
    <m/>
    <m/>
    <s v="0"/>
    <m/>
    <m/>
    <s v="0"/>
    <m/>
    <d v="2018-09-05T00:00:00"/>
    <s v="0"/>
    <m/>
    <m/>
    <s v="0"/>
    <m/>
    <m/>
    <s v="0"/>
    <m/>
    <m/>
    <s v="0"/>
    <m/>
    <m/>
    <s v="0"/>
    <m/>
    <m/>
    <m/>
    <d v="2014-08-26T00:00:00"/>
    <d v="2015-09-18T00:00:00"/>
    <n v="12.933333333333334"/>
    <m/>
    <d v="2015-10-08T00:00:00"/>
    <s v="ok"/>
    <d v="2015-09-30T00:00:00"/>
    <m/>
    <d v="2014-09-26T00:00:00"/>
    <x v="12"/>
    <x v="2"/>
    <n v="12.6"/>
    <n v="4669.3061346209588"/>
    <n v="58833.257296224081"/>
    <m/>
    <m/>
    <n v="179385.62"/>
    <m/>
    <m/>
    <m/>
    <m/>
    <m/>
    <s v="Lot Peinture : LSR par Marine Peinture_x000a_Lot ECS : Ersec par Gaia_x000a_Lot Plomb : Ersec par PSVR_x000a_Lot Cloison : CIOI par Austral Placo_x000a_Lot Charpente : CSMD par HJP_x000a_Lot Metallerie : CSMD par HJP_x000a_Lot Revetement Dur : PSOI par TPMIB_x000a_Soit 7 lots sur 15 soit 45 %_x000a_2 RO"/>
    <m/>
    <m/>
    <s v="ok"/>
    <m/>
    <s v="ok"/>
    <s v="ok"/>
    <s v="ok"/>
    <s v="ok"/>
    <d v="2016-09-18T00:00:00"/>
    <m/>
    <d v="2015-11-03T00:00:00"/>
    <s v="07/12/2015_x000a_15/03/16"/>
    <s v="ok"/>
    <d v="2017-02-15T00:00:00"/>
    <d v="2017-02-15T00:00:00"/>
    <m/>
    <s v="24/02/2016_x000a_06/09/2016"/>
    <m/>
    <s v="dossier chez OFOI 08/03/2017"/>
    <d v="2017-03-14T00:00:00"/>
    <m/>
    <d v="2018-04-24T00:00:00"/>
    <m/>
    <m/>
    <n v="1723671"/>
    <n v="2008085.62"/>
    <n v="2108085.62"/>
    <n v="100000"/>
    <n v="2253.2392954103339"/>
    <n v="210808.56200000001"/>
    <n v="1672116"/>
    <m/>
    <n v="-1672116"/>
    <n v="0.85017810943738525"/>
    <m/>
    <n v="553441"/>
    <n v="553441"/>
    <m/>
    <n v="55344.1"/>
    <n v="0"/>
    <n v="1110259"/>
    <n v="1110259"/>
    <n v="257996"/>
    <n v="852263"/>
    <n v="0"/>
    <n v="111025.9"/>
    <n v="100000"/>
    <n v="165000"/>
    <n v="165000"/>
    <m/>
    <n v="7.8270065710139419E-2"/>
    <m/>
    <n v="0"/>
    <n v="0"/>
    <n v="16500"/>
    <n v="71844.100000000006"/>
    <n v="0"/>
    <m/>
    <m/>
    <n v="666201.89926500001"/>
    <n v="200000"/>
    <n v="91844.1"/>
    <n v="206916.91"/>
    <n v="112535.791"/>
    <n v="0.42322822103740099"/>
    <n v="115301.53"/>
    <m/>
    <n v="179385.62"/>
    <n v="2774287.5192650002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Jules Arlandas (Alamandas)"/>
    <x v="2"/>
    <x v="1"/>
    <x v="2"/>
    <s v="PRLC 0107"/>
    <s v="SGM"/>
    <s v="EGI"/>
    <x v="0"/>
    <m/>
    <m/>
    <m/>
    <m/>
    <m/>
    <m/>
    <n v="5530"/>
    <n v="1300000"/>
    <n v="1300000"/>
    <n v="17333.333333333332"/>
    <n v="235.08137432188065"/>
    <n v="235.08137432188065"/>
    <n v="198.20517589947033"/>
    <n v="17333.333333333332"/>
    <n v="73.733333333333334"/>
    <m/>
    <n v="1.1860506329113925"/>
    <s v="UAa"/>
    <m/>
    <m/>
    <x v="0"/>
    <n v="75"/>
    <n v="75"/>
    <x v="0"/>
    <x v="10"/>
    <x v="0"/>
    <x v="0"/>
    <m/>
    <n v="6558.86"/>
    <m/>
    <n v="6558.86"/>
    <n v="87.451466666666661"/>
    <n v="6.6666666666666666E-2"/>
    <n v="0.13333333333333333"/>
    <n v="0.4"/>
    <n v="0.33333333333333331"/>
    <n v="6.6666666666666666E-2"/>
    <n v="697.88"/>
    <n v="0"/>
    <n v="0"/>
    <n v="7"/>
    <s v="collectif"/>
    <s v="oui"/>
    <m/>
    <m/>
    <m/>
    <d v="2012-02-24T00:00:00"/>
    <s v="INGEPAR"/>
    <s v="LS 44"/>
    <m/>
    <d v="2012-07-04T00:00:00"/>
    <m/>
    <m/>
    <d v="2012-10-01T00:00:00"/>
    <m/>
    <m/>
    <m/>
    <m/>
    <m/>
    <d v="2013-02-14T00:00:00"/>
    <d v="2015-02-14T00:00:00"/>
    <d v="2016-02-14T00:00:00"/>
    <m/>
    <s v="oui"/>
    <n v="2"/>
    <n v="66605.829392276341"/>
    <n v="0"/>
    <m/>
    <m/>
    <m/>
    <m/>
    <m/>
    <m/>
    <s v="MAREL"/>
    <d v="2012-12-27T00:00:00"/>
    <m/>
    <n v="12054387.02"/>
    <d v="2014-06-27T00:00:00"/>
    <d v="2014-12-27T00:00:00"/>
    <d v="2013-12-09T00:00:00"/>
    <d v="2015-10-20T00:00:00"/>
    <n v="1.1666666666666667"/>
    <m/>
    <m/>
    <m/>
    <s v="0"/>
    <m/>
    <m/>
    <s v="0"/>
    <m/>
    <m/>
    <s v="0"/>
    <m/>
    <m/>
    <s v="0"/>
    <m/>
    <m/>
    <s v="0"/>
    <m/>
    <m/>
    <m/>
    <m/>
    <s v="0"/>
    <m/>
    <x v="10"/>
    <x v="2"/>
    <n v="11.133333333333333"/>
    <s v="0"/>
    <n v="20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2-03T00:00:00"/>
    <d v="2015-10-19T00:00:00"/>
    <n v="8.6"/>
    <d v="2015-12-09T00:00:00"/>
    <d v="2015-11-24T00:00:00"/>
    <s v="ok"/>
    <d v="2015-11-24T00:00:00"/>
    <m/>
    <d v="2015-03-03T00:00:00"/>
    <x v="13"/>
    <x v="2"/>
    <n v="8.8666666666666671"/>
    <n v="33302.91469613817"/>
    <n v="295285.84363909176"/>
    <m/>
    <m/>
    <n v="0"/>
    <m/>
    <m/>
    <m/>
    <m/>
    <m/>
    <s v="OPC :  L'hospitalier par Fromentin_x000a_Lot Etanchéité :_x000a_Lot Peinture :_x000a_Lot Cloison : Plaquiste réunion par Plaquiste.com_x000a_Menui Alu : FAOI par Technipose_x000a_Menui Alu : Technipose par Soremir_x000a_Lot Elect : I2E par Megawatt_x000a_Soit  6 lots sur 22 = 27 %"/>
    <m/>
    <m/>
    <d v="2016-11-05T00:00:00"/>
    <m/>
    <m/>
    <m/>
    <m/>
    <d v="2016-10-13T00:00:00"/>
    <m/>
    <n v="114015"/>
    <s v="ok"/>
    <d v="2016-02-24T00:00:00"/>
    <m/>
    <m/>
    <m/>
    <m/>
    <m/>
    <d v="2018-02-05T00:00:00"/>
    <m/>
    <d v="2017-03-14T00:00:00"/>
    <m/>
    <m/>
    <m/>
    <m/>
    <n v="11693100"/>
    <n v="12349548.309999999"/>
    <n v="12349548.309999999"/>
    <n v="0"/>
    <n v="1882.8803038942742"/>
    <n v="164660.64413333332"/>
    <m/>
    <m/>
    <n v="0"/>
    <n v="0"/>
    <m/>
    <n v="3816022.8"/>
    <n v="3816022.8"/>
    <m/>
    <n v="50880.303999999996"/>
    <n v="0"/>
    <n v="7538525.5099999998"/>
    <n v="7538525.5099999998"/>
    <n v="1459253.6"/>
    <n v="6079271.9100000001"/>
    <n v="0"/>
    <n v="100513.67346666666"/>
    <n v="0"/>
    <n v="995000"/>
    <n v="995000"/>
    <m/>
    <n v="8.0569748384586873E-2"/>
    <m/>
    <n v="0"/>
    <n v="0"/>
    <n v="13266.666666666666"/>
    <n v="64146.970666666661"/>
    <n v="0"/>
    <m/>
    <m/>
    <n v="0"/>
    <n v="0"/>
    <n v="64146.970666666661"/>
    <n v="0"/>
    <n v="64146.970666666661"/>
    <n v="0.38957075021960869"/>
    <m/>
    <m/>
    <m/>
    <n v="12349548.309999999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Laurency "/>
    <x v="3"/>
    <x v="2"/>
    <x v="2"/>
    <s v="PRLC 0101"/>
    <s v="APU"/>
    <s v="GGO"/>
    <x v="0"/>
    <n v="15914.36866359447"/>
    <m/>
    <s v="rétrocession voirie Mairie : dossier transmis à commune_x000a_lots à commercialiser : dépôt de pièces à faire chez notaire_x000a_vérifier avec notaire s'il faut afficher le PA modif_x000a_notaire prépare cession de la CH 505 à M. RIVIERE_x000a_"/>
    <m/>
    <m/>
    <m/>
    <n v="6156.15"/>
    <n v="164070"/>
    <n v="163875"/>
    <n v="7457.727272727273"/>
    <n v="26.651397383104701"/>
    <n v="26.619721741672961"/>
    <n v="97.053597867930122"/>
    <n v="7448.863636363636"/>
    <n v="279.82499999999999"/>
    <m/>
    <n v="0.27427856696149383"/>
    <s v="UD"/>
    <n v="890"/>
    <m/>
    <x v="0"/>
    <n v="22"/>
    <n v="22"/>
    <x v="0"/>
    <x v="11"/>
    <x v="0"/>
    <x v="0"/>
    <m/>
    <n v="1688.5"/>
    <m/>
    <n v="1688.5"/>
    <n v="76.75"/>
    <n v="0"/>
    <n v="0.18181818181818182"/>
    <n v="0.36363636363636365"/>
    <n v="0.27272727272727271"/>
    <n v="0.18181818181818182"/>
    <n v="1841.6"/>
    <m/>
    <n v="0"/>
    <n v="1.5"/>
    <s v="MDV"/>
    <s v="non"/>
    <m/>
    <m/>
    <m/>
    <d v="2012-02-24T00:00:00"/>
    <s v="OFOI"/>
    <s v="LOGIS 2"/>
    <m/>
    <d v="2012-09-25T00:00:00"/>
    <m/>
    <m/>
    <d v="2012-10-15T00:00:00"/>
    <m/>
    <m/>
    <m/>
    <m/>
    <m/>
    <d v="2013-02-14T00:00:00"/>
    <d v="2015-02-14T00:00:00"/>
    <d v="2016-02-14T00:00:00"/>
    <m/>
    <s v="oui"/>
    <n v="0"/>
    <n v="0"/>
    <n v="0"/>
    <m/>
    <m/>
    <m/>
    <m/>
    <m/>
    <m/>
    <s v="LE GOFF"/>
    <d v="2012-12-13T00:00:00"/>
    <s v="ok"/>
    <n v="3339290.63"/>
    <d v="2014-06-13T00:00:00"/>
    <d v="2014-12-13T00:00:00"/>
    <d v="2013-10-22T00:00:00"/>
    <d v="2015-02-16T00:00:00"/>
    <n v="11.933333333333334"/>
    <m/>
    <m/>
    <m/>
    <s v="0"/>
    <m/>
    <m/>
    <s v="0"/>
    <m/>
    <m/>
    <s v="0"/>
    <m/>
    <m/>
    <s v="0"/>
    <m/>
    <m/>
    <s v="0"/>
    <m/>
    <m/>
    <m/>
    <m/>
    <s v="0"/>
    <m/>
    <x v="8"/>
    <x v="2"/>
    <n v="3.9333333333333331"/>
    <s v="0"/>
    <n v="14"/>
    <n v="33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21T00:00:00"/>
    <d v="2015-11-18T00:00:00"/>
    <n v="20.233333333333334"/>
    <m/>
    <d v="2015-11-30T00:00:00"/>
    <s v="ok"/>
    <s v="ok"/>
    <m/>
    <d v="2014-04-21T00:00:00"/>
    <x v="14"/>
    <x v="3"/>
    <n v="21.966666666666665"/>
    <n v="8886.294089596"/>
    <n v="195202.26016812545"/>
    <m/>
    <m/>
    <n v="406263"/>
    <n v="125069"/>
    <m/>
    <m/>
    <m/>
    <m/>
    <s v="Lot 1.1 SATP_x000a_Lot 9 ERSEC _x000a_Soit 2 lots sur 15 = 13%_x000a_3 RO"/>
    <m/>
    <m/>
    <d v="2015-11-13T00:00:00"/>
    <m/>
    <s v="notifiés le 20/06/2016"/>
    <d v="2015-12-10T00:00:00"/>
    <d v="2016-03-01T00:00:00"/>
    <d v="2017-05-14T00:00:00"/>
    <d v="2016-11-18T00:00:00"/>
    <n v="56767"/>
    <d v="2016-06-09T00:00:00"/>
    <d v="2016-06-10T00:00:00"/>
    <s v="ok"/>
    <d v="2017-05-29T00:00:00"/>
    <m/>
    <m/>
    <s v="14/09/2016_x000a_21/02/16"/>
    <m/>
    <s v="dossier envoyé 22/02/17"/>
    <d v="2017-03-14T00:00:00"/>
    <s v="ok"/>
    <d v="2017-07-31T00:00:00"/>
    <m/>
    <m/>
    <n v="3365389"/>
    <n v="3674939"/>
    <n v="3899161"/>
    <n v="224222"/>
    <n v="2309.2454841575363"/>
    <n v="177234.59090909091"/>
    <n v="3169080"/>
    <m/>
    <n v="-3169080"/>
    <n v="0.88045833685946884"/>
    <m/>
    <n v="929819"/>
    <n v="929819"/>
    <m/>
    <n v="42264.5"/>
    <n v="0"/>
    <n v="1895079"/>
    <n v="1895079"/>
    <n v="328778"/>
    <n v="1566301"/>
    <n v="0"/>
    <n v="86139.954545454544"/>
    <n v="0"/>
    <n v="668000"/>
    <n v="558000"/>
    <n v="110000"/>
    <n v="0.14310770958162539"/>
    <m/>
    <n v="0"/>
    <n v="0"/>
    <n v="25363.636363636364"/>
    <n v="67628.136363636368"/>
    <n v="0"/>
    <m/>
    <m/>
    <n v="1214321.7850000001"/>
    <n v="440000"/>
    <n v="87628.136363636368"/>
    <n v="91493"/>
    <n v="91786.909090909088"/>
    <n v="0.40825799874371793"/>
    <n v="167316.375"/>
    <m/>
    <n v="406263"/>
    <n v="5113482.7850000001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Le Cap (BH 228)"/>
    <x v="3"/>
    <x v="2"/>
    <x v="2"/>
    <s v="PRLC 0135"/>
    <s v="YFR"/>
    <s v="VAF"/>
    <x v="0"/>
    <m/>
    <s v="BH 228"/>
    <s v="abandon servitude EP - si débordement on avisera"/>
    <m/>
    <m/>
    <m/>
    <n v="7382"/>
    <n v="243429"/>
    <n v="239545"/>
    <n v="10142.875"/>
    <n v="32.976022758060147"/>
    <n v="32.449878081820643"/>
    <n v="118.47636852830038"/>
    <n v="9981.0416666666661"/>
    <n v="307.58333333333331"/>
    <m/>
    <n v="0.27389325386074237"/>
    <s v="UD"/>
    <n v="750"/>
    <n v="0.3"/>
    <x v="0"/>
    <n v="24"/>
    <n v="24"/>
    <x v="0"/>
    <x v="12"/>
    <x v="0"/>
    <x v="0"/>
    <m/>
    <n v="2021.88"/>
    <m/>
    <n v="2021.88"/>
    <n v="84.245000000000005"/>
    <m/>
    <m/>
    <m/>
    <m/>
    <m/>
    <n v="1700"/>
    <n v="486"/>
    <n v="6.5835816851801676E-2"/>
    <n v="1.5"/>
    <s v="collectif"/>
    <m/>
    <m/>
    <m/>
    <m/>
    <d v="2012-02-24T00:00:00"/>
    <s v="OFOI"/>
    <s v="LOGIS 2"/>
    <m/>
    <d v="2012-09-18T00:00:00"/>
    <m/>
    <m/>
    <d v="2012-11-19T00:00:00"/>
    <m/>
    <m/>
    <m/>
    <m/>
    <m/>
    <d v="2013-02-14T00:00:00"/>
    <d v="2015-02-14T00:00:00"/>
    <d v="2016-02-14T00:00:00"/>
    <m/>
    <s v="oui"/>
    <e v="#NUM!"/>
    <e v="#NUM!"/>
    <e v="#NUM!"/>
    <m/>
    <m/>
    <m/>
    <m/>
    <m/>
    <m/>
    <s v="LE GOFF"/>
    <d v="2012-12-13T00:00:00"/>
    <m/>
    <n v="3769955.4652301664"/>
    <d v="2014-06-13T00:00:00"/>
    <d v="2014-12-13T00:00:00"/>
    <d v="2014-07-30T00:00:00"/>
    <d v="2015-04-15T00:00:00"/>
    <n v="17.266666666666666"/>
    <m/>
    <m/>
    <m/>
    <s v="0"/>
    <m/>
    <m/>
    <s v="0"/>
    <m/>
    <m/>
    <s v="0"/>
    <m/>
    <m/>
    <s v="0"/>
    <m/>
    <m/>
    <s v="0"/>
    <m/>
    <m/>
    <m/>
    <m/>
    <s v="0"/>
    <m/>
    <x v="11"/>
    <x v="2"/>
    <n v="13.4"/>
    <s v="0"/>
    <n v="17"/>
    <n v="34"/>
    <m/>
    <m/>
    <s v="0"/>
    <m/>
    <m/>
    <s v="0"/>
    <m/>
    <m/>
    <s v="0"/>
    <m/>
    <m/>
    <s v="0"/>
    <m/>
    <m/>
    <s v="0"/>
    <m/>
    <m/>
    <s v="0"/>
    <m/>
    <m/>
    <s v="0"/>
    <m/>
    <m/>
    <m/>
    <d v="2015-03-25T00:00:00"/>
    <d v="2016-09-06T00:00:00"/>
    <n v="17.7"/>
    <d v="2016-07-30T00:00:00"/>
    <d v="2016-09-20T00:00:00"/>
    <d v="2015-12-04T00:00:00"/>
    <s v="ok"/>
    <m/>
    <d v="2015-04-25T00:00:00"/>
    <x v="15"/>
    <x v="3"/>
    <n v="16.933333333333334"/>
    <n v="8408.8783613612504"/>
    <n v="142390.34025238384"/>
    <s v="ok"/>
    <m/>
    <n v="8439"/>
    <m/>
    <m/>
    <m/>
    <m/>
    <m/>
    <s v="Lot Bardage : EEC par MJF_x000a_Lot Charpente : EEC par MJF_x000a_Lot Elect : I2E par IEB_x000a_Lot Plomb : Sarhane par Ersec_x000a_Lot Plomb : Ersec par CSO_x000a_Soit 5 lot sur 14 = 35%_x000a_2 RO"/>
    <m/>
    <m/>
    <d v="2016-11-28T00:00:00"/>
    <m/>
    <s v="ok"/>
    <s v="ok"/>
    <d v="2017-01-31T00:00:00"/>
    <d v="2017-09-01T00:00:00"/>
    <d v="2017-09-06T00:00:00"/>
    <n v="57355"/>
    <d v="2016-12-12T00:00:00"/>
    <d v="2017-01-20T00:00:00"/>
    <m/>
    <m/>
    <m/>
    <m/>
    <d v="2017-04-04T00:00:00"/>
    <s v="envoi arrangeur 21/02/18"/>
    <m/>
    <d v="2017-03-14T00:00:00"/>
    <m/>
    <d v="2018-04-24T00:00:00"/>
    <m/>
    <m/>
    <n v="3907101"/>
    <n v="4128660.85"/>
    <n v="4111004"/>
    <n v="-17656.850000000093"/>
    <n v="2033.2581557758126"/>
    <n v="171291.83333333334"/>
    <n v="3645377"/>
    <m/>
    <n v="-3645377"/>
    <n v="0.90148599079045189"/>
    <m/>
    <n v="1196851"/>
    <n v="1196851"/>
    <m/>
    <n v="49868.791666666664"/>
    <n v="0"/>
    <n v="2362522"/>
    <n v="2362522"/>
    <n v="585357"/>
    <n v="1777165"/>
    <n v="0"/>
    <n v="98438.416666666672"/>
    <n v="0"/>
    <n v="384000"/>
    <n v="384000"/>
    <m/>
    <n v="9.3407839058293307E-2"/>
    <n v="159192"/>
    <n v="0"/>
    <n v="0"/>
    <n v="16000"/>
    <n v="65868.791666666672"/>
    <n v="0"/>
    <m/>
    <m/>
    <n v="913316.69861249998"/>
    <n v="480000"/>
    <n v="85868.791666666672"/>
    <n v="148968.80577250005"/>
    <n v="92075.825240520833"/>
    <n v="0.46259577137783203"/>
    <n v="247321.11820000003"/>
    <m/>
    <n v="8439"/>
    <n v="5024320.6986125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Max GOBETTI (AUBEPINES)"/>
    <x v="2"/>
    <x v="1"/>
    <x v="2"/>
    <s v="PRLC 0104"/>
    <s v="ADE"/>
    <s v="VAF"/>
    <x v="0"/>
    <m/>
    <m/>
    <m/>
    <m/>
    <m/>
    <m/>
    <n v="2666"/>
    <n v="209000"/>
    <n v="154394"/>
    <n v="12294.117647058823"/>
    <n v="78.394598649662413"/>
    <n v="57.912228057014254"/>
    <n v="124.49121109498468"/>
    <n v="9082"/>
    <n v="156.8235294117647"/>
    <m/>
    <n v="0.46519129782445612"/>
    <s v="UB"/>
    <m/>
    <m/>
    <x v="0"/>
    <n v="17"/>
    <n v="17"/>
    <x v="0"/>
    <x v="13"/>
    <x v="0"/>
    <x v="0"/>
    <m/>
    <n v="1240.2"/>
    <m/>
    <n v="1240.2"/>
    <n v="72.952941176470588"/>
    <m/>
    <m/>
    <m/>
    <m/>
    <m/>
    <n v="760"/>
    <n v="300"/>
    <n v="0.11252813203300825"/>
    <n v="3"/>
    <s v="collectif"/>
    <s v="non"/>
    <m/>
    <m/>
    <m/>
    <d v="2012-02-24T00:00:00"/>
    <s v="OFOI"/>
    <s v="LOGIS 1"/>
    <m/>
    <d v="2012-09-18T00:00:00"/>
    <m/>
    <m/>
    <d v="2012-11-12T00:00:00"/>
    <m/>
    <m/>
    <m/>
    <m/>
    <m/>
    <d v="2013-02-14T00:00:00"/>
    <d v="2015-02-14T00:00:00"/>
    <d v="2016-02-14T00:00:00"/>
    <m/>
    <s v="oui"/>
    <e v="#NUM!"/>
    <e v="#NUM!"/>
    <e v="#NUM!"/>
    <m/>
    <m/>
    <m/>
    <m/>
    <m/>
    <m/>
    <s v="BARET/GILLOT"/>
    <d v="2012-12-12T00:00:00"/>
    <m/>
    <n v="2452763.1145935361"/>
    <d v="2014-06-12T00:00:00"/>
    <d v="2014-12-12T00:00:00"/>
    <d v="2014-04-15T00:00:00"/>
    <d v="2015-02-12T00:00:00"/>
    <n v="22.633333333333333"/>
    <m/>
    <m/>
    <m/>
    <s v="0"/>
    <m/>
    <m/>
    <s v="0"/>
    <m/>
    <m/>
    <s v="0"/>
    <m/>
    <m/>
    <s v="0"/>
    <m/>
    <m/>
    <s v="0"/>
    <m/>
    <m/>
    <m/>
    <m/>
    <s v="0"/>
    <m/>
    <x v="7"/>
    <x v="2"/>
    <n v="4.6333333333333337"/>
    <s v="0"/>
    <n v="14"/>
    <n v="46"/>
    <m/>
    <m/>
    <s v="0"/>
    <m/>
    <m/>
    <s v="0"/>
    <m/>
    <m/>
    <s v="0"/>
    <m/>
    <m/>
    <s v="0"/>
    <m/>
    <m/>
    <s v="0"/>
    <m/>
    <m/>
    <s v="0"/>
    <m/>
    <m/>
    <s v="0"/>
    <m/>
    <m/>
    <m/>
    <d v="2014-04-04T00:00:00"/>
    <d v="2016-12-09T00:00:00"/>
    <n v="32.666666666666664"/>
    <d v="2016-04-15T00:00:00"/>
    <d v="2017-02-22T00:00:00"/>
    <s v="ok"/>
    <s v="ok"/>
    <m/>
    <d v="2014-05-04T00:00:00"/>
    <x v="16"/>
    <x v="3"/>
    <n v="32.1"/>
    <n v="6627.916666666667"/>
    <n v="212756.12500000003"/>
    <s v="ok"/>
    <m/>
    <n v="0"/>
    <m/>
    <m/>
    <m/>
    <m/>
    <m/>
    <s v="Résiliation ABR 21/08/13 - attribution EKCB 04/02/14 _x000a_Résiliation SATP 20/03/14 - attribution TPL 19/09/14 _x000a_Résiliation CSMD 16/05/14 - attribution EKCB 20/07/14 _x000a_Résiliation IJAP 20/06/14 - attribution M Peinture 03/12/14 _x000a_Résiliation APOI 16/06/15 - attribution SOREMIR 04/09/15_x000a_Lot Elec : DTS par Idem_x000a_ soit 6 lots sur 15 soit 40%_x000a_3 RO"/>
    <m/>
    <m/>
    <s v="3 réserves à lever"/>
    <m/>
    <s v="notifiés en mai"/>
    <s v="manque  DOE Métallerie"/>
    <d v="2017-07-12T00:00:00"/>
    <d v="2017-09-22T00:00:00"/>
    <d v="2017-12-09T00:00:00"/>
    <n v="41687"/>
    <d v="2017-02-13T00:00:00"/>
    <d v="2017-02-13T00:00:00"/>
    <m/>
    <m/>
    <m/>
    <m/>
    <d v="2017-06-29T00:00:00"/>
    <s v="envoyé arrangeur 12/10/17"/>
    <m/>
    <d v="2017-03-14T00:00:00"/>
    <s v="ok"/>
    <m/>
    <m/>
    <m/>
    <n v="2618300"/>
    <n v="3231832.2199999997"/>
    <n v="3203900"/>
    <n v="-27932.219999999739"/>
    <n v="2583.373649411385"/>
    <n v="188464.70588235295"/>
    <n v="2379882"/>
    <m/>
    <n v="-2379882"/>
    <n v="0.75185200115369855"/>
    <m/>
    <n v="750247"/>
    <n v="750248"/>
    <m/>
    <n v="44132.23529411765"/>
    <n v="1"/>
    <n v="1395754"/>
    <n v="1395754"/>
    <n v="259962"/>
    <n v="1135792"/>
    <n v="0"/>
    <n v="82103.176470588238"/>
    <n v="0"/>
    <n v="339997"/>
    <n v="254997"/>
    <n v="85000"/>
    <n v="7.9589562720434465E-2"/>
    <n v="717901"/>
    <n v="0"/>
    <n v="0"/>
    <n v="14999.823529411764"/>
    <n v="59132.058823529413"/>
    <n v="0"/>
    <m/>
    <m/>
    <n v="508572.84914999997"/>
    <n v="340000"/>
    <n v="79132.058823529413"/>
    <n v="0"/>
    <n v="79132.058823529413"/>
    <n v="0.37842672261036625"/>
    <n v="157636.68239999999"/>
    <m/>
    <m/>
    <n v="3712472.8491500001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Bouton d'Or (Tampon 15e km)"/>
    <x v="2"/>
    <x v="1"/>
    <x v="2"/>
    <s v="PRLC 0117"/>
    <s v="FVA"/>
    <s v="GGO"/>
    <x v="0"/>
    <m/>
    <m/>
    <s v="voie intérieure à rétrocéder_x000a_récupérer DOE_x000a_faire le DA : FVA s'en occupe"/>
    <m/>
    <m/>
    <m/>
    <n v="12495"/>
    <n v="825000"/>
    <n v="546365"/>
    <n v="12692.307692307691"/>
    <n v="66.026410564225685"/>
    <n v="43.726690676270508"/>
    <n v="102.74383478695837"/>
    <n v="8405.6153846153848"/>
    <n v="192.23076923076923"/>
    <m/>
    <n v="0.42558943577430969"/>
    <s v="UC"/>
    <n v="850"/>
    <m/>
    <x v="0"/>
    <n v="65"/>
    <n v="65"/>
    <x v="0"/>
    <x v="14"/>
    <x v="0"/>
    <x v="0"/>
    <m/>
    <n v="5311.74"/>
    <m/>
    <n v="5317.74"/>
    <n v="81.811384615384611"/>
    <n v="0"/>
    <n v="0.29230769230769232"/>
    <n v="0.30769230769230771"/>
    <n v="0.35384615384615387"/>
    <n v="4.6153846153846156E-2"/>
    <s v="ANC"/>
    <n v="2000"/>
    <n v="0.1600640256102441"/>
    <n v="2.5"/>
    <s v="collectif"/>
    <m/>
    <m/>
    <m/>
    <m/>
    <d v="2012-02-24T00:00:00"/>
    <s v="INGEPAR"/>
    <s v="LS 20"/>
    <m/>
    <d v="2012-07-01T00:00:00"/>
    <m/>
    <m/>
    <d v="2012-08-13T00:00:00"/>
    <m/>
    <m/>
    <m/>
    <m/>
    <m/>
    <d v="2013-02-14T00:00:00"/>
    <d v="2015-02-14T00:00:00"/>
    <d v="2016-02-14T00:00:00"/>
    <m/>
    <s v="oui"/>
    <e v="#NUM!"/>
    <e v="#NUM!"/>
    <e v="#NUM!"/>
    <m/>
    <m/>
    <m/>
    <m/>
    <m/>
    <m/>
    <s v="BARET/GILLOT"/>
    <d v="2012-12-18T00:00:00"/>
    <m/>
    <n v="9654414.4900000002"/>
    <d v="2014-06-18T00:00:00"/>
    <d v="2014-12-18T00:00:00"/>
    <d v="2014-05-26T00:00:00"/>
    <d v="2014-10-15T00:00:00"/>
    <n v="31.733333333333334"/>
    <m/>
    <m/>
    <m/>
    <s v="0"/>
    <m/>
    <m/>
    <s v="0"/>
    <m/>
    <m/>
    <s v="0"/>
    <m/>
    <m/>
    <s v="0"/>
    <m/>
    <m/>
    <s v="0"/>
    <m/>
    <m/>
    <m/>
    <m/>
    <s v="0"/>
    <m/>
    <x v="12"/>
    <x v="2"/>
    <n v="7.6333333333333337"/>
    <s v="0"/>
    <n v="21"/>
    <n v="51"/>
    <m/>
    <m/>
    <s v="0"/>
    <m/>
    <m/>
    <s v="0"/>
    <m/>
    <m/>
    <s v="0"/>
    <m/>
    <m/>
    <s v="0"/>
    <m/>
    <m/>
    <s v="0"/>
    <m/>
    <m/>
    <s v="0"/>
    <m/>
    <m/>
    <s v="0"/>
    <m/>
    <m/>
    <m/>
    <d v="2014-11-15T00:00:00"/>
    <d v="2017-05-20T00:00:00"/>
    <n v="30.566666666666666"/>
    <d v="2016-05-26T00:00:00"/>
    <d v="2017-05-24T00:00:00"/>
    <d v="2016-06-14T00:00:00"/>
    <d v="2017-05-09T00:00:00"/>
    <m/>
    <d v="2014-12-15T00:00:00"/>
    <x v="17"/>
    <x v="4"/>
    <n v="29.7"/>
    <n v="27488.225982313335"/>
    <n v="816400.31167470606"/>
    <s v="ok"/>
    <m/>
    <n v="36111"/>
    <m/>
    <m/>
    <m/>
    <m/>
    <m/>
    <s v="Lot Men Ext_x000a_Lot Cloisons_x000a_Lot Bardage_x000a_Lot Bardage_x000a_soit 4 lots sur 14 = 29%_x000a_4 RO"/>
    <m/>
    <m/>
    <m/>
    <s v="ok"/>
    <m/>
    <m/>
    <d v="2018-03-27T00:00:00"/>
    <s v="à faire"/>
    <d v="2018-05-20T00:00:00"/>
    <n v="206245"/>
    <s v="ok"/>
    <d v="2017-06-21T00:00:00"/>
    <m/>
    <m/>
    <d v="2018-03-26T00:00:00"/>
    <m/>
    <s v="19/07/2017_x000a_05/09/17"/>
    <s v="envoi à l'arrangeur 07/03/18"/>
    <m/>
    <d v="2018-05-03T00:00:00"/>
    <s v="ok"/>
    <m/>
    <m/>
    <m/>
    <n v="9682468.3900000006"/>
    <n v="10302885.028743383"/>
    <n v="10359154.550000001"/>
    <n v="56269.521256618202"/>
    <n v="1950.2375022120814"/>
    <n v="159371.60846153848"/>
    <n v="9295451"/>
    <m/>
    <n v="-9295451"/>
    <n v="0.92116484310196667"/>
    <m/>
    <n v="3195831"/>
    <n v="3195831"/>
    <m/>
    <n v="49166.630769230767"/>
    <n v="0"/>
    <n v="6112292.5499999998"/>
    <n v="6112292.5499999998"/>
    <n v="1264343"/>
    <n v="4847949.55"/>
    <n v="0"/>
    <n v="94035.27"/>
    <n v="0"/>
    <n v="790394"/>
    <n v="790394"/>
    <m/>
    <n v="7.6299083693079944E-2"/>
    <n v="224526"/>
    <n v="0"/>
    <n v="0"/>
    <n v="12159.907692307692"/>
    <n v="61326.538461538461"/>
    <n v="0"/>
    <m/>
    <m/>
    <n v="1951680.4950927752"/>
    <n v="1300000"/>
    <n v="81326.538461538468"/>
    <n v="0"/>
    <n v="81326.538461538468"/>
    <n v="0.44977679130011533"/>
    <n v="557838.66500000004"/>
    <m/>
    <n v="36111"/>
    <n v="12310835.045092776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Takamaka"/>
    <x v="5"/>
    <x v="1"/>
    <x v="3"/>
    <s v="PRLC 0093"/>
    <s v="FHO"/>
    <s v="VAF"/>
    <x v="0"/>
    <m/>
    <m/>
    <s v="lots à vendre : CA EPFR début 2017_x000a_LES : mise en demeure adressée à l'acquéreur faute de quoi classement du dossier"/>
    <s v="SODEGIS"/>
    <s v="Dubois"/>
    <s v="ok"/>
    <n v="4625"/>
    <n v="215000"/>
    <n v="104244"/>
    <n v="15357.142857142857"/>
    <n v="46.486486486486484"/>
    <n v="22.539243243243245"/>
    <n v="91.472596128534079"/>
    <n v="7446"/>
    <n v="330.35714285714283"/>
    <n v="1148.97"/>
    <n v="0.2464043243243243"/>
    <s v="UCa"/>
    <n v="20"/>
    <m/>
    <x v="0"/>
    <n v="14"/>
    <n v="14"/>
    <x v="0"/>
    <x v="5"/>
    <x v="0"/>
    <x v="0"/>
    <m/>
    <n v="1044.56"/>
    <m/>
    <n v="1139.6199999999999"/>
    <n v="81.401428571428568"/>
    <m/>
    <m/>
    <m/>
    <m/>
    <m/>
    <m/>
    <n v="551.16"/>
    <n v="0.11916972972972972"/>
    <n v="1.5"/>
    <s v="MDV"/>
    <s v="non"/>
    <m/>
    <m/>
    <d v="2012-11-20T00:00:00"/>
    <d v="2012-02-24T00:00:00"/>
    <s v="OFOI"/>
    <s v="LOGIS 4"/>
    <m/>
    <d v="2013-08-29T00:00:00"/>
    <m/>
    <d v="2013-09-18T00:00:00"/>
    <d v="2013-09-27T00:00:00"/>
    <m/>
    <d v="2013-10-02T00:00:00"/>
    <d v="2013-10-28T00:00:00"/>
    <d v="2014-01-28T00:00:00"/>
    <m/>
    <d v="2014-01-20T00:00:00"/>
    <d v="2016-01-20T00:00:00"/>
    <d v="2017-01-20T00:00:00"/>
    <m/>
    <s v="non"/>
    <n v="14"/>
    <n v="85671.66537622585"/>
    <n v="0"/>
    <m/>
    <s v="CR + CASUD = 19/12/13_x000a_CG = 15/01/14_x000a_CM = OK - mank attest° affichage_x000a_"/>
    <m/>
    <m/>
    <m/>
    <m/>
    <s v="BARET/GILLOT"/>
    <d v="2013-12-17T00:00:00"/>
    <m/>
    <n v="2345333.9"/>
    <d v="2015-06-17T00:00:00"/>
    <d v="2015-12-17T00:00:00"/>
    <d v="2014-12-04T00:00:00"/>
    <d v="2015-09-15T00:00:00"/>
    <n v="1.7"/>
    <m/>
    <m/>
    <m/>
    <s v="0"/>
    <m/>
    <m/>
    <s v="0"/>
    <m/>
    <m/>
    <s v="0"/>
    <m/>
    <m/>
    <s v="0"/>
    <m/>
    <m/>
    <s v="0"/>
    <m/>
    <m/>
    <m/>
    <m/>
    <s v="0"/>
    <m/>
    <x v="13"/>
    <x v="3"/>
    <n v="11.1"/>
    <s v="0"/>
    <n v="14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5-09-28T00:00:00"/>
    <d v="2015-09-29T00:00:00"/>
    <n v="3.3333333333333333E-2"/>
    <m/>
    <d v="2015-11-25T00:00:00"/>
    <s v="ok"/>
    <e v="#REF!"/>
    <m/>
    <d v="2015-10-28T00:00:00"/>
    <x v="18"/>
    <x v="2"/>
    <n v="0.26666666666666666"/>
    <n v="6119.4046697304175"/>
    <n v="1631.8412452614446"/>
    <m/>
    <m/>
    <n v="23860"/>
    <m/>
    <m/>
    <n v="66160.799999999988"/>
    <n v="2.7264579017489746E-2"/>
    <m/>
    <s v="Lot Cloison : PRE par DROZ_x000a_ soit 1 sur 15"/>
    <m/>
    <m/>
    <d v="2016-12-21T00:00:00"/>
    <m/>
    <s v="ok"/>
    <s v="ok"/>
    <d v="2016-07-04T00:00:00"/>
    <d v="2017-05-15T00:00:00"/>
    <d v="2016-10-17T00:00:00"/>
    <n v="13313"/>
    <d v="2015-11-16T00:00:00"/>
    <d v="2016-02-02T00:00:00"/>
    <m/>
    <m/>
    <d v="2016-03-30T00:00:00"/>
    <m/>
    <s v="05/10/2016_x000a_28/02/17"/>
    <m/>
    <s v="dossier transmis à OFOI 05/09/16"/>
    <s v="ok"/>
    <m/>
    <s v="ok"/>
    <m/>
    <s v="oui"/>
    <n v="2360150.41"/>
    <n v="2396286"/>
    <n v="2426621"/>
    <n v="30335"/>
    <n v="2323.1035076970211"/>
    <n v="173330.07142857142"/>
    <n v="2112298"/>
    <n v="2153147"/>
    <n v="40849"/>
    <n v="0.89999952342917333"/>
    <m/>
    <n v="601367"/>
    <n v="642565"/>
    <m/>
    <n v="45897.5"/>
    <n v="41198"/>
    <n v="1294919"/>
    <n v="1260196"/>
    <n v="284216"/>
    <n v="975980"/>
    <n v="-34723"/>
    <n v="90014"/>
    <m/>
    <n v="500000"/>
    <n v="500000"/>
    <m/>
    <n v="0.20604783359247283"/>
    <m/>
    <n v="0"/>
    <n v="0"/>
    <n v="35714.285714285717"/>
    <n v="81611.78571428571"/>
    <n v="0"/>
    <m/>
    <m/>
    <n v="461213.14905750001"/>
    <n v="238500"/>
    <n v="98647.5"/>
    <n v="0"/>
    <n v="98647.5"/>
    <n v="0.49653574328412386"/>
    <n v="106433.17505000001"/>
    <m/>
    <n v="23860"/>
    <n v="2887834.1490575001"/>
    <n v="118584"/>
    <n v="58369"/>
    <d v="2009-12-14T00:00:00"/>
    <n v="7820"/>
    <m/>
    <m/>
    <d v="2012-12-24T00:00:00"/>
    <n v="3939"/>
    <d v="2013-02-08T00:00:00"/>
    <n v="17030"/>
    <d v="1932-06-11T00:00:00"/>
    <n v="11851"/>
    <n v="41547"/>
    <n v="17729"/>
    <m/>
    <m/>
    <m/>
    <m/>
    <m/>
    <m/>
    <m/>
    <m/>
    <m/>
    <m/>
    <m/>
    <m/>
    <m/>
    <m/>
    <m/>
    <m/>
    <n v="17030"/>
    <m/>
    <m/>
    <m/>
    <m/>
    <m/>
  </r>
  <r>
    <s v="Jean MOREL (Amaryllis)"/>
    <x v="2"/>
    <x v="1"/>
    <x v="3"/>
    <s v="PRLC 0109"/>
    <m/>
    <s v="MMA"/>
    <x v="0"/>
    <m/>
    <m/>
    <m/>
    <s v="Commune"/>
    <s v="LE GOFF"/>
    <m/>
    <n v="2250"/>
    <n v="102507"/>
    <n v="68451"/>
    <n v="11389.666666666666"/>
    <n v="45.558666666666667"/>
    <n v="30.422666666666668"/>
    <n v="96.496842223976543"/>
    <n v="7605.666666666667"/>
    <n v="250"/>
    <m/>
    <n v="0.31527111111111111"/>
    <s v="UC"/>
    <m/>
    <m/>
    <x v="0"/>
    <n v="9"/>
    <n v="9"/>
    <x v="0"/>
    <x v="15"/>
    <x v="0"/>
    <x v="0"/>
    <m/>
    <n v="709.36"/>
    <m/>
    <n v="709.36"/>
    <n v="78.817777777777778"/>
    <n v="0"/>
    <n v="0"/>
    <n v="0.44444444444444442"/>
    <n v="0.44444444444444442"/>
    <n v="0.1111111111111111"/>
    <m/>
    <s v="x"/>
    <e v="#VALUE!"/>
    <n v="2"/>
    <s v="collectif"/>
    <m/>
    <m/>
    <m/>
    <m/>
    <d v="2012-02-24T00:00:00"/>
    <s v="OFOI"/>
    <s v="LOGIS 4"/>
    <m/>
    <d v="2013-07-31T00:00:00"/>
    <m/>
    <d v="2013-08-30T00:00:00"/>
    <d v="2013-09-02T00:00:00"/>
    <m/>
    <d v="2013-10-02T00:00:00"/>
    <d v="2013-10-29T00:00:00"/>
    <d v="2014-01-29T00:00:00"/>
    <m/>
    <d v="2014-01-20T00:00:00"/>
    <d v="2016-01-20T00:00:00"/>
    <d v="2017-01-20T00:00:00"/>
    <m/>
    <s v="oui"/>
    <n v="5"/>
    <n v="18837.732114698876"/>
    <n v="0"/>
    <m/>
    <s v="CR + CASUD = 19/12/13_x000a_CG = 15/01/14_x000a_Commune = 15/01/14"/>
    <m/>
    <m/>
    <m/>
    <m/>
    <s v="LE GOFF"/>
    <d v="2013-12-17T00:00:00"/>
    <m/>
    <n v="1448775.1224289911"/>
    <d v="2015-06-17T00:00:00"/>
    <d v="2015-12-17T00:00:00"/>
    <d v="2015-03-03T00:00:00"/>
    <d v="2015-07-15T00:00:00"/>
    <n v="12.566666666666666"/>
    <m/>
    <m/>
    <m/>
    <s v="0"/>
    <m/>
    <m/>
    <s v="0"/>
    <m/>
    <m/>
    <s v="0"/>
    <m/>
    <m/>
    <s v="0"/>
    <m/>
    <m/>
    <s v="0"/>
    <m/>
    <m/>
    <m/>
    <m/>
    <s v="0"/>
    <m/>
    <x v="14"/>
    <x v="3"/>
    <n v="13.8"/>
    <s v="0"/>
    <n v="13"/>
    <n v="1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18T00:00:00"/>
    <d v="2016-02-24T00:00:00"/>
    <n v="4.3"/>
    <d v="2017-03-03T00:00:00"/>
    <d v="2016-07-15T00:00:00"/>
    <s v="ok"/>
    <d v="2016-07-26T00:00:00"/>
    <m/>
    <d v="2015-11-18T00:00:00"/>
    <x v="19"/>
    <x v="3"/>
    <n v="8.3666666666666671"/>
    <n v="3767.5464229397749"/>
    <n v="31521.805071929452"/>
    <m/>
    <m/>
    <n v="0"/>
    <m/>
    <m/>
    <n v="40210.961899999995"/>
    <n v="2.5876362659390653E-2"/>
    <m/>
    <s v="Lot Men Ext : APOI_x000a_Lot Metallerie : CSMD par M Metallerie_x000a_Lot Elec : Filea Elec par Mon ti caze Eclaire_x000a_Soit 3 lots sur 14 = 21%_x000a_5 RO"/>
    <m/>
    <m/>
    <s v="ok"/>
    <m/>
    <s v="ok"/>
    <s v="ok"/>
    <d v="2017-02-02T00:00:00"/>
    <s v="Envoi papier : 23/12/16 (pièces complémentaires envoyées entre le 30/01 et le 09/02)"/>
    <d v="2017-02-24T00:00:00"/>
    <n v="12615"/>
    <d v="2016-09-08T00:00:00"/>
    <d v="2016-11-14T00:00:00"/>
    <m/>
    <m/>
    <d v="2017-05-23T00:00:00"/>
    <m/>
    <s v="ok"/>
    <m/>
    <s v="1e partie envoyée à OFOI le 08/02/17_x000a_dernière partie envoyée à OFOI le 14/06/2017"/>
    <d v="2017-03-14T00:00:00"/>
    <m/>
    <m/>
    <m/>
    <s v="oui"/>
    <n v="1547410"/>
    <n v="1517365"/>
    <n v="1553965"/>
    <n v="36600"/>
    <n v="2190.6577760234577"/>
    <n v="172662.77777777778"/>
    <n v="1337540"/>
    <n v="1322857"/>
    <n v="-14683"/>
    <n v="0.89999989455404594"/>
    <m/>
    <n v="424314"/>
    <n v="426409"/>
    <m/>
    <n v="47378.777777777781"/>
    <n v="2095"/>
    <n v="868051"/>
    <n v="864010"/>
    <n v="176535"/>
    <n v="687475"/>
    <n v="-4041"/>
    <n v="96001.111111111109"/>
    <m/>
    <n v="225000"/>
    <n v="225000"/>
    <m/>
    <n v="0.14479090584408272"/>
    <n v="38546"/>
    <n v="0"/>
    <n v="0"/>
    <n v="25000"/>
    <n v="72378.777777777781"/>
    <n v="0"/>
    <m/>
    <m/>
    <n v="270120.19565000001"/>
    <n v="180000"/>
    <n v="92378.777777777781"/>
    <n v="0"/>
    <n v="92378.777777777781"/>
    <n v="0.47363006816549857"/>
    <n v="68687.774999999994"/>
    <m/>
    <m/>
    <n v="1824085.1956500001"/>
    <n v="79167"/>
    <n v="39036"/>
    <m/>
    <m/>
    <m/>
    <m/>
    <m/>
    <m/>
    <d v="2012-02-02T00:00:00"/>
    <n v="16481"/>
    <d v="2012-12-11T00:00:00"/>
    <n v="10844"/>
    <n v="41508"/>
    <n v="11711"/>
    <m/>
    <m/>
    <m/>
    <m/>
    <m/>
    <m/>
    <m/>
    <m/>
    <m/>
    <m/>
    <m/>
    <m/>
    <m/>
    <m/>
    <m/>
    <m/>
    <n v="16481"/>
    <m/>
    <m/>
    <m/>
    <m/>
    <m/>
  </r>
  <r>
    <s v="Lié ETHEVE (Poker As 2)"/>
    <x v="2"/>
    <x v="1"/>
    <x v="3"/>
    <s v="PRLC 0139"/>
    <s v="APU"/>
    <s v="MMA"/>
    <x v="0"/>
    <n v="28778.48575"/>
    <n v="26523.95"/>
    <m/>
    <s v="SODEGIS"/>
    <m/>
    <s v="ok"/>
    <n v="2330"/>
    <n v="800000"/>
    <n v="800000"/>
    <n v="18181.81818181818"/>
    <n v="343.34763948497852"/>
    <n v="343.34763948497852"/>
    <n v="218.75076904567243"/>
    <n v="18181.81818181818"/>
    <n v="52.954545454545453"/>
    <m/>
    <n v="1.5695836909871246"/>
    <s v="UA"/>
    <n v="580"/>
    <m/>
    <x v="1"/>
    <n v="44"/>
    <n v="44"/>
    <x v="7"/>
    <x v="2"/>
    <x v="0"/>
    <x v="0"/>
    <m/>
    <n v="3666.81"/>
    <m/>
    <n v="3657.13"/>
    <n v="83.116590909090917"/>
    <n v="0.13636363636363635"/>
    <m/>
    <n v="0.38636363636363635"/>
    <n v="0.38636363636363635"/>
    <n v="9.0909090909090912E-2"/>
    <n v="1428"/>
    <n v="0"/>
    <n v="0"/>
    <n v="4"/>
    <s v="collectif"/>
    <s v="oui"/>
    <m/>
    <m/>
    <m/>
    <d v="2013-03-15T00:00:00"/>
    <s v="INGEPAR"/>
    <s v="LS 75"/>
    <m/>
    <d v="2013-06-21T00:00:00"/>
    <m/>
    <d v="2013-07-12T00:00:00"/>
    <d v="2013-08-14T00:00:00"/>
    <m/>
    <d v="2013-10-03T00:00:00"/>
    <d v="2013-10-29T00:00:00"/>
    <d v="2014-01-29T00:00:00"/>
    <m/>
    <d v="2014-01-20T00:00:00"/>
    <d v="2016-01-20T00:00:00"/>
    <d v="2017-01-20T00:00:00"/>
    <m/>
    <s v="oui"/>
    <n v="2"/>
    <n v="54436"/>
    <n v="0"/>
    <m/>
    <s v="CR + CASUD = 19/12/13_x000a_CG = 15/01/14_x000a_Commune = 15/01/14"/>
    <m/>
    <m/>
    <m/>
    <m/>
    <s v="QUINOT"/>
    <d v="2013-12-18T00:00:00"/>
    <m/>
    <n v="6818520.4699999997"/>
    <d v="2015-06-18T00:00:00"/>
    <d v="2015-12-18T00:00:00"/>
    <d v="2014-12-15T00:00:00"/>
    <d v="2016-01-29T00:00:00"/>
    <n v="9.1"/>
    <m/>
    <m/>
    <m/>
    <s v="0"/>
    <m/>
    <m/>
    <s v="0"/>
    <m/>
    <m/>
    <s v="0"/>
    <m/>
    <m/>
    <s v="0"/>
    <m/>
    <m/>
    <s v="0"/>
    <m/>
    <m/>
    <m/>
    <m/>
    <s v="0"/>
    <m/>
    <x v="15"/>
    <x v="3"/>
    <n v="10.666666666666666"/>
    <s v="0"/>
    <n v="15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7T00:00:00"/>
    <d v="2016-09-27T00:00:00"/>
    <n v="13.9"/>
    <d v="2016-12-15T00:00:00"/>
    <d v="2017-01-10T00:00:00"/>
    <d v="2016-06-02T00:00:00"/>
    <d v="2016-10-27T00:00:00"/>
    <m/>
    <d v="2015-09-07T00:00:00"/>
    <x v="20"/>
    <x v="3"/>
    <n v="13.9"/>
    <n v="27218"/>
    <n v="378330.2"/>
    <s v="ok"/>
    <m/>
    <n v="0"/>
    <n v="285000"/>
    <m/>
    <n v="194031.93247"/>
    <n v="2.6509981000663596E-2"/>
    <m/>
    <m/>
    <m/>
    <m/>
    <s v="ok"/>
    <d v="2017-04-26T00:00:00"/>
    <s v="ok"/>
    <s v="ok"/>
    <d v="2017-06-26T00:00:00"/>
    <s v="ok"/>
    <d v="2017-09-27T00:00:00"/>
    <n v="205656"/>
    <d v="2016-12-01T00:00:00"/>
    <d v="2017-05-18T00:00:00"/>
    <m/>
    <m/>
    <m/>
    <m/>
    <m/>
    <s v="dossier envoyé Arrangeur 09/11/17"/>
    <m/>
    <d v="2017-08-08T00:00:00"/>
    <d v="2018-02-08T00:00:00"/>
    <m/>
    <m/>
    <s v="oui"/>
    <n v="7150691"/>
    <n v="7150692"/>
    <n v="7319203"/>
    <n v="168511"/>
    <n v="1996.0682446049836"/>
    <n v="166345.52272727274"/>
    <n v="6405313"/>
    <n v="6413222"/>
    <n v="7909"/>
    <n v="0.91457226419484994"/>
    <m/>
    <n v="2389181"/>
    <n v="2438948"/>
    <m/>
    <n v="55430.63636363636"/>
    <n v="49767"/>
    <n v="4761510"/>
    <n v="4693223"/>
    <n v="982573"/>
    <n v="3710650"/>
    <n v="-68287"/>
    <n v="106664.15909090909"/>
    <m/>
    <n v="1"/>
    <n v="1"/>
    <m/>
    <n v="1.3662689776468832E-7"/>
    <n v="171546"/>
    <n v="15485"/>
    <n v="0"/>
    <n v="2.2727272727272728E-2"/>
    <n v="55430.659090909088"/>
    <n v="0"/>
    <m/>
    <m/>
    <m/>
    <m/>
    <n v="55430.659090909088"/>
    <m/>
    <n v="55430.659090909088"/>
    <n v="0.33322603567628878"/>
    <m/>
    <m/>
    <n v="0"/>
    <n v="7319203"/>
    <n v="343148"/>
    <n v="186489"/>
    <d v="2012-05-31T00:00:00"/>
    <n v="37298"/>
    <m/>
    <m/>
    <d v="2013-02-19T00:00:00"/>
    <n v="18649"/>
    <d v="2012-12-19T00:00:00"/>
    <n v="37298"/>
    <d v="2013-05-02T00:00:00"/>
    <n v="37298"/>
    <n v="41547"/>
    <n v="55946"/>
    <m/>
    <m/>
    <m/>
    <m/>
    <m/>
    <m/>
    <m/>
    <m/>
    <m/>
    <m/>
    <m/>
    <m/>
    <m/>
    <m/>
    <m/>
    <m/>
    <n v="37298"/>
    <m/>
    <m/>
    <m/>
    <m/>
    <m/>
  </r>
  <r>
    <s v="Tamariniers LLS"/>
    <x v="3"/>
    <x v="2"/>
    <x v="3"/>
    <s v="PRLC 0113"/>
    <s v="FBR"/>
    <s v="VAF"/>
    <x v="0"/>
    <m/>
    <s v="CX 671 / 1141"/>
    <s v="BJE récupère les pièces avec FBR_x000a_attente tableau des ventes de FBR_x000a_Rétrocession du chemin de l'amitié à faire_x000a_attente conformité des lots"/>
    <s v="EPFR"/>
    <s v="POPINEAU"/>
    <m/>
    <n v="18523"/>
    <n v="492000"/>
    <n v="699015"/>
    <n v="13297.297297297297"/>
    <n v="26.56157209955191"/>
    <n v="37.737677482049342"/>
    <n v="189.87388190043652"/>
    <n v="8524.5731707317082"/>
    <n v="225.89024390243901"/>
    <m/>
    <n v="0.19875128218971008"/>
    <s v="Aub"/>
    <m/>
    <m/>
    <x v="1"/>
    <n v="37"/>
    <n v="37"/>
    <x v="8"/>
    <x v="2"/>
    <x v="0"/>
    <x v="0"/>
    <m/>
    <n v="3305.14"/>
    <m/>
    <n v="3681.47"/>
    <n v="99.499189189189181"/>
    <m/>
    <m/>
    <m/>
    <m/>
    <m/>
    <n v="3236"/>
    <m/>
    <n v="0"/>
    <n v="3.5"/>
    <s v="collectif"/>
    <s v="oui"/>
    <m/>
    <m/>
    <d v="2012-09-18T00:00:00"/>
    <d v="2012-02-24T00:00:00"/>
    <s v="OFOI"/>
    <s v="DOMBEYA 3"/>
    <m/>
    <d v="2013-08-07T00:00:00"/>
    <m/>
    <d v="2013-09-20T00:00:00"/>
    <d v="2013-09-26T00:00:00"/>
    <m/>
    <d v="2013-10-02T00:00:00"/>
    <d v="2013-10-29T00:00:00"/>
    <d v="2014-01-29T00:00:00"/>
    <m/>
    <d v="2014-01-20T00:00:00"/>
    <d v="2016-01-20T00:00:00"/>
    <d v="2017-01-20T00:00:00"/>
    <m/>
    <s v="oui"/>
    <n v="1"/>
    <n v="23136.729423819084"/>
    <n v="0"/>
    <m/>
    <d v="2014-01-13T00:00:00"/>
    <m/>
    <m/>
    <m/>
    <m/>
    <s v="MAREL"/>
    <d v="2013-12-27T00:00:00"/>
    <m/>
    <n v="13003860.789999999"/>
    <d v="2015-06-27T00:00:00"/>
    <d v="2015-12-27T00:00:00"/>
    <d v="2015-06-04T00:00:00"/>
    <d v="2016-12-27T00:00:00"/>
    <n v="-0.9"/>
    <m/>
    <m/>
    <m/>
    <s v="0"/>
    <m/>
    <m/>
    <s v="0"/>
    <m/>
    <m/>
    <s v="0"/>
    <m/>
    <m/>
    <s v="0"/>
    <m/>
    <m/>
    <s v="0"/>
    <m/>
    <m/>
    <m/>
    <m/>
    <s v="0"/>
    <m/>
    <x v="16"/>
    <x v="3"/>
    <n v="10.266666666666667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d v="2016-12-31T00:00:00"/>
    <d v="2016-12-22T00:00:00"/>
    <d v="2016-06-17T00:00:00"/>
    <d v="2016-11-18T00:00:00"/>
    <m/>
    <d v="2016-07-11T00:00:00"/>
    <x v="21"/>
    <x v="3"/>
    <n v="4.7333333333333334"/>
    <n v="23136.729423819084"/>
    <n v="109513.85260607699"/>
    <d v="2016-10-27T00:00:00"/>
    <m/>
    <n v="0"/>
    <m/>
    <m/>
    <n v="131109.67299999998"/>
    <n v="9.6389719953015856E-3"/>
    <m/>
    <m/>
    <m/>
    <m/>
    <s v="ok"/>
    <s v="ok"/>
    <s v="ok"/>
    <s v="ok"/>
    <d v="2018-05-04T00:00:00"/>
    <s v="ok"/>
    <d v="2017-11-08T00:00:00"/>
    <n v="91095"/>
    <d v="2017-03-01T00:00:00"/>
    <m/>
    <m/>
    <m/>
    <m/>
    <m/>
    <d v="2017-03-01T00:00:00"/>
    <s v="élément transmis à OFOI 03/10/17"/>
    <s v="à déposer"/>
    <s v="ok"/>
    <m/>
    <s v="ok"/>
    <m/>
    <s v="oui"/>
    <n v="6447379"/>
    <n v="6447379"/>
    <n v="7137960"/>
    <n v="690581"/>
    <n v="2159.6543565476804"/>
    <n v="192917.83783783784"/>
    <n v="5795250"/>
    <n v="6458898"/>
    <n v="663648"/>
    <n v="0.91772955335803885"/>
    <m/>
    <n v="2155832"/>
    <n v="2453735"/>
    <m/>
    <n v="66317.16216216216"/>
    <n v="297903"/>
    <n v="4291546"/>
    <n v="4684224"/>
    <n v="641413"/>
    <n v="4042811"/>
    <n v="392678"/>
    <n v="126600.64864864865"/>
    <m/>
    <n v="1"/>
    <n v="1"/>
    <m/>
    <n v="1.4009604985177837E-7"/>
    <m/>
    <n v="0"/>
    <n v="0"/>
    <n v="2.7027027027027029E-2"/>
    <n v="66317.189189189186"/>
    <n v="0"/>
    <m/>
    <m/>
    <n v="2196102.662575"/>
    <n v="1303101.6922500001"/>
    <n v="101536.15384459461"/>
    <n v="0"/>
    <n v="101536.15384459461"/>
    <n v="0.41994795777936861"/>
    <n v="388102.52"/>
    <m/>
    <n v="0"/>
    <n v="9334062.662574999"/>
    <n v="657747"/>
    <n v="328481"/>
    <d v="2012-02-06T00:00:00"/>
    <n v="42492"/>
    <m/>
    <m/>
    <m/>
    <m/>
    <d v="2013-05-13T00:00:00"/>
    <n v="121749"/>
    <d v="2013-07-30T00:00:00"/>
    <n v="65696"/>
    <n v="41570"/>
    <n v="98544"/>
    <m/>
    <m/>
    <m/>
    <m/>
    <m/>
    <m/>
    <m/>
    <m/>
    <m/>
    <m/>
    <m/>
    <m/>
    <m/>
    <m/>
    <m/>
    <m/>
    <n v="121749"/>
    <m/>
    <m/>
    <m/>
    <m/>
    <m/>
  </r>
  <r>
    <s v="Tamariniers LLTS"/>
    <x v="3"/>
    <x v="2"/>
    <x v="3"/>
    <s v="PRLC 0113"/>
    <s v="FBR"/>
    <m/>
    <x v="0"/>
    <m/>
    <s v="CX 671 / 1141"/>
    <m/>
    <s v="EPFR"/>
    <s v="POPINEAU"/>
    <m/>
    <m/>
    <m/>
    <m/>
    <m/>
    <m/>
    <m/>
    <m/>
    <m/>
    <m/>
    <m/>
    <m/>
    <m/>
    <m/>
    <m/>
    <x v="0"/>
    <n v="44"/>
    <n v="44"/>
    <x v="0"/>
    <x v="16"/>
    <x v="0"/>
    <x v="0"/>
    <m/>
    <n v="3272.11"/>
    <m/>
    <n v="3318.11"/>
    <n v="75.411590909090918"/>
    <m/>
    <m/>
    <m/>
    <m/>
    <m/>
    <m/>
    <m/>
    <e v="#DIV/0!"/>
    <n v="3.5"/>
    <s v="collectif"/>
    <s v="oui"/>
    <m/>
    <m/>
    <d v="2012-09-18T00:00:00"/>
    <d v="2012-02-24T00:00:00"/>
    <s v="OFOI"/>
    <s v="DOMBEYA 3"/>
    <n v="220000"/>
    <d v="2013-07-10T00:00:00"/>
    <m/>
    <d v="2013-09-20T00:00:00"/>
    <d v="2013-09-26T00:00:00"/>
    <m/>
    <d v="2013-10-02T00:00:00"/>
    <d v="2013-11-05T00:00:00"/>
    <d v="2014-02-05T00:00:00"/>
    <m/>
    <d v="2014-01-20T00:00:00"/>
    <d v="2016-01-20T00:00:00"/>
    <d v="2017-01-20T00:00:00"/>
    <m/>
    <s v="oui"/>
    <n v="1"/>
    <n v="17948.329338702748"/>
    <n v="0"/>
    <m/>
    <d v="2014-01-20T00:00:00"/>
    <m/>
    <m/>
    <m/>
    <m/>
    <m/>
    <d v="2013-12-27T00:00:00"/>
    <m/>
    <n v="13003860.789999999"/>
    <d v="2015-06-27T00:00:00"/>
    <d v="2015-12-27T00:00:00"/>
    <d v="2015-06-04T00:00:00"/>
    <m/>
    <m/>
    <m/>
    <m/>
    <m/>
    <s v="0"/>
    <m/>
    <m/>
    <s v="0"/>
    <m/>
    <m/>
    <s v="0"/>
    <m/>
    <m/>
    <s v="0"/>
    <m/>
    <m/>
    <s v="0"/>
    <m/>
    <m/>
    <m/>
    <m/>
    <s v="0"/>
    <m/>
    <x v="16"/>
    <x v="3"/>
    <n v="11.2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d v="2016-12-31T00:00:00"/>
    <d v="2016-12-22T00:00:00"/>
    <d v="2016-06-17T00:00:00"/>
    <d v="2016-11-18T00:00:00"/>
    <m/>
    <d v="2016-07-11T00:00:00"/>
    <x v="21"/>
    <x v="3"/>
    <n v="4.7333333333333334"/>
    <n v="17948.329338702748"/>
    <n v="84955.425536526338"/>
    <d v="2016-10-27T00:00:00"/>
    <m/>
    <n v="0"/>
    <m/>
    <m/>
    <m/>
    <m/>
    <m/>
    <s v="Lot élec : Eneris par Espace Soleil_x000a_Soit 1 sur 15_x000a_4 RO"/>
    <m/>
    <m/>
    <s v="ok"/>
    <s v="ok"/>
    <s v="ok"/>
    <s v="ok"/>
    <d v="2018-05-04T00:00:00"/>
    <s v="ok"/>
    <d v="2017-11-08T00:00:00"/>
    <n v="82104"/>
    <d v="2017-03-01T00:00:00"/>
    <m/>
    <m/>
    <m/>
    <m/>
    <m/>
    <d v="2017-03-01T00:00:00"/>
    <s v="élément transmis à OFOI 03/10/17"/>
    <s v="à déposer"/>
    <s v="ok"/>
    <m/>
    <m/>
    <m/>
    <s v="oui"/>
    <n v="6402537"/>
    <n v="6402537"/>
    <n v="6464079"/>
    <n v="61542"/>
    <n v="1975.5078527311123"/>
    <n v="146910.88636363635"/>
    <n v="5737343"/>
    <n v="5833192"/>
    <n v="95849"/>
    <n v="0.91492281934489406"/>
    <m/>
    <n v="1799492"/>
    <n v="1905132"/>
    <m/>
    <n v="43298.454545454544"/>
    <n v="105640"/>
    <n v="3703045"/>
    <n v="3678947"/>
    <n v="473086"/>
    <n v="3205861"/>
    <n v="-24098"/>
    <n v="83612.431818181823"/>
    <m/>
    <n v="900000"/>
    <n v="880000"/>
    <m/>
    <n v="0.13613695005893336"/>
    <m/>
    <n v="0"/>
    <n v="-20000"/>
    <n v="20000"/>
    <n v="63298.454545454544"/>
    <n v="-454.54545454545456"/>
    <m/>
    <m/>
    <n v="0"/>
    <n v="0"/>
    <n v="63298.454545454544"/>
    <n v="0"/>
    <n v="63298.454545454544"/>
    <n v="0.45371634850544579"/>
    <n v="325591.79499999998"/>
    <m/>
    <n v="0"/>
    <n v="6464079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Coco Huet (Parc à Moutons)"/>
    <x v="6"/>
    <x v="1"/>
    <x v="3"/>
    <s v="PRLC 0121"/>
    <s v="YFR"/>
    <s v="DBA"/>
    <x v="1"/>
    <m/>
    <m/>
    <s v="_x000a_1 LOT sous compromis_x000a_Obtenir conformité Mairie"/>
    <s v="Commune"/>
    <s v="BARET"/>
    <d v="2013-12-19T00:00:00"/>
    <n v="11354"/>
    <n v="444858"/>
    <n v="247250"/>
    <n v="13084.058823529413"/>
    <n v="39.180729258411134"/>
    <n v="21.776466443544127"/>
    <n v="93.413630644960193"/>
    <n v="7272.0588235294117"/>
    <n v="333.94117647058823"/>
    <m/>
    <n v="0.23311872467852737"/>
    <s v="NAUD"/>
    <n v="300"/>
    <m/>
    <x v="0"/>
    <n v="34"/>
    <n v="34"/>
    <x v="0"/>
    <x v="17"/>
    <x v="0"/>
    <x v="0"/>
    <m/>
    <n v="2592.75"/>
    <m/>
    <n v="2646.83"/>
    <n v="77.847941176470584"/>
    <m/>
    <m/>
    <m/>
    <m/>
    <m/>
    <n v="1035"/>
    <s v="x"/>
    <e v="#VALUE!"/>
    <n v="2"/>
    <s v="MDV"/>
    <s v="non"/>
    <m/>
    <m/>
    <d v="2012-09-21T00:00:00"/>
    <d v="2013-03-15T00:00:00"/>
    <s v="INGEPAR"/>
    <s v="LS 77"/>
    <m/>
    <d v="2013-07-29T00:00:00"/>
    <m/>
    <d v="2013-08-12T00:00:00"/>
    <d v="2013-08-23T00:00:00"/>
    <m/>
    <d v="2013-10-02T00:00:00"/>
    <d v="2013-10-29T00:00:00"/>
    <d v="2014-01-29T00:00:00"/>
    <m/>
    <d v="2014-01-20T00:00:00"/>
    <d v="2016-01-20T00:00:00"/>
    <d v="2017-01-20T00:00:00"/>
    <m/>
    <s v="oui"/>
    <e v="#NUM!"/>
    <e v="#NUM!"/>
    <e v="#NUM!"/>
    <m/>
    <s v="CR + CASUD = 19/12/13_x000a_CG = 15/01/14_x000a_Commune = 15/01/14"/>
    <m/>
    <m/>
    <m/>
    <m/>
    <s v="MAREL"/>
    <d v="2013-12-19T00:00:00"/>
    <m/>
    <n v="5177307.8499999996"/>
    <d v="2015-06-19T00:00:00"/>
    <d v="2015-12-19T00:00:00"/>
    <d v="2014-12-15T00:00:00"/>
    <d v="2015-11-15T00:00:00"/>
    <n v="25"/>
    <m/>
    <m/>
    <m/>
    <s v="0"/>
    <m/>
    <m/>
    <s v="0"/>
    <m/>
    <m/>
    <s v="0"/>
    <m/>
    <m/>
    <s v="0"/>
    <m/>
    <m/>
    <s v="0"/>
    <m/>
    <m/>
    <m/>
    <m/>
    <s v="0"/>
    <m/>
    <x v="17"/>
    <x v="3"/>
    <n v="8.1666666666666661"/>
    <s v="0"/>
    <n v="18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01T00:00:00"/>
    <d v="2017-11-29T00:00:00"/>
    <n v="26.333333333333332"/>
    <d v="2016-12-15T00:00:00"/>
    <d v="2018-01-31T00:00:00"/>
    <d v="2015-12-04T00:00:00"/>
    <d v="2017-11-15T00:00:00"/>
    <m/>
    <d v="2015-11-01T00:00:00"/>
    <x v="22"/>
    <x v="4"/>
    <n v="25.466666666666665"/>
    <n v="14196.666666666666"/>
    <n v="361541.77777777775"/>
    <d v="2017-09-04T00:00:00"/>
    <n v="51376"/>
    <n v="0"/>
    <n v="30629.999999999996"/>
    <m/>
    <n v="127571.90799999998"/>
    <n v="2.1677246353851463E-2"/>
    <m/>
    <s v="Lot Charpente Couverture : Trait Carré par HJP_x000a_Lot Gros-œuvre : Robert Construction par CH2D_x000a_Lot Men Ext :APOI par Espace Alu_x000a_Lot électricité : Electric Services par_x000a_Lot Gros-Œuvre : CH2D par DRMS_x000a_Lot OPC_x000a_Lot plomberie : Fluides OI par_x000a_Soit 7 lots sur 14 = 50%_x000a_3 RO"/>
    <m/>
    <m/>
    <s v="réserves à lever"/>
    <d v="2018-03-05T00:00:00"/>
    <m/>
    <m/>
    <m/>
    <s v="envoyé "/>
    <d v="2018-11-29T00:00:00"/>
    <n v="56500"/>
    <d v="2018-02-22T00:00:00"/>
    <d v="2018-03-12T00:00:00"/>
    <m/>
    <m/>
    <d v="2018-04-23T00:00:00"/>
    <m/>
    <m/>
    <m/>
    <m/>
    <d v="2018-05-22T00:00:00"/>
    <m/>
    <m/>
    <m/>
    <s v="oui"/>
    <n v="5039187"/>
    <n v="5045187"/>
    <n v="5885060.5800000001"/>
    <n v="839873.58000000007"/>
    <n v="2269.8141278565231"/>
    <n v="173090.01705882352"/>
    <n v="4467345"/>
    <n v="4848194"/>
    <n v="380849"/>
    <n v="0.90406148374678663"/>
    <m/>
    <n v="1408892"/>
    <n v="1600171.58"/>
    <m/>
    <n v="47063.87"/>
    <n v="191279.58000000007"/>
    <n v="2956295"/>
    <n v="3023907"/>
    <n v="650910"/>
    <n v="2372997"/>
    <n v="67612"/>
    <n v="88938.441176470587"/>
    <m/>
    <n v="680000"/>
    <n v="680000"/>
    <m/>
    <n v="0.11554681396329823"/>
    <n v="580982"/>
    <n v="0"/>
    <n v="0"/>
    <n v="20000"/>
    <n v="67063.87"/>
    <n v="0"/>
    <m/>
    <m/>
    <n v="1298644.9078014998"/>
    <n v="680000"/>
    <n v="87063.87"/>
    <n v="0"/>
    <n v="87063.87"/>
    <n v="0.42707533654989638"/>
    <n v="252442.25"/>
    <m/>
    <n v="0"/>
    <n v="7183705.4878014997"/>
    <n v="258409"/>
    <n v="349737"/>
    <d v="2011-08-24T00:00:00"/>
    <n v="210013"/>
    <m/>
    <m/>
    <m/>
    <m/>
    <d v="2013-02-27T00:00:00"/>
    <n v="39806"/>
    <d v="2013-07-30T00:00:00"/>
    <n v="24327"/>
    <n v="41570"/>
    <n v="36491"/>
    <m/>
    <m/>
    <s v="ok"/>
    <m/>
    <d v="2016-12-15T00:00:00"/>
    <n v="39100"/>
    <m/>
    <m/>
    <m/>
    <m/>
    <m/>
    <m/>
    <m/>
    <m/>
    <m/>
    <m/>
    <n v="39806"/>
    <m/>
    <m/>
    <m/>
    <m/>
    <m/>
  </r>
  <r>
    <s v="Rue de l'Eglise"/>
    <x v="7"/>
    <x v="1"/>
    <x v="3"/>
    <s v="PRLC 0148"/>
    <s v="APU"/>
    <s v="GGO"/>
    <x v="1"/>
    <e v="#REF!"/>
    <m/>
    <m/>
    <s v="EPFR"/>
    <s v="BARET"/>
    <d v="2013-11-13T00:00:00"/>
    <n v="1547"/>
    <n v="259906"/>
    <n v="259906"/>
    <n v="14439.222222222223"/>
    <n v="168.00646412411118"/>
    <n v="168.00646412411118"/>
    <n v="197.22270702594417"/>
    <n v="14439.222222222223"/>
    <n v="85.944444444444443"/>
    <n v="836"/>
    <n v="0.85186166774402061"/>
    <s v="UA"/>
    <n v="383"/>
    <n v="0"/>
    <x v="0"/>
    <n v="18"/>
    <n v="18"/>
    <x v="0"/>
    <x v="18"/>
    <x v="0"/>
    <x v="0"/>
    <m/>
    <n v="1340.98"/>
    <m/>
    <n v="1317.83"/>
    <n v="73.212777777777774"/>
    <m/>
    <n v="0.66666666666666663"/>
    <n v="0.33333333333333331"/>
    <m/>
    <m/>
    <m/>
    <n v="0"/>
    <n v="0"/>
    <n v="3.5"/>
    <s v="collectif"/>
    <s v="oui"/>
    <m/>
    <m/>
    <d v="2013-02-08T00:00:00"/>
    <d v="2013-03-15T00:00:00"/>
    <s v="OFOI"/>
    <s v="LOGIS 5"/>
    <m/>
    <d v="2013-07-08T00:00:00"/>
    <m/>
    <d v="2013-08-28T00:00:00"/>
    <d v="2013-08-29T00:00:00"/>
    <m/>
    <d v="2013-10-02T00:00:00"/>
    <d v="2013-10-29T00:00:00"/>
    <d v="2014-01-29T00:00:00"/>
    <m/>
    <d v="2014-01-20T00:00:00"/>
    <d v="2016-01-20T00:00:00"/>
    <d v="2017-01-20T00:00:00"/>
    <m/>
    <s v="oui"/>
    <e v="#NUM!"/>
    <e v="#NUM!"/>
    <e v="#NUM!"/>
    <m/>
    <s v="CR + CASUD = 19/12/13_x000a_CG = 15/01/14_x000a_Commune = 15/01/14"/>
    <m/>
    <m/>
    <m/>
    <m/>
    <s v="BARET/GILLOT"/>
    <d v="2013-12-17T00:00:00"/>
    <m/>
    <n v="2595669.38"/>
    <d v="2015-06-17T00:00:00"/>
    <d v="2015-12-17T00:00:00"/>
    <d v="2015-05-29T00:00:00"/>
    <d v="2016-04-15T00:00:00"/>
    <n v="19.8"/>
    <d v="2012-10-02T00:00:00"/>
    <d v="2012-10-02T00:00:00"/>
    <d v="2012-10-03T00:00:00"/>
    <n v="1"/>
    <d v="2012-11-14T00:00:00"/>
    <d v="2013-02-06T00:00:00"/>
    <n v="84"/>
    <d v="2013-04-09T00:00:00"/>
    <d v="2013-04-11T00:00:00"/>
    <n v="2"/>
    <d v="2013-06-10T00:00:00"/>
    <d v="2013-06-12T00:00:00"/>
    <n v="2"/>
    <d v="2013-08-25T00:00:00"/>
    <d v="2013-09-12T00:00:00"/>
    <n v="18"/>
    <m/>
    <d v="2014-02-14T00:00:00"/>
    <d v="2013-10-26T00:00:00"/>
    <d v="2014-04-14T00:00:00"/>
    <n v="170"/>
    <d v="2014-04-14T00:00:00"/>
    <x v="18"/>
    <x v="3"/>
    <n v="9.6"/>
    <n v="8"/>
    <n v="15"/>
    <n v="42"/>
    <d v="2014-07-15T00:00:00"/>
    <n v="41835"/>
    <n v="0"/>
    <d v="2014-08-29T00:00:00"/>
    <d v="2015-05-29T00:00:00"/>
    <n v="273"/>
    <d v="2015-02-16T00:00:00"/>
    <d v="2015-09-08T00:00:00"/>
    <n v="204"/>
    <d v="2015-03-18T00:00:00"/>
    <d v="2017-07-27T00:00:00"/>
    <n v="862"/>
    <d v="2015-03-18T00:00:00"/>
    <d v="2017-07-27T00:00:00"/>
    <n v="862"/>
    <d v="2015-05-17T00:00:00"/>
    <d v="2017-07-18T00:00:00"/>
    <n v="793"/>
    <d v="2015-08-15T00:00:00"/>
    <d v="2017-09-07T00:00:00"/>
    <n v="754"/>
    <d v="2017-11-13T00:00:00"/>
    <d v="2017-11-02T00:00:00"/>
    <d v="2017-10-23T00:00:00"/>
    <d v="2015-07-22T00:00:00"/>
    <d v="2017-11-16T00:00:00"/>
    <n v="28.266666666666666"/>
    <d v="2017-05-29T00:00:00"/>
    <d v="2017-12-13T00:00:00"/>
    <d v="2016-01-13T00:00:00"/>
    <d v="2017-11-20T00:00:00"/>
    <m/>
    <d v="2015-08-22T00:00:00"/>
    <x v="23"/>
    <x v="4"/>
    <n v="27.7"/>
    <n v="7190.7782225148085"/>
    <n v="199184.55676366019"/>
    <d v="2017-09-21T00:00:00"/>
    <n v="366248"/>
    <n v="0"/>
    <m/>
    <m/>
    <n v="110247.29"/>
    <n v="3.2927085246660541E-2"/>
    <s v="JFO / BBL / FHO / AGA / APU"/>
    <s v="Lot carrelage : EEPC par _x000a_Lot plomberie : Attitude Plomb par _x000a_Lot ECS : DYELL par _x000a_Lot Charpente : Sorlier par JP Hoarau_x000a_Lot Charpente : JP Hoarau par CMOI_x000a_Soit 5 sur 15 lots  = 33 %_x000a_"/>
    <m/>
    <s v="faisaibilité à 23 logements mixte - à la demande de la Mairie réalisation d'une RPA et de moins de logements_x000a_beaucoup de RO"/>
    <s v="réserves à lever"/>
    <d v="2018-03-05T00:00:00"/>
    <s v="en cours"/>
    <s v="en cours"/>
    <d v="2018-02-21T00:00:00"/>
    <s v="OK sauf RFCT"/>
    <d v="2018-11-16T00:00:00"/>
    <n v="26813"/>
    <d v="2018-02-20T00:00:00"/>
    <d v="2018-02-26T00:00:00"/>
    <m/>
    <m/>
    <d v="2018-04-20T00:00:00"/>
    <m/>
    <m/>
    <m/>
    <m/>
    <d v="2018-05-22T00:00:00"/>
    <m/>
    <m/>
    <m/>
    <s v="oui"/>
    <n v="2715924"/>
    <n v="2715924"/>
    <n v="3348225"/>
    <n v="632301"/>
    <n v="2496.8493191546481"/>
    <n v="186012.5"/>
    <n v="2383274"/>
    <n v="2329832"/>
    <n v="-53442"/>
    <n v="0.89594655594191874"/>
    <m/>
    <n v="717900"/>
    <n v="736924"/>
    <m/>
    <n v="40940.222222222219"/>
    <n v="19024"/>
    <n v="1504024"/>
    <n v="1490303"/>
    <n v="341701"/>
    <n v="1148602"/>
    <n v="-13721"/>
    <n v="82794.611111111109"/>
    <m/>
    <n v="494000"/>
    <n v="432000"/>
    <m/>
    <n v="0.12902358712452119"/>
    <n v="688998"/>
    <n v="0"/>
    <n v="-62000"/>
    <n v="24000"/>
    <n v="64940.222222222219"/>
    <n v="-3444.4444444444443"/>
    <m/>
    <m/>
    <n v="0"/>
    <n v="0"/>
    <n v="64940.222222222219"/>
    <n v="0"/>
    <n v="64940.222222222219"/>
    <n v="0.34911751749061071"/>
    <m/>
    <m/>
    <n v="0"/>
    <n v="3348225"/>
    <n v="149910"/>
    <n v="66209"/>
    <d v="2012-12-14T00:00:00"/>
    <n v="14755"/>
    <m/>
    <m/>
    <d v="2013-04-09T00:00:00"/>
    <n v="4453"/>
    <d v="2013-02-06T00:00:00"/>
    <n v="14755"/>
    <d v="2013-06-28T00:00:00"/>
    <n v="12951"/>
    <n v="41514"/>
    <n v="19295"/>
    <m/>
    <m/>
    <m/>
    <m/>
    <m/>
    <m/>
    <m/>
    <m/>
    <m/>
    <m/>
    <m/>
    <m/>
    <m/>
    <m/>
    <m/>
    <m/>
    <n v="14755"/>
    <m/>
    <m/>
    <m/>
    <m/>
    <m/>
  </r>
  <r>
    <s v="Benoite Boulard (PIVET-VELIN)"/>
    <x v="2"/>
    <x v="1"/>
    <x v="3"/>
    <s v="PRLC 0147"/>
    <s v="YFR"/>
    <s v="GGO"/>
    <x v="1"/>
    <m/>
    <m/>
    <m/>
    <s v="Pivet-Velin"/>
    <s v="AUBERT"/>
    <d v="2013-12-11T00:00:00"/>
    <n v="5146"/>
    <n v="1069200"/>
    <n v="1069200"/>
    <n v="19800"/>
    <n v="207.77302759424796"/>
    <n v="207.77302759424796"/>
    <n v="226.47840067104713"/>
    <n v="19800"/>
    <n v="95.296296296296291"/>
    <n v="2205.9499999999998"/>
    <n v="0.91740769529731825"/>
    <s v="UA"/>
    <n v="570"/>
    <n v="0.15"/>
    <x v="1"/>
    <n v="54"/>
    <n v="54"/>
    <x v="9"/>
    <x v="2"/>
    <x v="0"/>
    <x v="0"/>
    <m/>
    <n v="4668.4799999999996"/>
    <m/>
    <n v="4720.9799999999996"/>
    <n v="87.425555555555547"/>
    <m/>
    <m/>
    <m/>
    <m/>
    <m/>
    <m/>
    <n v="0"/>
    <n v="0"/>
    <s v="4/5"/>
    <s v="collectif"/>
    <s v="oui"/>
    <m/>
    <m/>
    <d v="2012-11-20T00:00:00"/>
    <d v="2013-03-15T00:00:00"/>
    <s v="INGEPAR"/>
    <s v="LS 74"/>
    <m/>
    <d v="2013-07-11T00:00:00"/>
    <m/>
    <d v="2013-08-12T00:00:00"/>
    <d v="2013-08-22T00:00:00"/>
    <m/>
    <d v="2013-10-03T00:00:00"/>
    <d v="2013-10-29T00:00:00"/>
    <d v="2014-01-29T00:00:00"/>
    <m/>
    <d v="2014-01-20T00:00:00"/>
    <d v="2016-01-20T00:00:00"/>
    <d v="2017-01-20T00:00:00"/>
    <m/>
    <s v="oui"/>
    <e v="#NUM!"/>
    <e v="#NUM!"/>
    <e v="#NUM!"/>
    <m/>
    <s v="CR + CASUD = 19/12/13_x000a_CG = 15/01/14_x000a_Commune = 15/01/14"/>
    <m/>
    <m/>
    <m/>
    <m/>
    <s v="QUINOT"/>
    <d v="2013-12-18T00:00:00"/>
    <m/>
    <n v="9174750.6199999992"/>
    <d v="2015-06-18T00:00:00"/>
    <d v="2015-12-18T00:00:00"/>
    <d v="2016-10-13T00:00:00"/>
    <d v="2016-10-25T00:00:00"/>
    <n v="13.766666666666667"/>
    <m/>
    <m/>
    <m/>
    <s v="0"/>
    <m/>
    <m/>
    <s v="0"/>
    <m/>
    <m/>
    <s v="0"/>
    <m/>
    <m/>
    <s v="0"/>
    <m/>
    <m/>
    <s v="0"/>
    <m/>
    <m/>
    <m/>
    <m/>
    <s v="0"/>
    <m/>
    <x v="19"/>
    <x v="3"/>
    <n v="9.9333333333333336"/>
    <s v="0"/>
    <n v="15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5T00:00:00"/>
    <d v="2017-12-07T00:00:00"/>
    <n v="28.5"/>
    <d v="2018-10-13T00:00:00"/>
    <d v="2018-01-31T00:00:00"/>
    <d v="2016-06-06T00:00:00"/>
    <d v="2017-11-27T00:00:00"/>
    <m/>
    <d v="2015-09-05T00:00:00"/>
    <x v="24"/>
    <x v="4"/>
    <n v="27.633333333333333"/>
    <n v="30520.815629938501"/>
    <n v="843391.87190730055"/>
    <d v="2017-08-23T00:00:00"/>
    <n v="0"/>
    <n v="222887"/>
    <m/>
    <m/>
    <n v="173911.66743999999"/>
    <n v="1.6935094455389498E-2"/>
    <m/>
    <s v="Lot Men Ext_x000a_Lot Charpente_x000a_Lot ECS_x000a_Soit 3 sur 17 lots = 17 %_x000a_2 RO"/>
    <m/>
    <m/>
    <s v="réserves à lever"/>
    <d v="2018-03-07T00:00:00"/>
    <m/>
    <m/>
    <d v="2018-07-16T00:00:00"/>
    <s v="envoyé"/>
    <d v="2018-12-07T00:00:00"/>
    <n v="280724"/>
    <d v="2018-02-21T00:00:00"/>
    <d v="2018-03-27T00:00:00"/>
    <m/>
    <m/>
    <d v="2018-04-27T00:00:00"/>
    <m/>
    <m/>
    <m/>
    <m/>
    <d v="2018-07-06T00:00:00"/>
    <m/>
    <m/>
    <m/>
    <s v="oui"/>
    <n v="9099071"/>
    <n v="9321959.0199999996"/>
    <n v="10269306.02"/>
    <n v="947347"/>
    <n v="2199.7108309342657"/>
    <n v="190172.33370370368"/>
    <n v="8367242"/>
    <n v="8644229"/>
    <n v="276987"/>
    <n v="0.91643334450101444"/>
    <m/>
    <n v="3120981"/>
    <n v="3287400"/>
    <m/>
    <n v="60877.777777777781"/>
    <n v="166419"/>
    <n v="5978090"/>
    <n v="5918673"/>
    <n v="1256197"/>
    <n v="4662476"/>
    <n v="-59417"/>
    <n v="109605.05555555556"/>
    <m/>
    <n v="1"/>
    <n v="1"/>
    <m/>
    <n v="9.737756359119582E-8"/>
    <n v="822995"/>
    <n v="17350"/>
    <n v="0"/>
    <n v="1.8518518518518517E-2"/>
    <n v="60877.796296296299"/>
    <n v="0"/>
    <m/>
    <m/>
    <m/>
    <m/>
    <n v="60877.796296296299"/>
    <n v="0"/>
    <n v="60877.796296296299"/>
    <n v="0.32011909992726073"/>
    <m/>
    <m/>
    <n v="222887.02"/>
    <n v="10269306.02"/>
    <n v="455729"/>
    <n v="225585"/>
    <d v="2012-10-25T00:00:00"/>
    <n v="42868"/>
    <m/>
    <m/>
    <m/>
    <m/>
    <d v="2013-02-27T00:00:00"/>
    <n v="44712"/>
    <d v="2013-05-02T00:00:00"/>
    <n v="65685"/>
    <n v="41547"/>
    <n v="65685"/>
    <m/>
    <m/>
    <m/>
    <m/>
    <m/>
    <m/>
    <m/>
    <m/>
    <m/>
    <m/>
    <d v="2017-03-28T00:00:00"/>
    <n v="6635"/>
    <m/>
    <m/>
    <m/>
    <m/>
    <n v="44712"/>
    <m/>
    <m/>
    <m/>
    <m/>
    <m/>
  </r>
  <r>
    <s v="FANFAN"/>
    <x v="8"/>
    <x v="2"/>
    <x v="3"/>
    <s v="PRLC 0149"/>
    <s v="FVA"/>
    <s v="DBE"/>
    <x v="0"/>
    <m/>
    <m/>
    <s v=" servitude EP OK / échange de lot à faire_x000a_DA  en cours pour les lots_x000a_manque les pièces PA_x000a_rétrocession des 3 rues à faire mais appartiennent à INGEPAR / DA à faire par BJE_x000a_1 des lots est occupé"/>
    <s v="EPFR"/>
    <s v="Dubois"/>
    <d v="2013-12-11T00:00:00"/>
    <n v="15520"/>
    <n v="130195"/>
    <n v="184575"/>
    <n v="5424.791666666667"/>
    <n v="8.3888530927835046"/>
    <n v="11.892719072164949"/>
    <n v="100.20684712857096"/>
    <n v="7690.625"/>
    <n v="646.66666666666663"/>
    <m/>
    <n v="0.11868170103092784"/>
    <s v="NAU"/>
    <n v="790"/>
    <m/>
    <x v="0"/>
    <n v="24"/>
    <n v="24"/>
    <x v="0"/>
    <x v="12"/>
    <x v="0"/>
    <x v="0"/>
    <m/>
    <n v="1833.06"/>
    <m/>
    <n v="1841.94"/>
    <n v="76.747500000000002"/>
    <m/>
    <m/>
    <m/>
    <m/>
    <m/>
    <m/>
    <n v="700"/>
    <n v="4.5103092783505154E-2"/>
    <n v="1.5"/>
    <s v="MDV"/>
    <s v="non"/>
    <m/>
    <m/>
    <m/>
    <d v="2013-03-13T00:00:00"/>
    <s v="INGEPAR"/>
    <s v="LS 76"/>
    <n v="120000"/>
    <d v="2013-09-19T00:00:00"/>
    <m/>
    <d v="2013-10-17T00:00:00"/>
    <d v="2013-10-21T00:00:00"/>
    <m/>
    <d v="2013-10-03T00:00:00"/>
    <d v="2013-11-05T00:00:00"/>
    <d v="2014-02-05T00:00:00"/>
    <m/>
    <d v="2014-01-20T00:00:00"/>
    <d v="2016-01-20T00:00:00"/>
    <d v="2017-01-20T00:00:00"/>
    <m/>
    <s v="oui"/>
    <e v="#NUM!"/>
    <e v="#NUM!"/>
    <e v="#NUM!"/>
    <m/>
    <d v="2014-01-20T00:00:00"/>
    <m/>
    <m/>
    <m/>
    <m/>
    <s v="BARET/GILLOT"/>
    <d v="2013-12-18T00:00:00"/>
    <m/>
    <n v="3417194.08"/>
    <d v="2015-06-18T00:00:00"/>
    <d v="2015-12-18T00:00:00"/>
    <d v="2015-04-20T00:00:00"/>
    <d v="2015-10-15T00:00:00"/>
    <n v="16.066666666666666"/>
    <m/>
    <m/>
    <m/>
    <s v="0"/>
    <m/>
    <m/>
    <s v="0"/>
    <m/>
    <m/>
    <s v="0"/>
    <m/>
    <m/>
    <s v="0"/>
    <m/>
    <m/>
    <s v="0"/>
    <m/>
    <m/>
    <m/>
    <m/>
    <s v="0"/>
    <m/>
    <x v="20"/>
    <x v="3"/>
    <n v="11.333333333333334"/>
    <s v="0"/>
    <n v="14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25T00:00:00"/>
    <d v="2016-11-30T00:00:00"/>
    <n v="13.4"/>
    <d v="2017-04-20T00:00:00"/>
    <d v="2017-02-08T00:00:00"/>
    <s v="ok"/>
    <s v="ok"/>
    <m/>
    <d v="2015-11-25T00:00:00"/>
    <x v="25"/>
    <x v="4"/>
    <n v="14.7"/>
    <n v="9655.5641448000006"/>
    <n v="141936.79292856"/>
    <m/>
    <m/>
    <n v="384475"/>
    <m/>
    <m/>
    <n v="59499.795999999995"/>
    <n v="1.3800065359189099E-2"/>
    <m/>
    <s v="Lot VRD_x000a_Lot Men Ext_x000a_Soit 2 lots sur 15 soit 13%_x000a_3 RO"/>
    <m/>
    <m/>
    <s v="réserves à lever"/>
    <s v="ok"/>
    <s v="attente notification de la réception"/>
    <s v="manque 4 entreprises"/>
    <m/>
    <s v="ok"/>
    <d v="2017-11-30T00:00:00"/>
    <n v="29948"/>
    <s v="ok"/>
    <d v="2017-06-21T00:00:00"/>
    <m/>
    <m/>
    <d v="2018-04-12T00:00:00"/>
    <m/>
    <m/>
    <s v="envoi Arrangeur 18/04/18"/>
    <s v="à déposer"/>
    <d v="2017-09-25T00:00:00"/>
    <s v="ok"/>
    <m/>
    <m/>
    <s v="oui"/>
    <n v="3574384"/>
    <n v="3958860"/>
    <n v="4311559"/>
    <n v="352699"/>
    <n v="2352.1101327834331"/>
    <n v="179648.29166666666"/>
    <n v="3273574"/>
    <n v="3268014"/>
    <n v="-5560"/>
    <n v="0.84426300854286318"/>
    <m/>
    <n v="1046714"/>
    <n v="1042673"/>
    <m/>
    <n v="43444.708333333336"/>
    <n v="-4041"/>
    <n v="2047671"/>
    <n v="2051712"/>
    <n v="255345"/>
    <n v="1796367"/>
    <n v="4041"/>
    <n v="85488"/>
    <m/>
    <n v="480000"/>
    <n v="360000"/>
    <n v="120000"/>
    <n v="8.3496480043529497E-2"/>
    <n v="327805"/>
    <n v="24894"/>
    <n v="-120000"/>
    <n v="15000"/>
    <n v="58444.708333333336"/>
    <n v="-5000"/>
    <m/>
    <m/>
    <n v="1244630.4489499999"/>
    <n v="480000"/>
    <n v="78444.708333333328"/>
    <n v="0"/>
    <n v="78444.708333333328"/>
    <n v="0.35073859209247982"/>
    <n v="188451.07500000001"/>
    <m/>
    <n v="384475"/>
    <n v="5556189.4489500001"/>
    <n v="172483"/>
    <n v="86240"/>
    <d v="2012-12-03T00:00:00"/>
    <n v="16144"/>
    <m/>
    <m/>
    <d v="2013-01-17T00:00:00"/>
    <m/>
    <d v="2013-01-01T00:00:00"/>
    <n v="24216"/>
    <d v="2013-07-29T00:00:00"/>
    <n v="20008"/>
    <n v="41583"/>
    <n v="25872"/>
    <m/>
    <m/>
    <m/>
    <m/>
    <m/>
    <m/>
    <m/>
    <m/>
    <m/>
    <m/>
    <m/>
    <m/>
    <m/>
    <m/>
    <m/>
    <m/>
    <n v="24216"/>
    <m/>
    <m/>
    <m/>
    <m/>
    <m/>
  </r>
  <r>
    <s v="Barrage LLS"/>
    <x v="9"/>
    <x v="2"/>
    <x v="3"/>
    <s v="PRLC 0140"/>
    <s v="FBR"/>
    <m/>
    <x v="1"/>
    <m/>
    <m/>
    <m/>
    <s v="SODEGIS"/>
    <m/>
    <m/>
    <n v="20161"/>
    <n v="1550000"/>
    <n v="1105335"/>
    <n v="14090.90909090909"/>
    <n v="76.88110708794207"/>
    <n v="54.825405485838999"/>
    <n v="392.66733926833251"/>
    <n v="10048.5"/>
    <n v="746.7037037037037"/>
    <m/>
    <n v="0.13962303457169783"/>
    <s v="AU5b"/>
    <n v="460"/>
    <m/>
    <x v="1"/>
    <n v="27"/>
    <n v="27"/>
    <x v="10"/>
    <x v="2"/>
    <x v="0"/>
    <x v="0"/>
    <m/>
    <n v="2870.27"/>
    <m/>
    <n v="2814.94"/>
    <n v="104.25703703703704"/>
    <n v="0"/>
    <n v="0"/>
    <n v="0"/>
    <n v="0.70370370370370372"/>
    <n v="0.29629629629629628"/>
    <n v="12480"/>
    <m/>
    <n v="0"/>
    <n v="3.5"/>
    <s v="collectif"/>
    <s v="oui"/>
    <m/>
    <m/>
    <d v="2012-09-18T00:00:00"/>
    <d v="2013-03-15T00:00:00"/>
    <s v="OFOI"/>
    <s v="SNC DORIQUE"/>
    <m/>
    <d v="2013-08-07T00:00:00"/>
    <m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m/>
    <s v="oui"/>
    <n v="9"/>
    <n v="157492.0272608505"/>
    <n v="0"/>
    <s v="ok"/>
    <s v="Mairie 02/11/15"/>
    <s v="SO"/>
    <m/>
    <s v="SO"/>
    <s v="SO"/>
    <s v="MAREL"/>
    <d v="2015-12-22T00:00:00"/>
    <m/>
    <n v="18979814"/>
    <d v="2017-06-22T00:00:00"/>
    <d v="2017-12-22T00:00:00"/>
    <d v="2015-12-22T00:00:00"/>
    <d v="2017-12-12T00:00:00"/>
    <n v="-0.43333333333333335"/>
    <m/>
    <m/>
    <m/>
    <s v="0"/>
    <m/>
    <m/>
    <s v="0"/>
    <m/>
    <m/>
    <s v="0"/>
    <m/>
    <m/>
    <s v="0"/>
    <m/>
    <m/>
    <s v="0"/>
    <m/>
    <m/>
    <m/>
    <m/>
    <s v="0"/>
    <m/>
    <x v="21"/>
    <x v="4"/>
    <n v="21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d v="2017-12-22T00:00:00"/>
    <d v="2017-12-06T00:00:00"/>
    <d v="2016-12-08T00:00:00"/>
    <d v="2017-11-27T00:00:00"/>
    <m/>
    <d v="2017-06-15T00:00:00"/>
    <x v="26"/>
    <x v="4"/>
    <n v="5.5666666666666664"/>
    <n v="17499.114140094502"/>
    <n v="97411.735379859383"/>
    <d v="2017-08-31T00:00:00"/>
    <n v="0"/>
    <n v="0"/>
    <m/>
    <m/>
    <n v="713667.76899999997"/>
    <n v="3.5947813466163943E-2"/>
    <m/>
    <m/>
    <m/>
    <m/>
    <m/>
    <m/>
    <m/>
    <m/>
    <m/>
    <m/>
    <d v="2018-11-20T00:00:00"/>
    <n v="52707"/>
    <m/>
    <m/>
    <m/>
    <m/>
    <m/>
    <m/>
    <m/>
    <s v="envoi OFOI 22/06/18"/>
    <m/>
    <d v="2018-03-01T00:00:00"/>
    <m/>
    <m/>
    <m/>
    <s v="oui"/>
    <n v="5545807"/>
    <n v="5546805"/>
    <n v="5488129.9500000002"/>
    <n v="-58675.049999999814"/>
    <n v="1912.0605204388437"/>
    <n v="203264.07222222222"/>
    <n v="5057320"/>
    <n v="4965430"/>
    <n v="-91890"/>
    <n v="0.93090053102641968"/>
    <m/>
    <n v="1882322"/>
    <n v="1916369"/>
    <m/>
    <n v="70976.629629629635"/>
    <n v="34047"/>
    <n v="3664482"/>
    <n v="3571759.95"/>
    <n v="595108"/>
    <n v="2976651.95"/>
    <n v="-92722.049999999814"/>
    <n v="132287.40555555557"/>
    <m/>
    <n v="1"/>
    <n v="1"/>
    <m/>
    <n v="1.8221142886749611E-7"/>
    <m/>
    <n v="0"/>
    <n v="0"/>
    <n v="3.7037037037037035E-2"/>
    <n v="70976.666666666672"/>
    <n v="0"/>
    <m/>
    <m/>
    <n v="1015690.2065916295"/>
    <n v="540000"/>
    <n v="90976.666666666672"/>
    <n v="0"/>
    <n v="90976.666666666672"/>
    <n v="0.39970846321114534"/>
    <n v="358416.12820000004"/>
    <m/>
    <n v="0"/>
    <n v="6503820.1565916296"/>
    <n v="965006"/>
    <n v="482504"/>
    <d v="2012-06-30T00:00:00"/>
    <n v="96501"/>
    <m/>
    <m/>
    <d v="2013-05-07T00:00:00"/>
    <n v="48250"/>
    <d v="2012-12-19T00:00:00"/>
    <n v="96501"/>
    <d v="2013-07-30T00:00:00"/>
    <n v="96501"/>
    <n v="41570"/>
    <n v="144751"/>
    <m/>
    <m/>
    <m/>
    <m/>
    <m/>
    <m/>
    <m/>
    <m/>
    <m/>
    <m/>
    <m/>
    <m/>
    <m/>
    <m/>
    <m/>
    <m/>
    <n v="96501"/>
    <m/>
    <m/>
    <m/>
    <m/>
    <m/>
  </r>
  <r>
    <s v="Barrage LLTS"/>
    <x v="9"/>
    <x v="2"/>
    <x v="3"/>
    <s v="PRLC 0140"/>
    <s v="FBR"/>
    <s v="SRI"/>
    <x v="1"/>
    <m/>
    <m/>
    <m/>
    <s v="SODEGIS"/>
    <m/>
    <m/>
    <m/>
    <m/>
    <m/>
    <m/>
    <m/>
    <m/>
    <m/>
    <m/>
    <m/>
    <m/>
    <m/>
    <m/>
    <m/>
    <m/>
    <x v="0"/>
    <n v="83"/>
    <n v="83"/>
    <x v="0"/>
    <x v="19"/>
    <x v="0"/>
    <x v="0"/>
    <m/>
    <n v="7367.96"/>
    <m/>
    <n v="7367.66"/>
    <n v="88.766987951807224"/>
    <n v="0"/>
    <n v="0.12048192771084337"/>
    <n v="0.50602409638554213"/>
    <n v="0.33734939759036142"/>
    <n v="3.614457831325301E-2"/>
    <m/>
    <m/>
    <e v="#DIV/0!"/>
    <n v="3.5"/>
    <s v="collectif"/>
    <s v="oui"/>
    <m/>
    <m/>
    <d v="2012-09-18T00:00:00"/>
    <d v="2013-03-15T00:00:00"/>
    <s v="OFOI"/>
    <s v="SNC DORIQUE"/>
    <n v="415000"/>
    <d v="2013-07-08T00:00:00"/>
    <m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m/>
    <s v="oui"/>
    <n v="9"/>
    <n v="342957.37513997324"/>
    <n v="0"/>
    <s v="ok"/>
    <s v="TCO 08/01/2016"/>
    <s v="SO"/>
    <s v="SO"/>
    <d v="2016-01-29T00:00:00"/>
    <s v="SO"/>
    <m/>
    <d v="2015-12-22T00:00:00"/>
    <m/>
    <n v="18979814"/>
    <d v="2017-06-22T00:00:00"/>
    <d v="2017-12-22T00:00:00"/>
    <d v="2015-12-22T00:00:00"/>
    <m/>
    <m/>
    <m/>
    <m/>
    <m/>
    <s v="0"/>
    <m/>
    <m/>
    <s v="0"/>
    <m/>
    <m/>
    <s v="0"/>
    <m/>
    <m/>
    <s v="0"/>
    <m/>
    <m/>
    <s v="0"/>
    <m/>
    <m/>
    <m/>
    <m/>
    <s v="0"/>
    <m/>
    <x v="21"/>
    <x v="4"/>
    <n v="22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d v="2017-12-22T00:00:00"/>
    <d v="2017-12-06T00:00:00"/>
    <d v="2016-12-08T00:00:00"/>
    <d v="2017-11-27T00:00:00"/>
    <m/>
    <d v="2017-06-15T00:00:00"/>
    <x v="26"/>
    <x v="4"/>
    <n v="5.5666666666666664"/>
    <n v="38106.375015552585"/>
    <n v="212125.48758657606"/>
    <d v="2017-08-31T00:00:00"/>
    <n v="0"/>
    <n v="0"/>
    <m/>
    <m/>
    <m/>
    <m/>
    <m/>
    <m/>
    <m/>
    <m/>
    <m/>
    <s v="envoi Lydie 29/01/18"/>
    <m/>
    <m/>
    <m/>
    <m/>
    <d v="2018-11-20T00:00:00"/>
    <n v="137952"/>
    <m/>
    <m/>
    <m/>
    <m/>
    <m/>
    <m/>
    <m/>
    <m/>
    <m/>
    <d v="2018-03-01T00:00:00"/>
    <m/>
    <m/>
    <m/>
    <s v="oui"/>
    <n v="14323815"/>
    <n v="14323814"/>
    <n v="14364754"/>
    <n v="40940"/>
    <n v="1949.6243193502678"/>
    <n v="173069.32530120481"/>
    <n v="13043765"/>
    <n v="12989943"/>
    <n v="-53822"/>
    <n v="0.92975823792461976"/>
    <m/>
    <n v="4234760"/>
    <n v="4422509"/>
    <m/>
    <n v="53283.240963855424"/>
    <n v="187749"/>
    <n v="8429054"/>
    <n v="8282245"/>
    <n v="1278025"/>
    <n v="7004220"/>
    <n v="-146809"/>
    <n v="99786.084337349399"/>
    <m/>
    <n v="1660000"/>
    <n v="1245000"/>
    <n v="415000"/>
    <n v="8.6670471349526768E-2"/>
    <m/>
    <n v="415000"/>
    <n v="-415000"/>
    <n v="15000"/>
    <n v="68283.240963855424"/>
    <n v="-5000"/>
    <m/>
    <m/>
    <n v="2467086.73961312"/>
    <n v="1660000"/>
    <n v="88283.240963855424"/>
    <n v="0"/>
    <n v="88283.240963855424"/>
    <n v="0.45620980509805781"/>
    <n v="770132.02990000008"/>
    <m/>
    <n v="0"/>
    <n v="16831840.73961312"/>
    <n v="965006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Josepha Fontaine"/>
    <x v="6"/>
    <x v="1"/>
    <x v="3"/>
    <s v="PRLC 0122"/>
    <s v="FHO"/>
    <s v="GGO"/>
    <x v="0"/>
    <m/>
    <m/>
    <m/>
    <s v="EPFR / RUET"/>
    <s v="BARET"/>
    <m/>
    <n v="4550"/>
    <n v="298500"/>
    <n v="122015"/>
    <n v="19900"/>
    <n v="65.604395604395606"/>
    <n v="26.816483516483515"/>
    <n v="103.92126802429075"/>
    <n v="8134.333333333333"/>
    <n v="303.33333333333331"/>
    <m/>
    <n v="0.25804615384615381"/>
    <s v="UD"/>
    <n v="600"/>
    <m/>
    <x v="0"/>
    <n v="15"/>
    <n v="15"/>
    <x v="0"/>
    <x v="20"/>
    <x v="0"/>
    <x v="0"/>
    <m/>
    <n v="1160.5899999999999"/>
    <m/>
    <n v="1174.1099999999999"/>
    <n v="78.273999999999987"/>
    <m/>
    <m/>
    <m/>
    <m/>
    <m/>
    <m/>
    <m/>
    <n v="0"/>
    <n v="1.5"/>
    <s v="MDV"/>
    <m/>
    <m/>
    <m/>
    <m/>
    <d v="2012-02-24T00:00:00"/>
    <s v="OFOI"/>
    <s v="LOGIS 5"/>
    <m/>
    <d v="2013-11-18T00:00:00"/>
    <m/>
    <s v="05/03/2014_x000a_07/10/14"/>
    <s v="20/03/2014 &amp; 06/11/14_x000a_13/10/15"/>
    <d v="2015-10-14T00:00:00"/>
    <d v="2013-10-03T00:00:00"/>
    <s v="ok"/>
    <d v="2014-01-03T00:00:00"/>
    <s v="ok"/>
    <d v="2014-06-28T00:00:00"/>
    <d v="2016-06-28T00:00:00"/>
    <d v="2017-06-28T00:00:00"/>
    <m/>
    <s v="oui"/>
    <n v="3"/>
    <n v="14214.1333635839"/>
    <n v="0"/>
    <m/>
    <s v="CASUD = 02/07/14_x000a_CG : OK_x000a_Région : OK_x000a_Mairie : OK"/>
    <m/>
    <m/>
    <m/>
    <m/>
    <s v="LE GOFF"/>
    <d v="2015-12-02T00:00:00"/>
    <m/>
    <n v="2671324.61"/>
    <d v="2017-06-02T00:00:00"/>
    <d v="2017-12-02T00:00:00"/>
    <d v="2016-06-14T00:00:00"/>
    <d v="2017-12-02T00:00:00"/>
    <n v="-8.5666666666666664"/>
    <m/>
    <m/>
    <m/>
    <s v="0"/>
    <m/>
    <m/>
    <s v="0"/>
    <m/>
    <m/>
    <s v="0"/>
    <m/>
    <m/>
    <s v="0"/>
    <m/>
    <m/>
    <s v="0"/>
    <m/>
    <m/>
    <m/>
    <m/>
    <s v="0"/>
    <m/>
    <x v="22"/>
    <x v="4"/>
    <n v="24.833333333333332"/>
    <s v="0"/>
    <n v="13"/>
    <n v="15"/>
    <m/>
    <m/>
    <s v="0"/>
    <m/>
    <m/>
    <s v="0"/>
    <m/>
    <m/>
    <s v="0"/>
    <m/>
    <m/>
    <s v="0"/>
    <m/>
    <m/>
    <s v="0"/>
    <m/>
    <m/>
    <s v="0"/>
    <m/>
    <m/>
    <s v="0"/>
    <m/>
    <m/>
    <m/>
    <d v="2017-01-03T00:00:00"/>
    <d v="2017-03-20T00:00:00"/>
    <n v="2.5333333333333332"/>
    <d v="2018-06-14T00:00:00"/>
    <d v="2017-05-10T00:00:00"/>
    <s v="20/10/2016 y/c certif adressage + plans"/>
    <d v="2017-03-10T00:00:00"/>
    <m/>
    <d v="2017-02-03T00:00:00"/>
    <x v="27"/>
    <x v="4"/>
    <n v="1.5"/>
    <n v="4738.044454527967"/>
    <n v="7107.06668179195"/>
    <s v="ok"/>
    <m/>
    <n v="0"/>
    <m/>
    <m/>
    <n v="0"/>
    <n v="0"/>
    <m/>
    <s v="Lot 4 Menuiserie - PVC 400 par Sofaal_x000a_Lot Metallerie : Technipose par Pumalu_x000a_soit 2 lots sur 16 = 12%_x000a_3 RO"/>
    <m/>
    <m/>
    <s v="ok"/>
    <s v="ok"/>
    <m/>
    <m/>
    <m/>
    <d v="2018-05-03T00:00:00"/>
    <d v="2018-03-20T00:00:00"/>
    <n v="13223"/>
    <d v="2017-08-30T00:00:00"/>
    <m/>
    <m/>
    <d v="2018-01-25T00:00:00"/>
    <d v="2018-03-21T00:00:00"/>
    <m/>
    <d v="2017-09-20T00:00:00"/>
    <m/>
    <s v="à déposer"/>
    <s v="ok"/>
    <m/>
    <m/>
    <m/>
    <m/>
    <n v="2369120"/>
    <n v="2369121"/>
    <n v="2951882"/>
    <n v="582761"/>
    <n v="2543.4322198192299"/>
    <n v="196792.13333333333"/>
    <n v="2132208"/>
    <n v="2403709.4727445007"/>
    <n v="271501.47274450073"/>
    <n v="0.91889961213462701"/>
    <m/>
    <n v="646677"/>
    <n v="835967"/>
    <m/>
    <n v="55731.133333333331"/>
    <n v="189290"/>
    <n v="1328613"/>
    <n v="1314229"/>
    <n v="212380"/>
    <n v="1101849"/>
    <n v="-14384"/>
    <n v="87615.266666666663"/>
    <m/>
    <n v="393831"/>
    <n v="393831"/>
    <m/>
    <n v="0.1334169184269561"/>
    <n v="407855"/>
    <n v="0"/>
    <n v="0"/>
    <n v="26255.4"/>
    <n v="81986.53333333334"/>
    <n v="0"/>
    <m/>
    <m/>
    <n v="753806.75427749997"/>
    <n v="300000"/>
    <n v="101986.53333333334"/>
    <n v="162750"/>
    <n v="112836.53333333334"/>
    <n v="0.4726319970267101"/>
    <n v="124577"/>
    <m/>
    <n v="0"/>
    <n v="3705688.7542774999"/>
    <n v="144741"/>
    <n v="57156"/>
    <d v="2011-09-28T00:00:00"/>
    <n v="10799"/>
    <m/>
    <m/>
    <m/>
    <m/>
    <m/>
    <m/>
    <d v="2012-05-21T00:00:00"/>
    <n v="29206"/>
    <n v="41627"/>
    <n v="17151"/>
    <m/>
    <m/>
    <m/>
    <m/>
    <m/>
    <m/>
    <m/>
    <m/>
    <m/>
    <m/>
    <m/>
    <m/>
    <m/>
    <m/>
    <m/>
    <m/>
    <m/>
    <m/>
    <m/>
    <m/>
    <m/>
    <m/>
  </r>
  <r>
    <s v="VEFA LOULOU PITOU (LA SAFRANIERE)"/>
    <x v="2"/>
    <x v="1"/>
    <x v="4"/>
    <s v="PRLC 0161"/>
    <s v="ADE"/>
    <m/>
    <x v="0"/>
    <m/>
    <m/>
    <m/>
    <m/>
    <m/>
    <m/>
    <n v="2671"/>
    <n v="637295"/>
    <n v="637295"/>
    <n v="13559.468085106382"/>
    <n v="238.5979034069637"/>
    <n v="238.5979034069637"/>
    <n v="166.56952430737061"/>
    <n v="13559.468085106382"/>
    <n v="56.829787234042556"/>
    <m/>
    <n v="1.4324223137401721"/>
    <s v="UB"/>
    <n v="512"/>
    <m/>
    <x v="0"/>
    <n v="47"/>
    <n v="47"/>
    <x v="0"/>
    <x v="21"/>
    <x v="0"/>
    <x v="0"/>
    <n v="3318.5"/>
    <n v="4397.1499999999996"/>
    <n v="3826"/>
    <n v="3826"/>
    <n v="81.40425531914893"/>
    <m/>
    <m/>
    <m/>
    <m/>
    <m/>
    <m/>
    <n v="0"/>
    <n v="0"/>
    <n v="4.5"/>
    <s v="collectif"/>
    <s v="oui"/>
    <n v="7250000"/>
    <m/>
    <d v="2013-11-13T00:00:00"/>
    <d v="2014-05-12T00:00:00"/>
    <s v="INGEPAR"/>
    <s v="LS 101"/>
    <s v="SO"/>
    <d v="2014-06-10T00:00:00"/>
    <m/>
    <d v="2014-10-23T00:00:00"/>
    <d v="2014-11-14T00:00:00"/>
    <m/>
    <d v="2014-12-16T00:00:00"/>
    <d v="2014-12-17T00:00:00"/>
    <d v="2015-03-17T00:00:00"/>
    <s v="ok"/>
    <d v="2015-03-17T00:00:00"/>
    <d v="2017-03-17T00:00:00"/>
    <d v="2018-03-17T00:00:00"/>
    <m/>
    <s v="non"/>
    <n v="16"/>
    <n v="327147.92451910797"/>
    <n v="0"/>
    <s v="22/10/2014_x000a_cr 24/11/14 - modif à faire"/>
    <s v="Ville 18/03/15_x000a_Région 17/06/15_x000a_CG 30/06/15_x000a_CASUD 29/09/15"/>
    <s v="conv° réserv° 17/09/15_x000a_G 09/11/15"/>
    <m/>
    <d v="2015-09-29T00:00:00"/>
    <m/>
    <s v="BARET/GILLOT"/>
    <d v="2014-12-19T00:00:00"/>
    <m/>
    <n v="7100881.4887365336"/>
    <d v="2016-06-19T00:00:00"/>
    <d v="2016-12-19T00:00:00"/>
    <d v="2015-05-19T00:00:00"/>
    <d v="2016-10-19T00:00:00"/>
    <n v="0.66666666666666663"/>
    <m/>
    <m/>
    <m/>
    <s v="0"/>
    <m/>
    <m/>
    <s v="0"/>
    <m/>
    <m/>
    <s v="0"/>
    <m/>
    <m/>
    <s v="0"/>
    <m/>
    <m/>
    <s v="0"/>
    <m/>
    <m/>
    <m/>
    <m/>
    <s v="0"/>
    <m/>
    <x v="23"/>
    <x v="4"/>
    <n v="7.9"/>
    <s v="0"/>
    <n v="18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6-08-02T00:00:00"/>
    <d v="2016-10-31T00:00:00"/>
    <n v="3"/>
    <d v="2017-05-19T00:00:00"/>
    <d v="2016-10-14T00:00:00"/>
    <d v="2016-08-09T00:00:00"/>
    <m/>
    <m/>
    <d v="2016-09-02T00:00:00"/>
    <x v="28"/>
    <x v="3"/>
    <n v="2.2333333333333334"/>
    <n v="20446.745282444248"/>
    <n v="45664.39779745882"/>
    <s v="ok"/>
    <m/>
    <n v="0"/>
    <m/>
    <m/>
    <n v="0"/>
    <n v="0"/>
    <m/>
    <m/>
    <m/>
    <m/>
    <m/>
    <m/>
    <m/>
    <s v="sauf Peinture"/>
    <s v="ok"/>
    <m/>
    <d v="2017-10-31T00:00:00"/>
    <n v="27200"/>
    <d v="2016-12-06T00:00:00"/>
    <d v="2017-02-13T00:00:00"/>
    <m/>
    <m/>
    <m/>
    <s v="SO"/>
    <s v="ok"/>
    <m/>
    <s v="déposé DRFIP 16/06/17"/>
    <d v="2017-03-14T00:00:00"/>
    <s v="ok"/>
    <m/>
    <m/>
    <m/>
    <m/>
    <n v="9070838.1099999994"/>
    <n v="7893608.4299999997"/>
    <n v="-1177229.6799999997"/>
    <n v="1795.1646930398099"/>
    <n v="167949.1155319149"/>
    <n v="7995841"/>
    <n v="6785519"/>
    <n v="-1210322"/>
    <n v="0.87767400174928611"/>
    <m/>
    <n v="2612892.11"/>
    <n v="2234701"/>
    <m/>
    <n v="47546.829787234041"/>
    <n v="-378191.10999999987"/>
    <n v="5339946"/>
    <n v="4540907.43"/>
    <n v="1362272"/>
    <n v="3178635.43"/>
    <n v="-799038.5700000003"/>
    <n v="96615.051702127646"/>
    <n v="0"/>
    <n v="1118000"/>
    <n v="1118000"/>
    <n v="0"/>
    <n v="0.1416335773321353"/>
    <m/>
    <n v="0"/>
    <n v="0"/>
    <n v="23787.234042553191"/>
    <n v="71334.063829787236"/>
    <n v="0"/>
    <n v="5.07"/>
    <n v="4.96"/>
    <n v="0"/>
    <n v="0"/>
    <n v="71334.063829787236"/>
    <n v="0"/>
    <n v="71334.063829787236"/>
    <n v="0.42473616847497969"/>
    <n v="0"/>
    <m/>
    <n v="0"/>
    <n v="7893608.4299999997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rveine des Indes (Ilôt 5.1)"/>
    <x v="4"/>
    <x v="0"/>
    <x v="4"/>
    <s v="PRLC 0155"/>
    <s v="YFR"/>
    <s v="GGO"/>
    <x v="0"/>
    <s v="oui"/>
    <m/>
    <m/>
    <s v="SODEGIS"/>
    <s v="QUINOT"/>
    <m/>
    <n v="1500"/>
    <n v="128915"/>
    <n v="128915"/>
    <n v="8057.1875"/>
    <n v="85.943333333333328"/>
    <n v="85.943333333333328"/>
    <n v="91.134345662255399"/>
    <n v="8057.1875"/>
    <n v="93.75"/>
    <m/>
    <n v="0.94303999999999999"/>
    <m/>
    <n v="90"/>
    <m/>
    <x v="0"/>
    <n v="16"/>
    <n v="16"/>
    <x v="0"/>
    <x v="4"/>
    <x v="0"/>
    <x v="0"/>
    <m/>
    <n v="1374.99"/>
    <m/>
    <n v="1414.56"/>
    <n v="88.41"/>
    <n v="0.125"/>
    <n v="0.125"/>
    <n v="0.375"/>
    <n v="0.3125"/>
    <n v="6.25E-2"/>
    <m/>
    <n v="0"/>
    <n v="0"/>
    <n v="2.5"/>
    <s v="collectif"/>
    <m/>
    <m/>
    <m/>
    <d v="2014-01-28T00:00:00"/>
    <d v="2014-05-22T00:00:00"/>
    <s v="INTERINVEST"/>
    <s v="PC 95 "/>
    <m/>
    <d v="2014-10-17T00:00:00"/>
    <m/>
    <d v="2014-11-12T00:00:00"/>
    <d v="2014-12-19T00:00:00"/>
    <m/>
    <d v="2015-01-13T00:00:00"/>
    <s v="23/01/2015_x000a_transmis à DAF 11/03/15"/>
    <d v="2015-04-22T00:00:00"/>
    <d v="2015-03-11T00:00:00"/>
    <d v="2015-04-24T00:00:00"/>
    <d v="2017-04-24T00:00:00"/>
    <d v="2018-04-24T00:00:00"/>
    <m/>
    <s v="oui"/>
    <n v="8"/>
    <n v="59281.617932302062"/>
    <n v="0"/>
    <s v="28/10/2014_x000a_12/01/15"/>
    <s v="CIVIS 25/05/15_x000a_Région 12/06/15_x000a_Commune 29/06/15_x000a_CG 30/06/15"/>
    <s v="conv° réserv° 17/09/15_x000a_G 09/11/15"/>
    <m/>
    <m/>
    <m/>
    <s v="QUINOT"/>
    <d v="2016-04-18T00:00:00"/>
    <s v="24/6/16 (mail)"/>
    <n v="2657721.79"/>
    <d v="2016-06-01T00:00:00"/>
    <d v="2018-04-18T00:00:00"/>
    <d v="2016-07-22T00:00:00"/>
    <d v="2018-02-18T00:00:00"/>
    <n v="-6.4"/>
    <m/>
    <m/>
    <m/>
    <s v="0"/>
    <m/>
    <m/>
    <s v="0"/>
    <m/>
    <m/>
    <s v="0"/>
    <m/>
    <m/>
    <s v="0"/>
    <m/>
    <m/>
    <s v="0"/>
    <m/>
    <m/>
    <m/>
    <m/>
    <s v="0"/>
    <m/>
    <x v="24"/>
    <x v="5"/>
    <n v="18.633333333333333"/>
    <s v="0"/>
    <n v="13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28T00:00:00"/>
    <d v="2017-07-05T00:00:00"/>
    <n v="1.2666666666666666"/>
    <d v="2018-07-22T00:00:00"/>
    <d v="2017-07-12T00:00:00"/>
    <d v="2016-11-28T00:00:00"/>
    <d v="2017-07-26T00:00:00"/>
    <m/>
    <d v="2017-06-28T00:00:00"/>
    <x v="29"/>
    <x v="4"/>
    <n v="1.4333333333333333"/>
    <n v="7410.2022415377578"/>
    <n v="10621.289879537453"/>
    <d v="2017-06-15T00:00:00"/>
    <n v="0"/>
    <n v="0"/>
    <m/>
    <m/>
    <n v="12993.96"/>
    <n v="4.665640564888658E-3"/>
    <m/>
    <s v="Lot Menui Ext :PVC 400 par Sofaal_x000a_soit 1 sur 15_x000a_1  RO"/>
    <m/>
    <m/>
    <s v="ok"/>
    <s v="ok"/>
    <s v="ok"/>
    <s v="ok"/>
    <d v="2018-02-15T00:00:00"/>
    <s v="envoyé "/>
    <d v="2018-07-05T00:00:00"/>
    <n v="9694"/>
    <d v="2017-11-17T00:00:00"/>
    <d v="2017-11-20T00:00:00"/>
    <m/>
    <m/>
    <d v="2018-03-21T00:00:00"/>
    <m/>
    <s v="ok"/>
    <s v="élément transmis à II 30/07/18"/>
    <m/>
    <s v="ok"/>
    <s v="ok"/>
    <m/>
    <m/>
    <m/>
    <n v="2681224"/>
    <n v="2681224"/>
    <n v="2785032.37"/>
    <n v="103808.37000000011"/>
    <n v="2025.4928181295866"/>
    <n v="174064.52312500001"/>
    <m/>
    <n v="2460822"/>
    <n v="2460822"/>
    <n v="0.90214364797490654"/>
    <m/>
    <n v="797080"/>
    <n v="863024"/>
    <m/>
    <n v="53939"/>
    <n v="65944"/>
    <n v="1564144"/>
    <n v="1596953.37"/>
    <n v="242605.3"/>
    <n v="1354348.07"/>
    <n v="32809.370000000112"/>
    <n v="99809.585625000007"/>
    <m/>
    <n v="320000"/>
    <n v="320000"/>
    <n v="0"/>
    <n v="0.1148999212529799"/>
    <m/>
    <n v="5055"/>
    <n v="0"/>
    <n v="20000"/>
    <n v="73939"/>
    <n v="0"/>
    <n v="5.07"/>
    <n v="5.07"/>
    <n v="0"/>
    <n v="0"/>
    <n v="73939"/>
    <n v="0"/>
    <n v="73939"/>
    <n v="0.42477926387620407"/>
    <n v="0"/>
    <m/>
    <n v="0"/>
    <n v="2785032.37"/>
    <n v="141274"/>
    <n v="141274"/>
    <d v="2014-01-02T00:00:00"/>
    <n v="14192"/>
    <m/>
    <m/>
    <d v="2014-02-26T00:00:00"/>
    <n v="7096"/>
    <m/>
    <m/>
    <d v="2014-07-07T00:00:00"/>
    <n v="27458"/>
    <n v="41933"/>
    <n v="20852"/>
    <m/>
    <m/>
    <d v="2016-07-13T00:00:00"/>
    <m/>
    <d v="2016-07-13T00:00:00"/>
    <m/>
    <d v="2016-07-13T00:00:00"/>
    <n v="30071"/>
    <d v="2016-10-17T00:00:00"/>
    <n v="8517"/>
    <d v="2017-03-28T00:00:00"/>
    <n v="6635"/>
    <d v="2017-06-16T00:00:00"/>
    <n v="7555"/>
    <d v="2017-07-05T00:00:00"/>
    <n v="7198"/>
    <m/>
    <m/>
    <d v="2017-08-17T00:00:00"/>
    <n v="7429"/>
    <d v="2018-02-12T00:00:00"/>
    <n v="4271"/>
  </r>
  <r>
    <s v="VEFA Petunias"/>
    <x v="2"/>
    <x v="1"/>
    <x v="4"/>
    <s v="PRLC 0165"/>
    <s v="YFR"/>
    <s v="GGO"/>
    <x v="1"/>
    <m/>
    <m/>
    <m/>
    <m/>
    <m/>
    <m/>
    <n v="3512"/>
    <n v="977347"/>
    <n v="977347"/>
    <n v="19546.939999999999"/>
    <n v="278.28787015945329"/>
    <n v="278.28787015945329"/>
    <n v="217.55371245915362"/>
    <n v="19546.939999999999"/>
    <n v="70.239999999999995"/>
    <m/>
    <n v="1.2791685649202733"/>
    <s v="UA"/>
    <m/>
    <m/>
    <x v="0"/>
    <n v="50"/>
    <n v="50"/>
    <x v="0"/>
    <x v="22"/>
    <x v="0"/>
    <x v="0"/>
    <n v="3387"/>
    <n v="4457.88"/>
    <n v="4492.4399999999996"/>
    <n v="4492.4399999999996"/>
    <n v="89.848799999999997"/>
    <m/>
    <m/>
    <m/>
    <m/>
    <m/>
    <m/>
    <n v="0"/>
    <n v="0"/>
    <n v="4"/>
    <s v="collectif"/>
    <s v="oui"/>
    <n v="8177215"/>
    <m/>
    <d v="2013-11-13T00:00:00"/>
    <m/>
    <s v="INGEPAR"/>
    <s v="LS 79"/>
    <s v="SO"/>
    <d v="2014-07-28T00:00:00"/>
    <m/>
    <d v="2014-11-19T00:00:00"/>
    <d v="2015-07-10T00:00:00"/>
    <m/>
    <d v="2015-08-12T00:00:00"/>
    <d v="2015-09-03T00:00:00"/>
    <d v="2015-11-20T00:00:00"/>
    <d v="2015-09-17T00:00:00"/>
    <d v="2015-11-17T00:00:00"/>
    <d v="2017-11-17T00:00:00"/>
    <d v="2018-11-17T00:00:00"/>
    <m/>
    <s v="oui"/>
    <n v="7"/>
    <n v="163112.89964363858"/>
    <n v="0"/>
    <s v="ok"/>
    <s v="16/12/15 Région_x000a_20/01/16 CG_x000a_25/01/16 Mairie_x000a_10/02/16 CASUD"/>
    <m/>
    <d v="2016-02-01T00:00:00"/>
    <d v="2016-02-10T00:00:00"/>
    <d v="2015-12-22T00:00:00"/>
    <s v="LE GOFF"/>
    <d v="2015-11-25T00:00:00"/>
    <s v="doc jur 30/11/15"/>
    <n v="8009024.4900000002"/>
    <d v="2017-05-25T00:00:00"/>
    <d v="2017-11-25T00:00:00"/>
    <d v="2016-09-23T00:00:00"/>
    <d v="2018-02-26T00:00:00"/>
    <n v="1.6666666666666667"/>
    <m/>
    <m/>
    <m/>
    <s v="0"/>
    <d v="2014-02-06T00:00:00"/>
    <d v="2012-02-07T00:00:00"/>
    <n v="-730"/>
    <m/>
    <m/>
    <s v="0"/>
    <m/>
    <m/>
    <s v="0"/>
    <m/>
    <m/>
    <s v="0"/>
    <m/>
    <m/>
    <m/>
    <m/>
    <s v="0"/>
    <d v="2015-12-11T00:00:00"/>
    <x v="25"/>
    <x v="4"/>
    <n v="16.666666666666668"/>
    <n v="-1"/>
    <n v="24"/>
    <n v="27"/>
    <m/>
    <m/>
    <s v="0"/>
    <m/>
    <d v="2016-08-24T00:00:00"/>
    <s v="0"/>
    <m/>
    <m/>
    <s v="0"/>
    <m/>
    <d v="2017-07-13T00:00:00"/>
    <s v="0"/>
    <m/>
    <d v="2017-10-26T00:00:00"/>
    <s v="0"/>
    <m/>
    <m/>
    <s v="0"/>
    <m/>
    <d v="2017-11-13T00:00:00"/>
    <s v="0"/>
    <m/>
    <m/>
    <m/>
    <d v="2017-12-10T00:00:00"/>
    <d v="2018-03-30T00:00:00"/>
    <n v="3.6666666666666665"/>
    <d v="2018-09-23T00:00:00"/>
    <d v="2018-03-30T00:00:00"/>
    <d v="2017-10-09T00:00:00"/>
    <d v="2018-03-30T00:00:00"/>
    <m/>
    <d v="2018-01-10T00:00:00"/>
    <x v="30"/>
    <x v="5"/>
    <n v="3.2333333333333334"/>
    <n v="23301.842806234083"/>
    <n v="75342.625073490199"/>
    <s v="sem 12/02 : T5"/>
    <n v="119075"/>
    <n v="66513.73"/>
    <m/>
    <m/>
    <n v="0"/>
    <n v="0"/>
    <s v="FMA / YFR"/>
    <m/>
    <s v="équipement local refoulement par CASUD à partir du 05/02 (1 mois travaux)"/>
    <s v="décalage de programmation"/>
    <m/>
    <m/>
    <m/>
    <m/>
    <m/>
    <m/>
    <d v="2019-03-30T00:00:00"/>
    <m/>
    <m/>
    <d v="2018-08-28T00:00:00"/>
    <m/>
    <m/>
    <m/>
    <m/>
    <m/>
    <m/>
    <m/>
    <d v="2018-07-06T00:00:00"/>
    <m/>
    <m/>
    <m/>
    <m/>
    <m/>
    <n v="8927957.6050000004"/>
    <n v="8836763.6449999996"/>
    <n v="-91193.960000000894"/>
    <n v="1982.2793895304494"/>
    <n v="176735.27289999998"/>
    <n v="8046979"/>
    <n v="7435240.3190134894"/>
    <n v="-611738.68098651059"/>
    <n v="0.8590679428218172"/>
    <m/>
    <n v="2663620"/>
    <n v="2572426.04"/>
    <m/>
    <n v="51448.520799999998"/>
    <n v="-91193.959999999963"/>
    <n v="5272823.875"/>
    <n v="5272823.875"/>
    <n v="1076863.6000000001"/>
    <n v="4195960.2750000004"/>
    <n v="0"/>
    <n v="105456.47749999999"/>
    <m/>
    <n v="925000"/>
    <n v="925000"/>
    <n v="0"/>
    <n v="0.10467633142178491"/>
    <m/>
    <n v="0"/>
    <n v="0"/>
    <n v="18500"/>
    <n v="69948.520799999998"/>
    <n v="0"/>
    <n v="4.9400000000000004"/>
    <n v="4.93"/>
    <m/>
    <n v="0"/>
    <n v="69948.520799999998"/>
    <m/>
    <n v="69948.520799999998"/>
    <n v="0.39578132679591432"/>
    <m/>
    <m/>
    <n v="66513.73"/>
    <n v="8836763.6449999996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Z'ambaville (AX 18)"/>
    <x v="4"/>
    <x v="0"/>
    <x v="4"/>
    <s v="PRLC 0153"/>
    <s v="FVA"/>
    <s v="DBE"/>
    <x v="1"/>
    <s v="oui"/>
    <m/>
    <m/>
    <s v="SODEGIS"/>
    <s v="QUINOT"/>
    <d v="2013-05-13T00:00:00"/>
    <n v="1492"/>
    <n v="325000"/>
    <n v="85500"/>
    <n v="36111.111111111109"/>
    <n v="217.82841823056302"/>
    <n v="57.305630026809652"/>
    <n v="103.33949744370717"/>
    <n v="9500"/>
    <n v="165.77777777777777"/>
    <m/>
    <n v="0.55453753351206436"/>
    <s v="UA"/>
    <n v="30"/>
    <m/>
    <x v="1"/>
    <n v="9"/>
    <n v="9"/>
    <x v="11"/>
    <x v="2"/>
    <x v="0"/>
    <x v="0"/>
    <m/>
    <n v="858.51"/>
    <m/>
    <n v="827.37"/>
    <n v="91.93"/>
    <n v="0"/>
    <n v="0"/>
    <n v="0"/>
    <n v="0.88888888888888884"/>
    <n v="0.1111111111111111"/>
    <m/>
    <n v="0"/>
    <n v="0"/>
    <n v="2"/>
    <s v="MDV"/>
    <s v="non"/>
    <m/>
    <m/>
    <d v="2013-11-13T00:00:00"/>
    <d v="2014-05-14T00:00:00"/>
    <s v="INTERINVEST"/>
    <s v="PC 97 "/>
    <m/>
    <d v="2014-06-10T00:00:00"/>
    <m/>
    <d v="2014-06-30T00:00:00"/>
    <d v="2014-11-20T00:00:00"/>
    <m/>
    <d v="2015-02-19T00:00:00"/>
    <d v="2015-02-24T00:00:00"/>
    <d v="2015-05-23T00:00:00"/>
    <d v="2015-03-11T00:00:00"/>
    <d v="2015-05-22T00:00:00"/>
    <d v="2017-05-22T00:00:00"/>
    <d v="2018-05-22T00:00:00"/>
    <m/>
    <s v="oui"/>
    <n v="0"/>
    <n v="0"/>
    <n v="0"/>
    <s v="ok"/>
    <s v="CIVIS 25/05/15_x000a_Région 12/06/15_x000a_Commune 29/06/15_x000a_CG 30/06/15"/>
    <s v="conv° réserv° 17/09/15_x000a_G 09/11/15"/>
    <m/>
    <m/>
    <m/>
    <s v="MAREL"/>
    <d v="2016-04-18T00:00:00"/>
    <d v="2016-06-27T00:00:00"/>
    <n v="1734390.06"/>
    <d v="2016-06-01T00:00:00"/>
    <d v="2018-04-18T00:00:00"/>
    <d v="2016-09-01T00:00:00"/>
    <d v="2018-01-31T00:00:00"/>
    <n v="2.8"/>
    <d v="2013-10-01T00:00:00"/>
    <d v="2013-10-02T00:00:00"/>
    <d v="2013-10-08T00:00:00"/>
    <n v="6"/>
    <d v="2014-02-06T00:00:00"/>
    <d v="2014-02-06T00:00:00"/>
    <n v="0"/>
    <d v="2014-02-14T00:00:00"/>
    <d v="2014-02-18T00:00:00"/>
    <n v="4"/>
    <d v="2014-05-14T00:00:00"/>
    <d v="2014-06-11T00:00:00"/>
    <n v="28"/>
    <d v="2014-11-03T00:00:00"/>
    <d v="2014-11-03T00:00:00"/>
    <n v="0"/>
    <m/>
    <d v="2015-05-22T00:00:00"/>
    <d v="2015-06-03T00:00:00"/>
    <d v="2016-05-10T00:00:00"/>
    <n v="342"/>
    <d v="2015-03-20T00:00:00"/>
    <x v="26"/>
    <x v="5"/>
    <n v="23.333333333333332"/>
    <n v="417"/>
    <n v="13"/>
    <n v="22"/>
    <d v="2016-07-01T00:00:00"/>
    <d v="2017-06-20T00:00:00"/>
    <n v="354"/>
    <d v="2016-09-02T00:00:00"/>
    <d v="2016-08-22T00:00:00"/>
    <n v="-11"/>
    <d v="2016-12-01T00:00:00"/>
    <d v="2017-06-20T00:00:00"/>
    <n v="201"/>
    <d v="2017-02-09T00:00:00"/>
    <d v="2017-10-27T00:00:00"/>
    <n v="260"/>
    <d v="2017-03-07T00:00:00"/>
    <d v="2017-09-01T00:00:00"/>
    <n v="178"/>
    <d v="2017-03-24T00:00:00"/>
    <d v="2017-10-09T00:00:00"/>
    <n v="199"/>
    <d v="2017-05-24T00:00:00"/>
    <d v="2018-02-18T00:00:00"/>
    <n v="270"/>
    <d v="2017-11-20T00:00:00"/>
    <s v="-"/>
    <d v="2017-11-30T00:00:00"/>
    <d v="2017-06-10T00:00:00"/>
    <d v="2018-03-12T00:00:00"/>
    <n v="9.1666666666666661"/>
    <d v="2018-09-01T00:00:00"/>
    <d v="2018-04-16T00:00:00"/>
    <s v="ok"/>
    <d v="2018-04-15T00:00:00"/>
    <m/>
    <d v="2017-07-10T00:00:00"/>
    <x v="31"/>
    <x v="5"/>
    <n v="9.6333333333333329"/>
    <n v="5363.8647850361422"/>
    <n v="51671.897429181503"/>
    <d v="2018-03-08T00:00:00"/>
    <n v="0"/>
    <n v="59150"/>
    <n v="3439.7489999999998"/>
    <m/>
    <n v="27474.088999999996"/>
    <n v="1.4665972534353408E-2"/>
    <s v="SFE / AGA / FVA"/>
    <s v="Lot GO "/>
    <s v="bâche à poser pour sécurité incendie, avant inauguration_x000a_retard SBIM / AMEDEE"/>
    <s v="problématique juridique INTERINVEST qui a mis beaucoup de temps à se solutionner_x000a_retard SBIM / AMEDEE_x000a_convention MOD EDF très tardive_x000a_"/>
    <m/>
    <m/>
    <m/>
    <s v="ok"/>
    <m/>
    <m/>
    <d v="2019-03-12T00:00:00"/>
    <m/>
    <s v="ok"/>
    <d v="2018-06-11T00:00:00"/>
    <m/>
    <m/>
    <m/>
    <m/>
    <m/>
    <m/>
    <m/>
    <d v="2018-05-03T00:00:00"/>
    <m/>
    <m/>
    <m/>
    <m/>
    <m/>
    <n v="1603589"/>
    <n v="1873322"/>
    <n v="269733"/>
    <n v="2182.0619445318052"/>
    <n v="208146.88888888888"/>
    <n v="1344547"/>
    <n v="1545657.7250008537"/>
    <n v="201110.72500085365"/>
    <n v="0.84241605939922304"/>
    <m/>
    <n v="478312"/>
    <n v="614225"/>
    <m/>
    <n v="68247.222222222219"/>
    <n v="135913"/>
    <n v="980627"/>
    <n v="1199946"/>
    <n v="270994"/>
    <n v="928952"/>
    <n v="219319"/>
    <n v="133327.33333333334"/>
    <n v="0"/>
    <n v="85500"/>
    <n v="1"/>
    <n v="0"/>
    <n v="5.3381105864341529E-7"/>
    <m/>
    <n v="0"/>
    <n v="-85499"/>
    <n v="0.1111111111111111"/>
    <n v="68247.333333333328"/>
    <n v="-1709.98"/>
    <n v="5.7"/>
    <n v="5.59"/>
    <n v="0"/>
    <n v="0"/>
    <e v="#REF!"/>
    <m/>
    <e v="#REF!"/>
    <n v="0.3278806313063104"/>
    <m/>
    <m/>
    <n v="59150"/>
    <n v="1873322"/>
    <n v="91876"/>
    <n v="86406"/>
    <d v="2013-02-19T00:00:00"/>
    <n v="7458"/>
    <m/>
    <m/>
    <d v="2014-02-11T00:00:00"/>
    <n v="5456"/>
    <m/>
    <m/>
    <d v="2014-05-14T00:00:00"/>
    <n v="17627"/>
    <d v="2014-11-03T00:00:00"/>
    <n v="13089"/>
    <m/>
    <m/>
    <s v="ok"/>
    <m/>
    <s v="ok"/>
    <m/>
    <d v="2016-08-12T00:00:00"/>
    <n v="17699"/>
    <d v="2016-12-08T00:00:00"/>
    <n v="5451"/>
    <d v="2017-09-07T00:00:00"/>
    <s v="-"/>
    <d v="2017-09-07T00:00:00"/>
    <m/>
    <d v="2017-09-07T00:00:00"/>
    <n v="15909"/>
    <d v="2018-03-08T00:00:00"/>
    <m/>
    <d v="2018-03-08T00:00:00"/>
    <n v="3717"/>
    <m/>
    <m/>
  </r>
  <r>
    <s v="Fleurs jaunes (Ilôt 6.1)"/>
    <x v="4"/>
    <x v="0"/>
    <x v="4"/>
    <s v="PRLC 0160"/>
    <s v="FHO"/>
    <s v="VAF"/>
    <x v="2"/>
    <m/>
    <m/>
    <s v="convention paroi clouée OK / notaire doit rédiger une constitution de servitude"/>
    <s v="SODEGIS"/>
    <s v="QUINOT"/>
    <m/>
    <n v="2529"/>
    <n v="217810"/>
    <n v="217810"/>
    <n v="7260.333333333333"/>
    <n v="86.124950573349153"/>
    <n v="86.124950573349153"/>
    <n v="84.317900278724068"/>
    <n v="7260.333333333333"/>
    <n v="84.3"/>
    <n v="1077.3"/>
    <n v="1.0214313958086199"/>
    <m/>
    <n v="110"/>
    <m/>
    <x v="0"/>
    <n v="30"/>
    <n v="30"/>
    <x v="0"/>
    <x v="1"/>
    <x v="0"/>
    <x v="0"/>
    <m/>
    <n v="2546.5500000000002"/>
    <m/>
    <n v="2583.1999999999998"/>
    <n v="86.106666666666655"/>
    <n v="6.6666666666666666E-2"/>
    <n v="0.4"/>
    <n v="0.4"/>
    <n v="0.1"/>
    <n v="3.3333333333333333E-2"/>
    <m/>
    <n v="0"/>
    <n v="0"/>
    <n v="4"/>
    <s v="collectif"/>
    <m/>
    <m/>
    <m/>
    <d v="2014-01-28T00:00:00"/>
    <m/>
    <s v="OFOI"/>
    <s v="IONIQUE 4"/>
    <m/>
    <d v="2014-09-08T00:00:00"/>
    <m/>
    <s v="ok"/>
    <d v="2015-09-09T00:00:00"/>
    <m/>
    <d v="2015-08-17T00:00:00"/>
    <d v="2015-09-15T00:00:00"/>
    <d v="2015-12-15T00:00:00"/>
    <d v="2015-09-22T00:00:00"/>
    <d v="2015-09-15T00:00:00"/>
    <d v="2017-09-15T00:00:00"/>
    <d v="2018-09-15T00:00:00"/>
    <m/>
    <s v="oui"/>
    <n v="0"/>
    <n v="0"/>
    <n v="0"/>
    <s v="ok"/>
    <s v="16/12/15 Région _x000a_16/12/15 Commune_x000a_10/02/16 CIVIS_x000a_11/05/16 CG"/>
    <s v="attente retour conv° garantie par signée CG &amp; transmise au CG 11/05/16"/>
    <s v="Mail 16/12/15"/>
    <d v="2016-02-10T00:00:00"/>
    <m/>
    <s v="AUBERT"/>
    <d v="2016-12-21T00:00:00"/>
    <s v="MAIL 03/04/17"/>
    <n v="4558993.83"/>
    <d v="2017-06-21T00:00:00"/>
    <d v="2017-06-22T00:00:00"/>
    <d v="2017-06-21T00:00:00"/>
    <d v="2018-12-21T00:00:00"/>
    <n v="-3.8666666666666667"/>
    <d v="2013-09-26T00:00:00"/>
    <d v="2013-09-27T00:00:00"/>
    <d v="2013-10-07T00:00:00"/>
    <n v="10"/>
    <d v="2014-02-06T00:00:00"/>
    <d v="2013-12-17T00:00:00"/>
    <n v="-51"/>
    <d v="2014-03-10T00:00:00"/>
    <d v="2014-03-10T00:00:00"/>
    <n v="0"/>
    <d v="2014-07-15T00:00:00"/>
    <d v="2014-07-15T00:00:00"/>
    <n v="0"/>
    <d v="2014-09-10T00:00:00"/>
    <d v="2014-09-10T00:00:00"/>
    <n v="0"/>
    <m/>
    <d v="2015-02-20T00:00:00"/>
    <d v="2015-12-30T00:00:00"/>
    <d v="2017-02-06T00:00:00"/>
    <n v="404"/>
    <d v="2017-02-21T00:00:00"/>
    <x v="27"/>
    <x v="6"/>
    <n v="29.4"/>
    <n v="-15"/>
    <n v="16"/>
    <n v="18"/>
    <d v="2017-04-14T00:00:00"/>
    <d v="2017-04-14T00:00:00"/>
    <n v="0"/>
    <d v="2017-06-22T00:00:00"/>
    <d v="2017-06-21T00:00:00"/>
    <n v="-1"/>
    <d v="2018-02-13T00:00:00"/>
    <d v="2017-12-19T00:00:00"/>
    <n v="-56"/>
    <d v="2018-03-30T00:00:00"/>
    <d v="2018-03-30T00:00:00"/>
    <n v="0"/>
    <d v="2018-02-16T00:00:00"/>
    <d v="2018-04-19T00:00:00"/>
    <n v="62"/>
    <d v="2018-03-09T00:00:00"/>
    <d v="2018-09-05T00:00:00"/>
    <n v="180"/>
    <d v="2018-05-18T00:00:00"/>
    <d v="2018-09-05T00:00:00"/>
    <n v="110"/>
    <d v="2018-05-04T00:00:00"/>
    <d v="2018-05-04T00:00:00"/>
    <d v="2018-03-01T00:00:00"/>
    <d v="2018-06-06T00:00:00"/>
    <d v="2018-08-07T00:00:00"/>
    <n v="2.0666666666666669"/>
    <d v="2019-06-21T00:00:00"/>
    <m/>
    <d v="2016-11-28T00:00:00"/>
    <d v="2018-08-22T00:00:00"/>
    <s v="7 &amp; 08/08"/>
    <d v="2018-06-21T00:00:00"/>
    <x v="32"/>
    <x v="5"/>
    <n v="2.2333333333333334"/>
    <n v="12880.082339110333"/>
    <n v="28765.517224013078"/>
    <d v="2018-06-27T00:00:00"/>
    <n v="0"/>
    <n v="0"/>
    <n v="101278.04394999999"/>
    <m/>
    <n v="84397"/>
    <n v="1.7698085099779645E-2"/>
    <s v="FMA / FHO"/>
    <m/>
    <s v="avancement PERSM problématique_x000a_mur soutènement arrière_x000a_intempéries"/>
    <s v="problématique foncière non anticipée et propre à la vente en VEFA défisc_x000a_changements de RO_x000a_délai paiement entreprises"/>
    <m/>
    <m/>
    <m/>
    <m/>
    <m/>
    <m/>
    <d v="2019-08-07T00:00:00"/>
    <m/>
    <m/>
    <m/>
    <m/>
    <m/>
    <m/>
    <m/>
    <m/>
    <m/>
    <m/>
    <m/>
    <m/>
    <m/>
    <m/>
    <m/>
    <m/>
    <n v="4943575.0199999996"/>
    <n v="4768708"/>
    <n v="-174867.01999999955"/>
    <n v="1872.6151067130038"/>
    <n v="158956.93333333332"/>
    <n v="4386257"/>
    <n v="3720168"/>
    <n v="-666089"/>
    <n v="0.7965032725845238"/>
    <m/>
    <n v="1393063.02"/>
    <n v="1462622"/>
    <m/>
    <n v="48754.066666666666"/>
    <n v="69558.979999999981"/>
    <n v="2950512"/>
    <n v="2706086"/>
    <n v="461009"/>
    <n v="2245077"/>
    <n v="-244426"/>
    <n v="90202.866666666669"/>
    <m/>
    <n v="600000"/>
    <n v="600000"/>
    <n v="0"/>
    <n v="0.12582024313503784"/>
    <m/>
    <n v="0"/>
    <n v="0"/>
    <n v="20000"/>
    <n v="68754.066666666666"/>
    <n v="0"/>
    <n v="6.29"/>
    <n v="6.16"/>
    <n v="0"/>
    <n v="0"/>
    <n v="68754.066666666666"/>
    <n v="0"/>
    <n v="68754.066666666666"/>
    <n v="0.43253266922613004"/>
    <n v="0"/>
    <m/>
    <n v="0"/>
    <n v="4768708"/>
    <n v="231904"/>
    <n v="215671"/>
    <d v="2013-12-19T00:00:00"/>
    <n v="47620"/>
    <m/>
    <m/>
    <d v="2004-02-28T00:00:00"/>
    <n v="12520"/>
    <m/>
    <m/>
    <n v="41820"/>
    <n v="24983"/>
    <d v="2014-12-17T00:00:00"/>
    <n v="36513"/>
    <m/>
    <m/>
    <d v="2016-12-23T00:00:00"/>
    <m/>
    <d v="2016-12-23T00:00:00"/>
    <n v="28342"/>
    <d v="2017-06-21T00:00:00"/>
    <n v="11537"/>
    <d v="2017-08-24T00:00:00"/>
    <n v="11375"/>
    <d v="2018-03-01T00:00:00"/>
    <n v="12633"/>
    <d v="2018-04-19T00:00:00"/>
    <n v="11595"/>
    <d v="2018-04-26T00:00:00"/>
    <n v="11596"/>
    <d v="2018-07-09T00:00:00"/>
    <n v="6957"/>
    <m/>
    <m/>
    <m/>
    <m/>
  </r>
  <r>
    <s v="Manapany "/>
    <x v="6"/>
    <x v="1"/>
    <x v="4"/>
    <s v="PRLC 0111"/>
    <s v="FHO"/>
    <s v="VAF"/>
    <x v="2"/>
    <s v="oui"/>
    <m/>
    <s v="terrains achetés_x000a_PA obtenu"/>
    <s v="Commune / MOREL"/>
    <s v="AUBERT"/>
    <m/>
    <n v="7020"/>
    <n v="577000"/>
    <n v="173455"/>
    <n v="27476.190476190477"/>
    <n v="82.193732193732188"/>
    <n v="24.708689458689459"/>
    <n v="113.95918742773048"/>
    <n v="8259.7619047619046"/>
    <n v="334.28571428571428"/>
    <m/>
    <n v="0.21682051282051282"/>
    <s v="NAUC"/>
    <n v="40"/>
    <m/>
    <x v="0"/>
    <n v="21"/>
    <n v="21"/>
    <x v="0"/>
    <x v="23"/>
    <x v="0"/>
    <x v="0"/>
    <m/>
    <n v="1508.31"/>
    <m/>
    <n v="1522.08"/>
    <n v="72.47999999999999"/>
    <n v="0"/>
    <n v="7"/>
    <n v="8"/>
    <n v="5"/>
    <n v="1"/>
    <m/>
    <m/>
    <n v="0"/>
    <n v="1"/>
    <s v="MDV"/>
    <s v="non"/>
    <m/>
    <m/>
    <d v="2013-06-13T00:00:00"/>
    <d v="2012-02-24T00:00:00"/>
    <s v="SO"/>
    <m/>
    <s v="SO"/>
    <d v="2014-07-28T00:00:00"/>
    <d v="2017-10-02T00:00:00"/>
    <s v="30/06/2014_x000a_08/04/16"/>
    <s v="16/10/2014_x000a_20/05/2016"/>
    <d v="2016-05-20T00:00:00"/>
    <d v="2016-06-06T00:00:00"/>
    <d v="2016-08-12T00:00:00"/>
    <d v="2016-11-12T00:00:00"/>
    <d v="2016-08-29T00:00:00"/>
    <d v="2016-08-12T00:00:00"/>
    <d v="2018-08-12T00:00:00"/>
    <d v="2019-08-12T00:00:00"/>
    <m/>
    <s v="oui"/>
    <n v="6"/>
    <n v="50249.949131693997"/>
    <n v="0"/>
    <d v="2016-08-18T00:00:00"/>
    <s v="Commune 16/11/16_x000a_Région 13/12/16_x000a_CASUD 29/06/2017_x000a_CDC 21/06/17"/>
    <d v="2017-01-12T00:00:00"/>
    <m/>
    <d v="2017-06-29T00:00:00"/>
    <d v="2017-01-11T00:00:00"/>
    <s v="AUBERT"/>
    <m/>
    <m/>
    <m/>
    <m/>
    <m/>
    <m/>
    <s v="SO"/>
    <m/>
    <d v="2011-09-12T00:00:00"/>
    <d v="2011-09-13T00:00:00"/>
    <d v="2011-09-15T00:00:00"/>
    <n v="2"/>
    <d v="2014-02-06T00:00:00"/>
    <d v="2014-02-06T00:00:00"/>
    <n v="0"/>
    <d v="2012-01-10T00:00:00"/>
    <d v="2012-02-13T00:00:00"/>
    <n v="34"/>
    <d v="2012-03-30T00:00:00"/>
    <d v="2014-04-24T00:00:00"/>
    <n v="755"/>
    <d v="2015-06-09T00:00:00"/>
    <d v="2014-04-24T00:00:00"/>
    <n v="-411"/>
    <m/>
    <d v="2015-08-28T00:00:00"/>
    <d v="2015-12-15T00:00:00"/>
    <d v="2017-07-12T00:00:00"/>
    <n v="575"/>
    <d v="2017-07-27T00:00:00"/>
    <x v="28"/>
    <x v="6"/>
    <n v="36.166666666666664"/>
    <n v="-10"/>
    <n v="15"/>
    <n v="15"/>
    <d v="2017-08-18T00:00:00"/>
    <d v="2017-10-30T00:00:00"/>
    <n v="73"/>
    <d v="2018-06-15T00:00:00"/>
    <d v="2018-07-03T00:00:00"/>
    <n v="18"/>
    <d v="2018-07-13T00:00:00"/>
    <d v="2018-07-19T00:00:00"/>
    <n v="6"/>
    <d v="2018-08-24T00:00:00"/>
    <d v="2018-09-05T00:00:00"/>
    <n v="12"/>
    <d v="2018-08-29T00:00:00"/>
    <d v="2018-09-05T00:00:00"/>
    <n v="7"/>
    <d v="2018-09-12T00:00:00"/>
    <d v="2018-09-12T00:00:00"/>
    <n v="0"/>
    <d v="2018-10-03T00:00:00"/>
    <d v="2018-10-03T00:00:00"/>
    <n v="0"/>
    <d v="2018-08-03T00:00:00"/>
    <d v="2018-08-03T00:00:00"/>
    <d v="2018-08-03T00:00:00"/>
    <d v="2018-10-17T00:00:00"/>
    <d v="2018-10-17T00:00:00"/>
    <n v="0"/>
    <d v="1901-12-31T00:00:00"/>
    <m/>
    <m/>
    <d v="2019-01-21T00:00:00"/>
    <m/>
    <d v="2018-11-17T00:00:00"/>
    <x v="33"/>
    <x v="6"/>
    <n v="2.5333333333333332"/>
    <n v="8374.9915219489994"/>
    <n v="21216.645188937466"/>
    <m/>
    <n v="368628"/>
    <n v="330689"/>
    <s v="80659_x000a_31 478 FRAFU"/>
    <m/>
    <n v="0"/>
    <n v="0"/>
    <s v="FHO"/>
    <s v="Lot carrelage "/>
    <s v="1 mois de retard sur VRD (rattrapable)_x000a_pb effectif Gros Œuvre_x000a_retards de paiement SODEGIS_x000a_pb avancement  plaquiste"/>
    <s v="montage technico financier complexe / reprise d'études MOE à la demande du Maire / recherche de solutions pour minimiser les fonds propres (négociation foncière avec un propriétaire foncier pour réalisation de lots à batir en dation)_x000a_nombreux retards de paiement de la DAF (JM Plomberie, gros oeuvre)"/>
    <m/>
    <m/>
    <m/>
    <m/>
    <m/>
    <m/>
    <d v="2019-10-17T00:00:00"/>
    <m/>
    <m/>
    <m/>
    <m/>
    <m/>
    <m/>
    <m/>
    <m/>
    <m/>
    <m/>
    <m/>
    <m/>
    <m/>
    <m/>
    <m/>
    <m/>
    <n v="3672851.59"/>
    <n v="3935228.37"/>
    <n v="262376.78000000026"/>
    <n v="2609.0315452393738"/>
    <n v="187391.82714285716"/>
    <n v="2877228"/>
    <n v="2855004"/>
    <n v="-22224"/>
    <n v="0.74073441486192571"/>
    <m/>
    <n v="840305.59"/>
    <n v="1264352.3999999999"/>
    <n v="1268847"/>
    <n v="60207.257142857139"/>
    <n v="424046.80999999994"/>
    <n v="1784577"/>
    <n v="1784577"/>
    <n v="599672"/>
    <n v="1184905"/>
    <n v="0"/>
    <n v="84979.857142857145"/>
    <m/>
    <n v="717280"/>
    <n v="442750"/>
    <n v="0"/>
    <n v="0.11250935355500093"/>
    <m/>
    <n v="112859.97"/>
    <n v="-274530"/>
    <n v="21083.333333333332"/>
    <n v="81290.590476190468"/>
    <n v="-13072.857142857143"/>
    <n v="5.15"/>
    <n v="5"/>
    <n v="1512119.8533942373"/>
    <n v="315000"/>
    <m/>
    <n v="292222.2"/>
    <m/>
    <n v="0.43912994600192845"/>
    <n v="177098.21865"/>
    <m/>
    <n v="330689"/>
    <n v="5447348.2233942375"/>
    <n v="193376"/>
    <n v="149673"/>
    <d v="2011-09-28T00:00:00"/>
    <n v="24368"/>
    <m/>
    <m/>
    <m/>
    <m/>
    <d v="2014-02-06T00:00:00"/>
    <n v="17298"/>
    <n v="40998"/>
    <n v="11733"/>
    <d v="2014-12-19T00:00:00"/>
    <n v="26183"/>
    <m/>
    <m/>
    <m/>
    <m/>
    <d v="2017-07-17T00:00:00"/>
    <n v="49639"/>
    <d v="2017-12-21T00:00:00"/>
    <n v="3735"/>
    <m/>
    <m/>
    <m/>
    <m/>
    <s v="partie"/>
    <n v="16717"/>
    <m/>
    <m/>
    <n v="17298"/>
    <m/>
    <m/>
    <m/>
    <m/>
    <m/>
  </r>
  <r>
    <s v="Lacaussade 3"/>
    <x v="6"/>
    <x v="1"/>
    <x v="5"/>
    <s v="PRLC 0166"/>
    <s v="FBR"/>
    <s v="VAF"/>
    <x v="2"/>
    <m/>
    <m/>
    <m/>
    <s v="SODEGIS"/>
    <s v="LE GOFF"/>
    <m/>
    <n v="779"/>
    <n v="195000"/>
    <n v="195000"/>
    <n v="9750"/>
    <n v="250.32092426187421"/>
    <n v="250.32092426187421"/>
    <n v="150.05655978022486"/>
    <n v="9750"/>
    <n v="38.950000000000003"/>
    <m/>
    <n v="1.6681771501925546"/>
    <s v="UA"/>
    <n v="35"/>
    <n v="0"/>
    <x v="0"/>
    <n v="20"/>
    <n v="20"/>
    <x v="0"/>
    <x v="24"/>
    <x v="0"/>
    <x v="0"/>
    <m/>
    <n v="1304.1600000000001"/>
    <m/>
    <n v="1299.51"/>
    <n v="64.975499999999997"/>
    <n v="0.2"/>
    <n v="0.4"/>
    <n v="0.2"/>
    <n v="0.2"/>
    <n v="0"/>
    <m/>
    <n v="0"/>
    <n v="0"/>
    <n v="4"/>
    <s v="collectif"/>
    <s v="non"/>
    <m/>
    <m/>
    <d v="2014-10-09T00:00:00"/>
    <m/>
    <s v="OFOI"/>
    <s v="LOGIS 8"/>
    <m/>
    <d v="2015-09-02T00:00:00"/>
    <m/>
    <d v="2016-07-28T00:00:00"/>
    <d v="2016-08-24T00:00:00"/>
    <d v="2016-08-24T00:00:00"/>
    <d v="2016-08-24T00:00:00"/>
    <d v="2016-09-07T00:00:00"/>
    <d v="2016-12-07T00:00:00"/>
    <d v="2016-10-03T00:00:00"/>
    <d v="2016-09-07T00:00:00"/>
    <d v="2018-09-07T00:00:00"/>
    <d v="2019-09-07T00:00:00"/>
    <m/>
    <s v="non"/>
    <n v="12"/>
    <n v="87228"/>
    <n v="0"/>
    <s v="14/09/2016_x000a_retour 28/09 pour signature"/>
    <s v="Commune 21/12/16_x000a_CG 12/01/17_x000a_Région 19/06/17_x000a_CASUD 29/06/17"/>
    <s v="12/01/2017 mail_x000a_30/01/2017 papier"/>
    <d v="2016-12-21T00:00:00"/>
    <d v="2017-06-29T00:00:00"/>
    <d v="2017-06-26T00:00:00"/>
    <s v="LE GOFF"/>
    <d v="2016-12-15T00:00:00"/>
    <s v="MAIL 04/04/2017"/>
    <n v="2638167.36"/>
    <d v="2018-06-15T00:00:00"/>
    <d v="2018-12-15T00:00:00"/>
    <d v="2017-08-25T00:00:00"/>
    <d v="2018-11-15T00:00:00"/>
    <n v="-2.7666666666666666"/>
    <d v="2014-07-08T00:00:00"/>
    <d v="2014-07-09T00:00:00"/>
    <d v="2014-08-11T00:00:00"/>
    <n v="33"/>
    <d v="2015-02-13T00:00:00"/>
    <d v="2015-02-05T00:00:00"/>
    <n v="-8"/>
    <d v="2015-01-23T00:00:00"/>
    <d v="2015-01-23T00:00:00"/>
    <n v="0"/>
    <d v="2015-04-27T00:00:00"/>
    <d v="2015-06-29T00:00:00"/>
    <n v="63"/>
    <d v="2015-08-28T00:00:00"/>
    <d v="2015-09-07T00:00:00"/>
    <n v="10"/>
    <m/>
    <d v="2016-06-07T00:00:00"/>
    <d v="2017-03-16T00:00:00"/>
    <d v="2017-02-15T00:00:00"/>
    <n v="-29"/>
    <d v="2017-03-02T00:00:00"/>
    <x v="29"/>
    <x v="6"/>
    <n v="17.899999999999999"/>
    <n v="-10"/>
    <n v="14"/>
    <n v="17"/>
    <d v="2017-05-05T00:00:00"/>
    <d v="2017-06-07T00:00:00"/>
    <n v="33"/>
    <d v="2017-06-13T00:00:00"/>
    <d v="2017-08-31T00:00:00"/>
    <n v="79"/>
    <d v="2017-08-31T00:00:00"/>
    <d v="2017-11-15T00:00:00"/>
    <n v="76"/>
    <d v="2017-11-15T00:00:00"/>
    <d v="2018-03-22T00:00:00"/>
    <n v="127"/>
    <d v="2017-11-08T00:00:00"/>
    <d v="2018-09-05T00:00:00"/>
    <n v="301"/>
    <d v="2018-03-08T00:00:00"/>
    <d v="2018-09-05T00:00:00"/>
    <n v="181"/>
    <d v="2018-04-10T00:00:00"/>
    <d v="2018-09-05T00:00:00"/>
    <n v="148"/>
    <m/>
    <m/>
    <m/>
    <d v="2018-04-20T00:00:00"/>
    <d v="2018-08-14T00:00:00"/>
    <n v="3.8666666666666667"/>
    <d v="2019-08-25T00:00:00"/>
    <m/>
    <d v="2017-05-24T00:00:00"/>
    <d v="2018-08-15T00:00:00"/>
    <d v="2018-08-16T00:00:00"/>
    <d v="2018-05-05T00:00:00"/>
    <x v="34"/>
    <x v="5"/>
    <n v="3.7"/>
    <n v="7269"/>
    <n v="26895.300000000003"/>
    <d v="2018-07-26T00:00:00"/>
    <n v="0"/>
    <n v="33867"/>
    <n v="11509.23"/>
    <n v="0"/>
    <n v="31941.984999999997"/>
    <n v="1.1360135160847596E-2"/>
    <s v="JMO / NBL / FBR"/>
    <s v="Lot plomberie _x000a_Lot peinture, étanchéité"/>
    <s v="difficultés de terrassement dû à la nature du sol rencontré (courrier LASETRA) /retard galvanisation charpente+ 45 jours"/>
    <m/>
    <m/>
    <m/>
    <m/>
    <m/>
    <m/>
    <m/>
    <d v="2019-08-14T00:00:00"/>
    <m/>
    <m/>
    <m/>
    <m/>
    <m/>
    <m/>
    <m/>
    <m/>
    <m/>
    <m/>
    <m/>
    <m/>
    <m/>
    <m/>
    <m/>
    <m/>
    <n v="2722212.2295052204"/>
    <n v="2811761"/>
    <n v="89548.770494779572"/>
    <n v="2155.9938964544226"/>
    <n v="140588.04999999999"/>
    <n v="2475597.5350000001"/>
    <n v="2036370.9416817785"/>
    <n v="-439226.59331822162"/>
    <n v="0.739442197063369"/>
    <n v="0.39772600000000002"/>
    <n v="819282.73457759398"/>
    <n v="803098"/>
    <m/>
    <n v="40154.9"/>
    <n v="-16184.734577593976"/>
    <n v="1502929.4949276266"/>
    <n v="1544668"/>
    <n v="339371"/>
    <n v="1205297"/>
    <n v="41738.505072373431"/>
    <n v="77233.399999999994"/>
    <m/>
    <n v="400000"/>
    <n v="400000"/>
    <m/>
    <n v="0.14225960172290603"/>
    <m/>
    <n v="30128"/>
    <n v="0"/>
    <n v="20000"/>
    <n v="60154.9"/>
    <n v="0"/>
    <n v="5.59"/>
    <n v="5.49"/>
    <n v="0"/>
    <n v="0"/>
    <n v="60154.9"/>
    <n v="0"/>
    <n v="60154.9"/>
    <n v="0.42788060578406201"/>
    <n v="0"/>
    <m/>
    <n v="33867"/>
    <n v="2811761"/>
    <n v="131447"/>
    <n v="124874"/>
    <d v="2014-10-24T00:00:00"/>
    <n v="13352"/>
    <m/>
    <m/>
    <m/>
    <n v="6171"/>
    <d v="2015-03-03T00:00:00"/>
    <n v="12860"/>
    <d v="2015-04-27T00:00:00"/>
    <n v="13828"/>
    <m/>
    <n v="19512"/>
    <m/>
    <m/>
    <d v="2016-12-13T00:00:00"/>
    <m/>
    <d v="2016-12-13T00:00:00"/>
    <n v="19717"/>
    <d v="2017-08-17T00:00:00"/>
    <n v="6573"/>
    <m/>
    <m/>
    <d v="2017-12-14T00:00:00"/>
    <n v="13144"/>
    <m/>
    <m/>
    <m/>
    <m/>
    <m/>
    <m/>
    <d v="2018-08-21T00:00:00"/>
    <n v="19717"/>
    <m/>
    <m/>
  </r>
  <r>
    <s v="Plaine St Paul"/>
    <x v="9"/>
    <x v="2"/>
    <x v="5"/>
    <s v="PRLC 0167"/>
    <s v="FBR"/>
    <s v="DBE"/>
    <x v="2"/>
    <m/>
    <m/>
    <s v="acte signé"/>
    <s v="EPFR / RUET"/>
    <s v="BARET/GILLOT"/>
    <m/>
    <n v="1767"/>
    <n v="210000"/>
    <n v="210000"/>
    <n v="11666.666666666666"/>
    <n v="118.84550084889644"/>
    <n v="118.84550084889644"/>
    <n v="122.68720021966851"/>
    <n v="11666.666666666666"/>
    <n v="98.166666666666671"/>
    <m/>
    <n v="0.96868704018109797"/>
    <s v="UB4"/>
    <n v="200"/>
    <m/>
    <x v="0"/>
    <n v="18"/>
    <n v="18"/>
    <x v="0"/>
    <x v="18"/>
    <x v="0"/>
    <x v="0"/>
    <m/>
    <n v="1709.55"/>
    <m/>
    <n v="1711.67"/>
    <n v="95.092777777777783"/>
    <n v="0"/>
    <n v="0"/>
    <n v="0.55555555555555558"/>
    <n v="0.22222222222222221"/>
    <n v="0.22222222222222221"/>
    <m/>
    <n v="0"/>
    <n v="0"/>
    <n v="3"/>
    <s v="collectif"/>
    <s v="oui"/>
    <m/>
    <m/>
    <d v="2014-10-08T00:00:00"/>
    <m/>
    <s v="OFOI"/>
    <s v="LOGIS 9"/>
    <m/>
    <d v="2015-11-12T00:00:00"/>
    <m/>
    <d v="2016-07-22T00:00:00"/>
    <d v="2016-08-25T00:00:00"/>
    <d v="2016-08-25T00:00:00"/>
    <d v="2016-08-26T00:00:00"/>
    <d v="2016-09-07T00:00:00"/>
    <d v="2016-12-07T00:00:00"/>
    <d v="2016-10-05T00:00:00"/>
    <d v="2016-09-07T00:00:00"/>
    <d v="2018-09-07T00:00:00"/>
    <d v="2019-09-07T00:00:00"/>
    <m/>
    <s v="oui"/>
    <n v="11"/>
    <n v="0"/>
    <n v="0"/>
    <d v="2016-09-14T00:00:00"/>
    <d v="2016-12-21T00:00:00"/>
    <m/>
    <m/>
    <d v="2016-12-21T00:00:00"/>
    <m/>
    <s v="BARET/GILLOT"/>
    <d v="2016-12-15T00:00:00"/>
    <s v="MAIL 03/04/17"/>
    <n v="3231709.2458374146"/>
    <d v="2018-06-15T00:00:00"/>
    <d v="2018-12-15T00:00:00"/>
    <d v="2017-09-12T00:00:00"/>
    <d v="2018-12-15T00:00:00"/>
    <n v="-2.7"/>
    <d v="2014-06-23T00:00:00"/>
    <d v="2014-06-24T00:00:00"/>
    <d v="2014-06-23T00:00:00"/>
    <n v="-1"/>
    <d v="2015-01-23T00:00:00"/>
    <d v="2014-12-23T00:00:00"/>
    <n v="-31"/>
    <d v="2015-01-22T00:00:00"/>
    <d v="2015-02-03T00:00:00"/>
    <n v="12"/>
    <d v="2015-03-15T00:00:00"/>
    <d v="2015-05-04T00:00:00"/>
    <n v="50"/>
    <d v="2015-07-01T00:00:00"/>
    <d v="2015-09-07T00:00:00"/>
    <n v="68"/>
    <m/>
    <d v="2016-04-12T00:00:00"/>
    <d v="2016-11-21T00:00:00"/>
    <d v="2017-02-03T00:00:00"/>
    <n v="74"/>
    <d v="2017-02-17T00:00:00"/>
    <x v="27"/>
    <x v="6"/>
    <n v="15.066666666666666"/>
    <n v="-11"/>
    <n v="16"/>
    <n v="18"/>
    <d v="2017-03-06T00:00:00"/>
    <d v="2017-05-12T00:00:00"/>
    <n v="67"/>
    <d v="2017-06-13T00:00:00"/>
    <d v="2017-07-07T00:00:00"/>
    <n v="24"/>
    <d v="2017-11-29T00:00:00"/>
    <d v="2017-11-25T00:00:00"/>
    <n v="-4"/>
    <d v="2017-12-13T00:00:00"/>
    <d v="2018-09-05T00:00:00"/>
    <n v="266"/>
    <d v="2018-02-05T00:00:00"/>
    <d v="2018-09-05T00:00:00"/>
    <n v="212"/>
    <d v="2018-04-26T00:00:00"/>
    <d v="2018-09-05T00:00:00"/>
    <n v="132"/>
    <d v="2018-05-24T00:00:00"/>
    <d v="2018-09-05T00:00:00"/>
    <n v="104"/>
    <m/>
    <m/>
    <m/>
    <d v="2018-06-06T00:00:00"/>
    <d v="2018-08-16T00:00:00"/>
    <n v="2.3666666666666667"/>
    <d v="2019-09-12T00:00:00"/>
    <m/>
    <d v="2017-05-24T00:00:00"/>
    <d v="2018-08-22T00:00:00"/>
    <d v="2018-08-28T00:00:00"/>
    <d v="2018-06-21T00:00:00"/>
    <x v="35"/>
    <x v="6"/>
    <n v="3.2"/>
    <m/>
    <n v="0"/>
    <d v="2018-08-16T00:00:00"/>
    <n v="0"/>
    <n v="0"/>
    <n v="177717.03653999997"/>
    <n v="70491"/>
    <n v="8425.6391399999993"/>
    <n v="2.4681831068391752E-3"/>
    <s v="JMO / NBL / FBR"/>
    <m/>
    <s v="SMOI : 1 mois retard _x000a_mur voisin : 1,5 mois retard"/>
    <s v="INFO / arrêt de chantier du 20/02/17 au 17/04/2017 suite pb d'avoisinant (bornage et mur)/retard galvanisation charpente"/>
    <m/>
    <m/>
    <m/>
    <m/>
    <m/>
    <m/>
    <d v="2019-08-16T00:00:00"/>
    <m/>
    <m/>
    <m/>
    <m/>
    <m/>
    <m/>
    <m/>
    <m/>
    <m/>
    <m/>
    <m/>
    <m/>
    <m/>
    <m/>
    <m/>
    <m/>
    <n v="3425875.7637468651"/>
    <n v="3413701"/>
    <n v="-12174.763746865094"/>
    <n v="1996.8418589687344"/>
    <n v="189650.05555555556"/>
    <n v="3100225"/>
    <n v="2697771.947337376"/>
    <n v="-402453.05266262405"/>
    <n v="0.80687358331367054"/>
    <n v="0.39772600000000002"/>
    <n v="1068687.828"/>
    <n v="982780"/>
    <m/>
    <n v="54598.888888888891"/>
    <n v="-85907.82799999998"/>
    <n v="1997187.9357468651"/>
    <n v="2024741"/>
    <n v="334225"/>
    <n v="1690516"/>
    <n v="27553.064253134886"/>
    <n v="112485.61111111111"/>
    <m/>
    <n v="360000"/>
    <n v="360000"/>
    <m/>
    <n v="0.10545739067364131"/>
    <m/>
    <n v="46180"/>
    <n v="0"/>
    <n v="20000"/>
    <n v="74598.888888888891"/>
    <n v="0"/>
    <n v="5.0199999999999996"/>
    <n v="4.8499999999999996"/>
    <n v="0"/>
    <n v="0"/>
    <n v="74598.888888888891"/>
    <n v="0"/>
    <n v="74598.888888888891"/>
    <n v="0.39335020846875574"/>
    <n v="0"/>
    <m/>
    <n v="0"/>
    <n v="3413701"/>
    <n v="167759"/>
    <n v="156016"/>
    <d v="2014-10-29T00:00:00"/>
    <n v="19485"/>
    <m/>
    <m/>
    <d v="2014-12-19T00:00:00"/>
    <m/>
    <d v="2014-12-19T00:00:00"/>
    <n v="29228"/>
    <d v="2015-03-23T00:00:00"/>
    <n v="10005"/>
    <n v="42202"/>
    <n v="25161"/>
    <m/>
    <m/>
    <d v="2016-12-15T00:00:00"/>
    <m/>
    <d v="2016-12-15T00:00:00"/>
    <n v="25164"/>
    <d v="2017-08-16T00:00:00"/>
    <n v="8388"/>
    <m/>
    <m/>
    <d v="2017-12-13T00:00:00"/>
    <n v="16776"/>
    <m/>
    <m/>
    <m/>
    <m/>
    <d v="2018-08-21T00:00:00"/>
    <n v="21809"/>
    <m/>
    <m/>
    <m/>
    <m/>
  </r>
  <r>
    <s v="Amata (HE 168)"/>
    <x v="10"/>
    <x v="0"/>
    <x v="5"/>
    <s v="PRLC 0129"/>
    <s v="APU"/>
    <m/>
    <x v="2"/>
    <m/>
    <m/>
    <s v="servitude PERRAU à mettre en place_x000a_rétrocession zone N à faire"/>
    <s v="EPFR"/>
    <m/>
    <m/>
    <n v="13077"/>
    <n v="590200"/>
    <n v="590200"/>
    <n v="12830.434782608696"/>
    <n v="45.132675690142996"/>
    <n v="45.132675690142996"/>
    <n v="146.36735179747637"/>
    <n v="12830.434782608696"/>
    <n v="284.28260869565219"/>
    <m/>
    <n v="0.308352068517244"/>
    <m/>
    <m/>
    <m/>
    <x v="1"/>
    <n v="46"/>
    <n v="46"/>
    <x v="12"/>
    <x v="2"/>
    <x v="0"/>
    <x v="0"/>
    <m/>
    <n v="4286.38"/>
    <m/>
    <n v="4032.32"/>
    <m/>
    <m/>
    <m/>
    <n v="0.78260869565217395"/>
    <n v="0.21739130434782608"/>
    <m/>
    <m/>
    <m/>
    <m/>
    <n v="2"/>
    <s v="collectif"/>
    <m/>
    <m/>
    <m/>
    <d v="2014-10-09T00:00:00"/>
    <m/>
    <s v="INGEPAR"/>
    <s v="LS 119"/>
    <m/>
    <d v="2015-10-27T00:00:00"/>
    <d v="2015-11-27T00:00:00"/>
    <d v="2016-08-18T00:00:00"/>
    <d v="2016-08-31T00:00:00"/>
    <d v="2016-09-01T00:00:00"/>
    <d v="2016-09-01T00:00:00"/>
    <d v="2016-09-07T00:00:00"/>
    <d v="2016-12-07T00:00:00"/>
    <d v="2016-10-17T00:00:00"/>
    <d v="2016-09-07T00:00:00"/>
    <d v="2018-09-07T00:00:00"/>
    <d v="2019-09-07T00:00:00"/>
    <m/>
    <s v="non"/>
    <n v="9"/>
    <n v="232667.74824975006"/>
    <n v="0"/>
    <d v="2016-09-14T00:00:00"/>
    <s v="CG 12/01/17_x000a_Commune 18/01/17_x000a_CIVIS 18/01/17_x000a_Région 19/06/17"/>
    <d v="2017-01-12T00:00:00"/>
    <d v="2017-01-18T00:00:00"/>
    <d v="2017-01-18T00:00:00"/>
    <d v="2017-06-26T00:00:00"/>
    <m/>
    <d v="2016-12-21T00:00:00"/>
    <s v="MAIL 03/04/17"/>
    <n v="9447490.1300000008"/>
    <d v="2018-06-21T00:00:00"/>
    <d v="2018-12-21T00:00:00"/>
    <d v="2018-02-28T00:00:00"/>
    <d v="2018-10-16T00:00:00"/>
    <n v="1"/>
    <d v="2012-08-09T00:00:00"/>
    <d v="2012-08-10T00:00:00"/>
    <d v="2014-09-17T00:00:00"/>
    <n v="768"/>
    <d v="2015-02-06T00:00:00"/>
    <d v="2015-02-05T00:00:00"/>
    <n v="-1"/>
    <d v="2015-03-12T00:00:00"/>
    <d v="2015-04-07T00:00:00"/>
    <n v="26"/>
    <d v="2015-07-16T00:00:00"/>
    <d v="2015-08-10T00:00:00"/>
    <n v="25"/>
    <d v="2015-10-19T00:00:00"/>
    <d v="2015-12-01T00:00:00"/>
    <n v="43"/>
    <m/>
    <d v="2016-05-24T00:00:00"/>
    <d v="2017-01-27T00:00:00"/>
    <d v="2017-02-07T00:00:00"/>
    <n v="11"/>
    <d v="2017-02-16T00:00:00"/>
    <x v="30"/>
    <x v="6"/>
    <n v="15.933333333333334"/>
    <n v="0"/>
    <n v="18"/>
    <n v="20"/>
    <d v="2017-06-23T00:00:00"/>
    <d v="2017-06-23T00:00:00"/>
    <n v="0"/>
    <d v="2017-07-26T00:00:00"/>
    <d v="2018-03-01T00:00:00"/>
    <n v="218"/>
    <d v="2017-11-07T00:00:00"/>
    <d v="2018-06-08T00:00:00"/>
    <n v="213"/>
    <d v="2018-02-02T00:00:00"/>
    <d v="2018-06-27T00:00:00"/>
    <n v="145"/>
    <d v="2018-03-23T00:00:00"/>
    <d v="2018-09-05T00:00:00"/>
    <n v="166"/>
    <d v="2018-04-24T00:00:00"/>
    <d v="2018-09-05T00:00:00"/>
    <n v="134"/>
    <d v="2018-09-03T00:00:00"/>
    <d v="2018-09-05T00:00:00"/>
    <n v="2"/>
    <m/>
    <m/>
    <m/>
    <d v="2018-08-16T00:00:00"/>
    <d v="2018-10-30T00:00:00"/>
    <n v="2.5"/>
    <d v="2018-09-30T00:00:00"/>
    <m/>
    <d v="2017-06-01T00:00:00"/>
    <d v="2018-10-16T00:00:00"/>
    <m/>
    <d v="2018-08-31T00:00:00"/>
    <x v="36"/>
    <x v="6"/>
    <n v="2.5333333333333332"/>
    <n v="25851.972027750006"/>
    <n v="65491.662470300013"/>
    <m/>
    <n v="0"/>
    <n v="0"/>
    <n v="491714.43721999996"/>
    <m/>
    <n v="77194.093559999994"/>
    <n v="7.760247745121426E-3"/>
    <s v="SFE / APU"/>
    <s v="Lot cloisons_x000a_Lot carrelage"/>
    <s v="intempéries = 23 j_x000a_"/>
    <s v="aléa mouvement de terrain grevant la parcelle après maîtrise foncière, à lever auprès du BRGM _x000a_sécurisation du site proximité école_x000a_"/>
    <m/>
    <m/>
    <m/>
    <m/>
    <m/>
    <m/>
    <d v="2019-10-30T00:00:00"/>
    <m/>
    <m/>
    <m/>
    <m/>
    <m/>
    <m/>
    <m/>
    <m/>
    <m/>
    <m/>
    <m/>
    <m/>
    <m/>
    <m/>
    <m/>
    <m/>
    <n v="8830884.4772763215"/>
    <n v="8447391"/>
    <m/>
    <n v="1970.7517765573748"/>
    <n v="183638.9347826087"/>
    <n v="7838932.0183052132"/>
    <m/>
    <n v="-7838932.0183052132"/>
    <n v="0"/>
    <n v="0.39750000000000002"/>
    <n v="2934715.4772763224"/>
    <n v="2642685"/>
    <m/>
    <n v="57449.67391304348"/>
    <m/>
    <n v="5440169"/>
    <n v="5285874"/>
    <n v="1258166"/>
    <n v="4027708"/>
    <m/>
    <n v="114910.30434782608"/>
    <m/>
    <n v="456000"/>
    <n v="406000"/>
    <m/>
    <n v="4.8062176830692457E-2"/>
    <m/>
    <n v="112832"/>
    <n v="-50000"/>
    <n v="8826.0869565217399"/>
    <n v="66275.760869565216"/>
    <n v="-1086.9565217391305"/>
    <n v="6.38"/>
    <n v="5.74"/>
    <m/>
    <m/>
    <n v="66275.760869565216"/>
    <m/>
    <n v="66275.760869565216"/>
    <n v="0.3609025555937922"/>
    <m/>
    <m/>
    <n v="0"/>
    <n v="8447391"/>
    <n v="475807"/>
    <n v="398488"/>
    <d v="2012-07-12T00:00:00"/>
    <n v="41000"/>
    <m/>
    <m/>
    <m/>
    <m/>
    <m/>
    <n v="81523"/>
    <m/>
    <n v="46614"/>
    <n v="42039"/>
    <n v="72488"/>
    <m/>
    <m/>
    <d v="2016-12-12T00:00:00"/>
    <n v="18438"/>
    <d v="2017-02-28T00:00:00"/>
    <n v="47284"/>
    <s v="11/12/2017_x000a_01/03/18"/>
    <n v="23642"/>
    <d v="2018-07-09T00:00:00"/>
    <n v="67499"/>
    <m/>
    <m/>
    <n v="0.75"/>
    <m/>
    <m/>
    <m/>
    <n v="81523"/>
    <m/>
    <m/>
    <m/>
    <m/>
    <m/>
  </r>
  <r>
    <s v="Amata (HE 168) LLTS"/>
    <x v="10"/>
    <x v="0"/>
    <x v="5"/>
    <s v="PRLC 0129"/>
    <s v="APU"/>
    <s v="VAF"/>
    <x v="2"/>
    <m/>
    <m/>
    <s v="servitude PERRAU à mettre en place_x000a_rétrocession zone N à faire"/>
    <s v="EPFR"/>
    <s v="AUBERT"/>
    <m/>
    <n v="13077"/>
    <m/>
    <m/>
    <n v="0"/>
    <n v="0"/>
    <n v="0"/>
    <n v="0"/>
    <n v="0"/>
    <n v="1089.75"/>
    <m/>
    <n v="5.1805459967882543E-2"/>
    <m/>
    <m/>
    <m/>
    <x v="0"/>
    <n v="12"/>
    <n v="12"/>
    <x v="0"/>
    <x v="25"/>
    <x v="0"/>
    <x v="0"/>
    <m/>
    <n v="1301.51"/>
    <m/>
    <n v="677.46"/>
    <n v="56.455000000000005"/>
    <m/>
    <n v="1"/>
    <m/>
    <m/>
    <m/>
    <m/>
    <m/>
    <m/>
    <n v="2"/>
    <s v="collectif"/>
    <m/>
    <m/>
    <m/>
    <d v="2014-10-09T00:00:00"/>
    <m/>
    <s v="INGEPAR"/>
    <s v="LS 119"/>
    <m/>
    <d v="2015-10-29T00:00:00"/>
    <d v="2015-11-27T00:00:00"/>
    <d v="2016-08-18T00:00:00"/>
    <d v="2016-08-31T00:00:00"/>
    <d v="2016-09-01T00:00:00"/>
    <d v="2016-09-01T00:00:00"/>
    <d v="2016-09-09T00:00:00"/>
    <d v="2016-12-09T00:00:00"/>
    <d v="2016-10-17T00:00:00"/>
    <d v="2016-09-09T00:00:00"/>
    <d v="2018-09-09T00:00:00"/>
    <d v="2019-09-09T00:00:00"/>
    <m/>
    <s v="non"/>
    <n v="9"/>
    <n v="35757"/>
    <n v="0"/>
    <d v="2016-09-14T00:00:00"/>
    <s v="CG 12/01/17_x000a_Commune 18/01/17_x000a_CIVIS 18/01/17_x000a_Région 22/06/17"/>
    <d v="2017-01-12T00:00:00"/>
    <d v="2017-01-18T00:00:00"/>
    <d v="2017-01-18T00:00:00"/>
    <d v="2017-06-26T00:00:00"/>
    <s v="AUBERT"/>
    <d v="2016-12-21T00:00:00"/>
    <s v="MAIL 03/04/17"/>
    <n v="9447490.1300000008"/>
    <d v="2018-06-21T00:00:00"/>
    <d v="2018-12-21T00:00:00"/>
    <m/>
    <d v="2018-10-16T00:00:00"/>
    <n v="1"/>
    <m/>
    <m/>
    <m/>
    <s v="0"/>
    <m/>
    <m/>
    <s v="0"/>
    <m/>
    <m/>
    <s v="0"/>
    <m/>
    <m/>
    <s v="0"/>
    <m/>
    <m/>
    <s v="0"/>
    <m/>
    <m/>
    <m/>
    <m/>
    <s v="0"/>
    <m/>
    <x v="30"/>
    <x v="6"/>
    <n v="15.866666666666667"/>
    <s v="0"/>
    <n v="18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8-08-16T00:00:00"/>
    <d v="2018-10-30T00:00:00"/>
    <n v="2.5"/>
    <d v="1901-12-31T00:00:00"/>
    <m/>
    <d v="2017-06-01T00:00:00"/>
    <d v="2018-10-16T00:00:00"/>
    <m/>
    <d v="2018-08-31T00:00:00"/>
    <x v="36"/>
    <x v="6"/>
    <n v="2.5333333333333332"/>
    <n v="3973"/>
    <n v="10064.933333333332"/>
    <m/>
    <n v="0"/>
    <n v="0"/>
    <s v="-"/>
    <m/>
    <m/>
    <n v="0"/>
    <m/>
    <m/>
    <m/>
    <m/>
    <m/>
    <m/>
    <m/>
    <m/>
    <m/>
    <m/>
    <d v="2019-10-30T00:00:00"/>
    <m/>
    <m/>
    <m/>
    <m/>
    <m/>
    <m/>
    <m/>
    <m/>
    <m/>
    <m/>
    <m/>
    <m/>
    <m/>
    <m/>
    <m/>
    <m/>
    <n v="1416864.7499111779"/>
    <n v="1499983.8900000001"/>
    <n v="83119.140088822227"/>
    <n v="1152.4950941598606"/>
    <n v="124998.65750000002"/>
    <n v="1249637.106694787"/>
    <m/>
    <n v="-1249637.106694787"/>
    <n v="0"/>
    <n v="0.39750000000000002"/>
    <n v="410870.74991117785"/>
    <n v="443491.89"/>
    <m/>
    <n v="36957.657500000001"/>
    <n v="32621.140088822169"/>
    <n v="789994"/>
    <n v="771556"/>
    <n v="172922"/>
    <n v="598634"/>
    <n v="-18438"/>
    <n v="64296.333333333336"/>
    <m/>
    <n v="216000"/>
    <n v="266000"/>
    <m/>
    <n v="0.17733523791378852"/>
    <m/>
    <n v="18936"/>
    <n v="50000"/>
    <n v="22166.666666666668"/>
    <n v="59124.324166666665"/>
    <n v="4166.666666666667"/>
    <n v="5.85"/>
    <n v="5.84"/>
    <n v="0"/>
    <n v="0"/>
    <n v="59124.324166666665"/>
    <n v="0"/>
    <n v="59124.324166666665"/>
    <n v="0.47299967334982507"/>
    <n v="0"/>
    <m/>
    <n v="0"/>
    <n v="1499983.8900000001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RPA mixte St Philippe"/>
    <x v="5"/>
    <x v="1"/>
    <x v="5"/>
    <s v="PRLC 0174"/>
    <s v="FHO"/>
    <s v="MMA"/>
    <x v="2"/>
    <m/>
    <m/>
    <s v="acte signé 30/11/15_x000a_voie à détacher : en cours_x000a_"/>
    <s v="EPFR"/>
    <s v="MOUTIEN"/>
    <m/>
    <n v="3547"/>
    <n v="319230"/>
    <n v="132491.5"/>
    <n v="16801.57894736842"/>
    <n v="90"/>
    <n v="37.353115308711587"/>
    <n v="110.26440187087003"/>
    <n v="6973.2368421052633"/>
    <n v="186.68421052631578"/>
    <m/>
    <n v="0.33875951508316887"/>
    <s v="UA"/>
    <m/>
    <m/>
    <x v="0"/>
    <n v="19"/>
    <n v="19"/>
    <x v="0"/>
    <x v="26"/>
    <x v="0"/>
    <x v="0"/>
    <m/>
    <n v="1200.06"/>
    <m/>
    <n v="1201.58"/>
    <n v="63.241052631578945"/>
    <n v="0"/>
    <n v="0.68421052631578949"/>
    <n v="0.26315789473684209"/>
    <n v="0.10526315789473684"/>
    <n v="0"/>
    <m/>
    <s v="x"/>
    <m/>
    <n v="2"/>
    <s v="collectif"/>
    <m/>
    <m/>
    <m/>
    <d v="2015-01-27T00:00:00"/>
    <m/>
    <s v="OFOI"/>
    <s v="LOGIS 8"/>
    <m/>
    <d v="2015-09-01T00:00:00"/>
    <m/>
    <d v="2016-06-15T00:00:00"/>
    <d v="2016-06-17T00:00:00"/>
    <d v="2016-06-20T00:00:00"/>
    <d v="2016-06-27T00:00:00"/>
    <d v="2016-07-08T00:00:00"/>
    <s v="06/10/2016_x000a_renvoyé le 04/10/16 à CDC"/>
    <d v="2015-08-19T00:00:00"/>
    <d v="2016-07-08T00:00:00"/>
    <d v="2018-07-08T00:00:00"/>
    <d v="2019-07-08T00:00:00"/>
    <m/>
    <s v="oui"/>
    <n v="5"/>
    <n v="0"/>
    <n v="0"/>
    <d v="2016-07-13T00:00:00"/>
    <s v="Commune 05/05/17_x000a_Région 13/12/16_x000a_CASUD 29/06/17_x000a_CG 12/01/17"/>
    <d v="2017-01-12T00:00:00"/>
    <m/>
    <d v="2017-06-29T00:00:00"/>
    <d v="2016-12-15T00:00:00"/>
    <s v="LE GOFF"/>
    <d v="2016-12-15T00:00:00"/>
    <s v="MAIL 03/04/17"/>
    <n v="2533920.5099999998"/>
    <d v="2018-06-15T00:00:00"/>
    <d v="2018-12-15T00:00:00"/>
    <d v="2018-02-16T00:00:00"/>
    <d v="2018-11-15T00:00:00"/>
    <n v="2.6"/>
    <d v="2014-12-03T00:00:00"/>
    <d v="2014-12-04T00:00:00"/>
    <d v="2014-12-04T00:00:00"/>
    <n v="0"/>
    <d v="2015-02-06T00:00:00"/>
    <d v="2015-02-06T00:00:00"/>
    <n v="0"/>
    <d v="2015-03-16T00:00:00"/>
    <d v="2015-03-16T00:00:00"/>
    <n v="0"/>
    <d v="2015-06-22T00:00:00"/>
    <d v="2015-12-14T00:00:00"/>
    <n v="175"/>
    <d v="2016-03-15T00:00:00"/>
    <d v="2016-03-15T00:00:00"/>
    <n v="0"/>
    <m/>
    <d v="2016-05-24T00:00:00"/>
    <d v="2017-06-15T00:00:00"/>
    <d v="2017-07-24T00:00:00"/>
    <n v="39"/>
    <d v="2017-02-08T00:00:00"/>
    <x v="31"/>
    <x v="6"/>
    <n v="23.3"/>
    <n v="173"/>
    <n v="15"/>
    <n v="15"/>
    <d v="2017-11-20T00:00:00"/>
    <d v="2017-12-12T00:00:00"/>
    <n v="22"/>
    <d v="2017-11-20T00:00:00"/>
    <d v="2018-02-13T00:00:00"/>
    <n v="85"/>
    <d v="2018-03-07T00:00:00"/>
    <d v="2018-06-13T00:00:00"/>
    <n v="98"/>
    <d v="2018-04-19T00:00:00"/>
    <d v="2018-09-05T00:00:00"/>
    <n v="139"/>
    <d v="2018-05-09T00:00:00"/>
    <d v="2018-09-05T00:00:00"/>
    <n v="119"/>
    <d v="2018-06-01T00:00:00"/>
    <d v="2018-09-05T00:00:00"/>
    <n v="96"/>
    <d v="2018-07-06T00:00:00"/>
    <d v="2018-09-05T00:00:00"/>
    <n v="61"/>
    <d v="2018-06-01T00:00:00"/>
    <d v="2018-06-01T00:00:00"/>
    <d v="2018-05-04T00:00:00"/>
    <d v="2018-10-31T00:00:00"/>
    <d v="2018-10-31T00:00:00"/>
    <n v="0"/>
    <d v="2020-02-16T00:00:00"/>
    <m/>
    <m/>
    <d v="2019-01-21T00:00:00"/>
    <m/>
    <d v="2018-12-01T00:00:00"/>
    <x v="33"/>
    <x v="6"/>
    <n v="2.0666666666666669"/>
    <m/>
    <n v="0"/>
    <m/>
    <n v="66994"/>
    <n v="83104.25"/>
    <n v="99692.481999999989"/>
    <n v="83900.84"/>
    <n v="1791.7937399999998"/>
    <n v="6.6352477195885185E-4"/>
    <s v="FHO"/>
    <m/>
    <s v="retards de paiement SODEGIS"/>
    <s v="attente des garanties= retard OS_x000a_janvier 2018 : DAF ne paie pas entreprises qui n'ont plus de fournitures (ex : 3 situations LASETRA pas payées au 26/01/18)_x000a_"/>
    <m/>
    <m/>
    <m/>
    <m/>
    <m/>
    <m/>
    <d v="2019-10-31T00:00:00"/>
    <m/>
    <m/>
    <m/>
    <m/>
    <m/>
    <m/>
    <m/>
    <m/>
    <m/>
    <m/>
    <m/>
    <m/>
    <m/>
    <m/>
    <m/>
    <m/>
    <n v="2660388.3050338021"/>
    <n v="2700417.25"/>
    <n v="40028.944966197945"/>
    <n v="2250.2351965735047"/>
    <n v="142127.22368421053"/>
    <n v="2613042.4974093148"/>
    <n v="1858695.408962426"/>
    <n v="-754347.08844688884"/>
    <n v="0.70275362540756869"/>
    <n v="0.39772600000000002"/>
    <n v="780309.39272020268"/>
    <n v="771141"/>
    <m/>
    <n v="40586.368421052633"/>
    <n v="-9168.3927202026825"/>
    <n v="1460078.9123135994"/>
    <n v="1359322"/>
    <n v="334066"/>
    <n v="1025256"/>
    <n v="-100756.91231359937"/>
    <n v="71543.263157894733"/>
    <m/>
    <n v="420000"/>
    <n v="420000"/>
    <m/>
    <n v="0.15553152017526181"/>
    <m/>
    <n v="66850"/>
    <n v="0"/>
    <n v="22105.263157894737"/>
    <n v="62691.631578947367"/>
    <n v="0"/>
    <n v="5.65"/>
    <n v="5.65"/>
    <n v="510850.13361374999"/>
    <n v="380000"/>
    <n v="82691.631578947374"/>
    <n v="0"/>
    <n v="82691.631578947374"/>
    <n v="0.50686588664683796"/>
    <n v="111550"/>
    <m/>
    <n v="83104.25"/>
    <n v="3211267.3836137499"/>
    <n v="139538"/>
    <n v="104654"/>
    <d v="2014-12-19T00:00:00"/>
    <n v="13467"/>
    <m/>
    <m/>
    <d v="2015-03-19T00:00:00"/>
    <n v="4987"/>
    <d v="2014-05-05T00:00:00"/>
    <n v="14412"/>
    <d v="2015-08-31T00:00:00"/>
    <n v="13125"/>
    <d v="2016-04-27T00:00:00"/>
    <n v="26102"/>
    <m/>
    <m/>
    <d v="2016-12-22T00:00:00"/>
    <m/>
    <d v="2016-12-22T00:00:00"/>
    <n v="18387"/>
    <d v="2018-02-14T00:00:00"/>
    <n v="7055"/>
    <d v="2018-07-09T00:00:00"/>
    <n v="7119"/>
    <m/>
    <m/>
    <m/>
    <m/>
    <m/>
    <m/>
    <n v="14412"/>
    <m/>
    <m/>
    <m/>
    <m/>
    <m/>
  </r>
  <r>
    <s v="VEFA Maurice Lebon"/>
    <x v="6"/>
    <x v="1"/>
    <x v="5"/>
    <s v="PRLC 0163"/>
    <s v="FHO"/>
    <s v="VAF"/>
    <x v="2"/>
    <m/>
    <m/>
    <m/>
    <m/>
    <s v="BARET/GILLOT"/>
    <m/>
    <n v="3038"/>
    <n v="690000"/>
    <n v="690000"/>
    <n v="12545.454545454546"/>
    <n v="227.12310730743911"/>
    <n v="227.12310730743911"/>
    <n v="213.33959953992851"/>
    <n v="12545.454545454546"/>
    <n v="55.236363636363635"/>
    <m/>
    <n v="1.0646082949308757"/>
    <s v="UB"/>
    <m/>
    <m/>
    <x v="0"/>
    <n v="55"/>
    <n v="55"/>
    <x v="0"/>
    <x v="27"/>
    <x v="0"/>
    <x v="0"/>
    <n v="2605.3000000000002"/>
    <n v="3218.48"/>
    <n v="3234.28"/>
    <n v="3234.28"/>
    <n v="58.805090909090914"/>
    <m/>
    <n v="1"/>
    <m/>
    <m/>
    <m/>
    <m/>
    <n v="0"/>
    <n v="0"/>
    <n v="3"/>
    <s v="collectif"/>
    <m/>
    <n v="6373285"/>
    <m/>
    <s v="17/02/2014_x000a_09/10/14"/>
    <m/>
    <s v="OFOI"/>
    <s v="IONIQUE 5"/>
    <m/>
    <d v="2015-11-12T00:00:00"/>
    <m/>
    <d v="2016-10-06T00:00:00"/>
    <d v="2016-11-23T00:00:00"/>
    <d v="2016-11-24T00:00:00"/>
    <d v="2016-11-23T00:00:00"/>
    <d v="2016-12-15T00:00:00"/>
    <d v="2017-03-11T00:00:00"/>
    <d v="2016-12-23T00:00:00"/>
    <d v="2016-12-15T00:00:00"/>
    <d v="2018-12-15T00:00:00"/>
    <d v="2019-12-15T00:00:00"/>
    <m/>
    <s v="oui"/>
    <n v="10"/>
    <n v="0"/>
    <n v="0"/>
    <m/>
    <s v="CG 29/03/17_x000a_Région 28/06/17_x000a_CASUD 29/06/2017"/>
    <d v="2017-03-29T00:00:00"/>
    <d v="2017-04-25T00:00:00"/>
    <d v="2017-06-29T00:00:00"/>
    <d v="2017-06-29T00:00:00"/>
    <s v="BARET/GILLOT"/>
    <d v="2016-12-23T00:00:00"/>
    <s v="MAIL 03/04/17"/>
    <n v="6242199"/>
    <d v="2018-06-23T00:00:00"/>
    <d v="2018-12-23T00:00:00"/>
    <d v="2017-10-10T00:00:00"/>
    <d v="2018-12-23T00:00:00"/>
    <n v="1.3333333333333333"/>
    <m/>
    <m/>
    <m/>
    <s v="0"/>
    <d v="2015-02-06T00:00:00"/>
    <d v="2014-12-09T00:00:00"/>
    <n v="-59"/>
    <m/>
    <m/>
    <s v="0"/>
    <m/>
    <m/>
    <s v="0"/>
    <m/>
    <m/>
    <s v="0"/>
    <m/>
    <m/>
    <m/>
    <m/>
    <s v="0"/>
    <d v="2017-01-06T00:00:00"/>
    <x v="32"/>
    <x v="6"/>
    <n v="14.9"/>
    <n v="26"/>
    <n v="22"/>
    <n v="22"/>
    <d v="2017-03-30T00:00:00"/>
    <d v="2017-03-13T00:00:00"/>
    <n v="-17"/>
    <d v="2017-07-30T00:00:00"/>
    <d v="2017-06-09T00:00:00"/>
    <n v="-51"/>
    <m/>
    <d v="2017-09-18T00:00:00"/>
    <s v="0"/>
    <d v="2017-10-30T00:00:00"/>
    <d v="2018-08-28T00:00:00"/>
    <n v="302"/>
    <d v="2017-10-30T00:00:00"/>
    <d v="2018-09-05T00:00:00"/>
    <n v="310"/>
    <d v="2018-02-28T00:00:00"/>
    <d v="2018-09-05T00:00:00"/>
    <n v="189"/>
    <d v="2018-12-31T00:00:00"/>
    <d v="2018-12-31T00:00:00"/>
    <n v="0"/>
    <m/>
    <m/>
    <m/>
    <d v="2018-12-01T00:00:00"/>
    <d v="2018-12-23T00:00:00"/>
    <n v="0.73333333333333328"/>
    <d v="2019-10-10T00:00:00"/>
    <m/>
    <m/>
    <d v="2019-01-23T00:00:00"/>
    <m/>
    <d v="2019-01-01T00:00:00"/>
    <x v="33"/>
    <x v="6"/>
    <n v="1.0333333333333334"/>
    <m/>
    <n v="0"/>
    <m/>
    <n v="0"/>
    <n v="0"/>
    <n v="0"/>
    <m/>
    <n v="0"/>
    <n v="0"/>
    <s v="FHO"/>
    <m/>
    <m/>
    <m/>
    <m/>
    <m/>
    <m/>
    <m/>
    <m/>
    <m/>
    <d v="2019-12-23T00:00:00"/>
    <m/>
    <m/>
    <m/>
    <m/>
    <m/>
    <m/>
    <m/>
    <m/>
    <m/>
    <m/>
    <m/>
    <m/>
    <m/>
    <m/>
    <m/>
    <m/>
    <n v="6578594.558091728"/>
    <n v="6893824"/>
    <m/>
    <n v="2141.9502373791356"/>
    <n v="125342.25454545455"/>
    <n v="5462235"/>
    <n v="5874333.7564800717"/>
    <n v="412098.75648007169"/>
    <n v="0.87000984727288555"/>
    <n v="0.39772600000000002"/>
    <n v="1733988.3513843757"/>
    <n v="1928374"/>
    <m/>
    <n v="35061.345454545452"/>
    <n v="194385.64861562429"/>
    <n v="3744606.2067073518"/>
    <n v="3865450"/>
    <n v="735184"/>
    <n v="3130266"/>
    <n v="120843.79329264816"/>
    <n v="70280.909090909088"/>
    <m/>
    <n v="1100000"/>
    <n v="1100000"/>
    <n v="0"/>
    <n v="0.15956311040142598"/>
    <m/>
    <n v="0"/>
    <n v="0"/>
    <n v="20000"/>
    <n v="55061.345454545452"/>
    <e v="#REF!"/>
    <n v="5.78"/>
    <n v="5.69"/>
    <n v="0"/>
    <n v="0"/>
    <n v="55061.345454545452"/>
    <n v="0"/>
    <n v="55061.345454545452"/>
    <n v="0.43928797718073453"/>
    <n v="0"/>
    <m/>
    <n v="0"/>
    <n v="6893824"/>
    <n v="234959.82488479264"/>
    <n v="187967.95391705071"/>
    <m/>
    <m/>
    <m/>
    <m/>
    <m/>
    <m/>
    <m/>
    <m/>
    <m/>
    <m/>
    <m/>
    <m/>
    <m/>
    <m/>
    <m/>
    <n v="129228"/>
    <d v="2017-04-03T00:00:00"/>
    <n v="23495.981566820275"/>
    <d v="2017-10-09T00:00:00"/>
    <n v="11747.990783410138"/>
    <d v="2017-11-08T00:00:00"/>
    <n v="11747.990783410138"/>
    <d v="2018-08-29T00:00:00"/>
    <n v="11747.990783410138"/>
    <m/>
    <m/>
    <m/>
    <m/>
    <m/>
    <m/>
    <m/>
    <m/>
    <m/>
    <m/>
  </r>
  <r>
    <s v="Ilot 6.2"/>
    <x v="4"/>
    <x v="0"/>
    <x v="5"/>
    <s v="PRLC 0157"/>
    <s v="FVA"/>
    <s v="DBE"/>
    <x v="2"/>
    <m/>
    <m/>
    <m/>
    <s v="SODEGIS"/>
    <s v="QUINOT"/>
    <m/>
    <n v="1263"/>
    <n v="126500"/>
    <n v="126500"/>
    <n v="7027.7777777777774"/>
    <n v="100.15835312747427"/>
    <n v="100.15835312747427"/>
    <n v="86.456710134230022"/>
    <n v="7027.7777777777774"/>
    <n v="70.166666666666671"/>
    <m/>
    <n v="1.158479809976247"/>
    <m/>
    <m/>
    <m/>
    <x v="0"/>
    <n v="18"/>
    <n v="18"/>
    <x v="0"/>
    <x v="18"/>
    <x v="0"/>
    <x v="0"/>
    <m/>
    <n v="1509.87"/>
    <m/>
    <n v="1463.16"/>
    <n v="81.286666666666676"/>
    <n v="0"/>
    <n v="0.33333333333333331"/>
    <n v="0.33333333333333331"/>
    <n v="0.33333333333333331"/>
    <n v="0"/>
    <m/>
    <n v="0"/>
    <n v="0"/>
    <n v="3"/>
    <s v="collectif"/>
    <s v="oui"/>
    <m/>
    <m/>
    <d v="2015-02-12T00:00:00"/>
    <m/>
    <s v="SO"/>
    <m/>
    <m/>
    <d v="2015-10-21T00:00:00"/>
    <m/>
    <m/>
    <m/>
    <m/>
    <d v="2017-05-30T00:00:00"/>
    <d v="2017-07-13T00:00:00"/>
    <d v="2017-10-05T00:00:00"/>
    <d v="2017-08-10T00:00:00"/>
    <d v="2017-07-13T00:00:00"/>
    <d v="2019-07-13T00:00:00"/>
    <d v="2020-07-13T00:00:00"/>
    <m/>
    <s v="non"/>
    <n v="12"/>
    <n v="0"/>
    <n v="0"/>
    <d v="2017-07-04T00:00:00"/>
    <s v="ES 15/10/17_x000a_CG 19/10/17"/>
    <m/>
    <m/>
    <m/>
    <m/>
    <s v="BARET/GILLOT"/>
    <s v="SO"/>
    <s v="SO"/>
    <s v="SO"/>
    <s v="SO"/>
    <s v="SO"/>
    <d v="2018-05-02T00:00:00"/>
    <s v="SO"/>
    <m/>
    <d v="2014-11-20T00:00:00"/>
    <d v="2014-11-12T00:00:00"/>
    <d v="2014-11-12T00:00:00"/>
    <n v="0"/>
    <d v="2015-02-06T00:00:00"/>
    <d v="2015-01-08T00:00:00"/>
    <n v="-29"/>
    <d v="2015-01-29T00:00:00"/>
    <d v="2015-01-29T00:00:00"/>
    <n v="0"/>
    <d v="2015-04-15T00:00:00"/>
    <d v="2015-04-15T00:00:00"/>
    <n v="0"/>
    <d v="2015-06-19T00:00:00"/>
    <d v="2015-06-19T00:00:00"/>
    <n v="0"/>
    <m/>
    <d v="2016-04-12T00:00:00"/>
    <d v="2016-05-12T00:00:00"/>
    <d v="2017-12-19T00:00:00"/>
    <n v="586"/>
    <d v="2018-01-12T00:00:00"/>
    <x v="33"/>
    <x v="7"/>
    <n v="27.466666666666665"/>
    <n v="10"/>
    <n v="15"/>
    <n v="15"/>
    <m/>
    <d v="2018-04-15T00:00:00"/>
    <s v="0"/>
    <m/>
    <d v="2018-05-02T00:00:00"/>
    <s v="0"/>
    <d v="2018-10-02T00:00:00"/>
    <d v="2018-10-02T00:00:00"/>
    <n v="0"/>
    <d v="2018-11-08T00:00:00"/>
    <d v="2018-11-08T00:00:00"/>
    <n v="0"/>
    <d v="2018-11-23T00:00:00"/>
    <m/>
    <s v="0"/>
    <d v="2018-12-13T00:00:00"/>
    <d v="2018-12-13T00:00:00"/>
    <n v="0"/>
    <d v="2019-03-28T00:00:00"/>
    <d v="2019-03-28T00:00:00"/>
    <n v="0"/>
    <m/>
    <m/>
    <m/>
    <d v="2019-04-22T00:00:00"/>
    <d v="2019-04-22T00:00:00"/>
    <n v="0"/>
    <d v="2020-05-02T00:00:00"/>
    <m/>
    <d v="2018-09-05T00:00:00"/>
    <d v="2019-06-27T00:00:00"/>
    <m/>
    <d v="2019-05-22T00:00:00"/>
    <x v="37"/>
    <x v="6"/>
    <n v="1.2"/>
    <m/>
    <n v="0"/>
    <m/>
    <n v="0"/>
    <n v="0"/>
    <n v="112353.90299999999"/>
    <n v="96000"/>
    <m/>
    <n v="0"/>
    <s v="JMO / AGA / FVA"/>
    <s v="Lot étanchéité"/>
    <m/>
    <s v="passage en crédit d'impôt"/>
    <m/>
    <m/>
    <m/>
    <m/>
    <m/>
    <m/>
    <d v="2020-04-22T00:00:00"/>
    <m/>
    <m/>
    <m/>
    <m/>
    <m/>
    <m/>
    <m/>
    <m/>
    <m/>
    <m/>
    <m/>
    <m/>
    <m/>
    <m/>
    <m/>
    <m/>
    <n v="3031790"/>
    <n v="2903110"/>
    <n v="-128680"/>
    <n v="1922.7549391669484"/>
    <n v="161283.88888888888"/>
    <n v="2583163.1920000003"/>
    <n v="2614548"/>
    <n v="31384.807999999728"/>
    <n v="0.91951510896934663"/>
    <n v="0.39750000000000002"/>
    <n v="883707"/>
    <n v="876795"/>
    <n v="866176"/>
    <n v="48710.833333333336"/>
    <n v="-6912"/>
    <n v="1788083"/>
    <n v="1657979"/>
    <n v="261692"/>
    <n v="1396287"/>
    <n v="-130104"/>
    <n v="92109.944444444438"/>
    <m/>
    <n v="360000"/>
    <n v="360000"/>
    <m/>
    <n v="0.1240049464195294"/>
    <m/>
    <n v="8336"/>
    <n v="0"/>
    <n v="20000"/>
    <n v="68710.833333333328"/>
    <n v="0"/>
    <n v="5.19"/>
    <n v="5.13"/>
    <n v="0"/>
    <n v="0"/>
    <n v="68710.833333333328"/>
    <n v="0"/>
    <n v="68710.833333333328"/>
    <n v="0.42602416029706075"/>
    <n v="0"/>
    <m/>
    <n v="0"/>
    <n v="2903110"/>
    <n v="143558"/>
    <n v="107668"/>
    <d v="2014-12-17T00:00:00"/>
    <n v="14522"/>
    <m/>
    <m/>
    <d v="2014-12-19T00:00:00"/>
    <m/>
    <m/>
    <n v="21783"/>
    <d v="2015-03-23T00:00:00"/>
    <n v="13917"/>
    <n v="42202"/>
    <n v="21557"/>
    <m/>
    <m/>
    <d v="2017-09-11T00:00:00"/>
    <n v="7178"/>
    <d v="2017-12-23T00:00:00"/>
    <n v="14356"/>
    <d v="2018-06-06T00:00:00"/>
    <n v="7178"/>
    <d v="2018-07-10T00:00:00"/>
    <n v="7177"/>
    <m/>
    <m/>
    <m/>
    <m/>
    <m/>
    <m/>
    <n v="21783"/>
    <m/>
    <m/>
    <m/>
    <m/>
    <m/>
  </r>
  <r>
    <s v="CD 61 Rue Bertaut LLS"/>
    <x v="2"/>
    <x v="1"/>
    <x v="5"/>
    <s v="PRLC 0173"/>
    <s v="FBR"/>
    <s v="SRI"/>
    <x v="2"/>
    <m/>
    <m/>
    <s v="acheté 25/11/15_x000a_DA ER fait_x000a_convention de prise de possession anticipée reçue, à signer  / attention aux enrobés_x000a_OST à évacuer_x000a_AEP coupée_x000a_"/>
    <s v="Etat"/>
    <m/>
    <m/>
    <n v="8838"/>
    <n v="652080"/>
    <n v="652080"/>
    <n v="7326.7415730337079"/>
    <n v="73.78139850644942"/>
    <n v="73.78139850644942"/>
    <n v="335.48387096774195"/>
    <n v="32604"/>
    <n v="441.9"/>
    <m/>
    <n v="0.21992532247114732"/>
    <s v="UB"/>
    <n v="630"/>
    <n v="0"/>
    <x v="1"/>
    <n v="20"/>
    <n v="20"/>
    <x v="2"/>
    <x v="2"/>
    <x v="0"/>
    <x v="0"/>
    <m/>
    <n v="1853.17"/>
    <m/>
    <n v="1943.7"/>
    <n v="97.185000000000002"/>
    <m/>
    <m/>
    <m/>
    <n v="0.8"/>
    <n v="0.2"/>
    <m/>
    <n v="0"/>
    <n v="0"/>
    <n v="4"/>
    <s v="collectif"/>
    <s v="oui"/>
    <m/>
    <m/>
    <d v="2015-01-27T00:00:00"/>
    <m/>
    <s v="SO"/>
    <s v="LS 118"/>
    <m/>
    <d v="2015-12-16T00:00:00"/>
    <m/>
    <m/>
    <m/>
    <m/>
    <d v="2017-06-13T00:00:00"/>
    <d v="2017-07-13T00:00:00"/>
    <d v="2017-10-05T00:00:00"/>
    <d v="2017-07-27T00:00:00"/>
    <d v="2017-07-13T00:00:00"/>
    <d v="2019-07-13T00:00:00"/>
    <d v="2020-07-13T00:00:00"/>
    <n v="90205.94"/>
    <s v="non"/>
    <n v="3"/>
    <n v="37038"/>
    <n v="-53167.94"/>
    <d v="2017-07-04T00:00:00"/>
    <s v="Mairie 04/12/17_x000a_CG 17/10/17"/>
    <d v="2017-10-17T00:00:00"/>
    <m/>
    <m/>
    <m/>
    <m/>
    <m/>
    <m/>
    <m/>
    <m/>
    <m/>
    <m/>
    <s v="SO"/>
    <m/>
    <d v="2014-09-25T00:00:00"/>
    <d v="2014-10-09T00:00:00"/>
    <d v="2014-10-09T00:00:00"/>
    <n v="0"/>
    <d v="2014-12-26T00:00:00"/>
    <d v="2015-02-05T00:00:00"/>
    <n v="41"/>
    <d v="2015-01-16T00:00:00"/>
    <d v="2015-02-19T00:00:00"/>
    <n v="34"/>
    <d v="2015-04-06T00:00:00"/>
    <d v="2015-05-12T00:00:00"/>
    <n v="36"/>
    <d v="2015-06-22T00:00:00"/>
    <d v="2015-09-07T00:00:00"/>
    <n v="77"/>
    <m/>
    <d v="2016-05-24T00:00:00"/>
    <d v="2017-11-03T00:00:00"/>
    <d v="2017-12-19T00:00:00"/>
    <n v="46"/>
    <d v="2018-01-15T00:00:00"/>
    <x v="34"/>
    <x v="7"/>
    <n v="25.833333333333332"/>
    <n v="14"/>
    <n v="21"/>
    <n v="21"/>
    <d v="2018-05-30T00:00:00"/>
    <d v="2018-09-05T00:00:00"/>
    <n v="98"/>
    <d v="2018-08-10T00:00:00"/>
    <d v="2018-09-05T00:00:00"/>
    <n v="26"/>
    <d v="2019-03-05T00:00:00"/>
    <d v="2019-03-05T00:00:00"/>
    <n v="0"/>
    <d v="2019-05-30T00:00:00"/>
    <d v="2019-05-30T00:00:00"/>
    <n v="0"/>
    <d v="2019-06-06T00:00:00"/>
    <d v="2019-06-06T00:00:00"/>
    <n v="0"/>
    <d v="2019-06-10T00:00:00"/>
    <d v="2019-06-10T00:00:00"/>
    <n v="0"/>
    <d v="2019-07-02T00:00:00"/>
    <d v="2019-07-02T00:00:00"/>
    <n v="0"/>
    <d v="2019-08-26T00:00:00"/>
    <d v="2019-08-26T00:00:00"/>
    <d v="2019-07-11T00:00:00"/>
    <d v="2019-10-29T00:00:00"/>
    <d v="2019-10-29T00:00:00"/>
    <n v="0"/>
    <d v="1901-12-31T00:00:00"/>
    <m/>
    <m/>
    <d v="2020-03-02T00:00:00"/>
    <m/>
    <d v="2019-11-29T00:00:00"/>
    <x v="38"/>
    <x v="6"/>
    <n v="4.166666666666667"/>
    <n v="12346"/>
    <n v="51441.666666666672"/>
    <m/>
    <n v="0"/>
    <n v="0"/>
    <n v="485791.79999999993"/>
    <m/>
    <n v="0"/>
    <n v="0"/>
    <s v="JMO / FBR"/>
    <s v="Lot désamiantage"/>
    <s v="résilier SIB (perte agrément) / se positionner sur demande de DLC_x000a_pas de nouvelles de l'AMO déchets : faire une MD huissier_x000a_courrier refus offre technique DLC à envoyer_x000a_O'SUD Peinture pas à jour attestation fiscale"/>
    <m/>
    <m/>
    <m/>
    <m/>
    <m/>
    <m/>
    <m/>
    <d v="2020-10-29T00:00:00"/>
    <m/>
    <m/>
    <m/>
    <m/>
    <m/>
    <m/>
    <m/>
    <m/>
    <m/>
    <m/>
    <m/>
    <m/>
    <m/>
    <m/>
    <m/>
    <m/>
    <n v="3620927.386608588"/>
    <n v="3410268"/>
    <n v="-210659.38660858804"/>
    <n v="1840.2348408402897"/>
    <n v="170513.4"/>
    <n v="3320758.5701554646"/>
    <n v="3416358.2225748161"/>
    <n v="95599.652419351507"/>
    <n v="1.02282335149287"/>
    <n v="0.39"/>
    <n v="1232699.6352114086"/>
    <n v="1114069"/>
    <n v="1114069"/>
    <n v="55703.45"/>
    <n v="-118630.6352114086"/>
    <n v="2188227.7513971794"/>
    <n v="2066681"/>
    <n v="309940"/>
    <n v="1756741"/>
    <n v="-121546.75139717944"/>
    <n v="103334.05"/>
    <m/>
    <n v="200000"/>
    <n v="200000"/>
    <m/>
    <n v="5.8646417231724896E-2"/>
    <m/>
    <n v="29518"/>
    <n v="0"/>
    <n v="10000"/>
    <n v="65703.45"/>
    <n v="0"/>
    <n v="6.32"/>
    <n v="5.48"/>
    <n v="0"/>
    <n v="0"/>
    <n v="65703.45"/>
    <n v="0"/>
    <n v="65703.45"/>
    <n v="0.38532719422637751"/>
    <n v="0"/>
    <m/>
    <n v="0"/>
    <n v="3410268"/>
    <n v="685491"/>
    <n v="445569"/>
    <d v="2014-10-24T00:00:00"/>
    <n v="67842"/>
    <m/>
    <m/>
    <d v="2014-12-19T00:00:00"/>
    <n v="33921"/>
    <d v="2015-03-02T00:00:00"/>
    <n v="72217"/>
    <d v="2015-04-27T00:00:00"/>
    <n v="65293"/>
    <m/>
    <n v="103472"/>
    <m/>
    <m/>
    <m/>
    <m/>
    <d v="2017-12-14T00:00:00"/>
    <n v="68549"/>
    <d v="2018-08-21T00:00:00"/>
    <n v="34275"/>
    <m/>
    <m/>
    <m/>
    <m/>
    <m/>
    <m/>
    <m/>
    <m/>
    <n v="72217"/>
    <m/>
    <m/>
    <m/>
    <m/>
    <m/>
  </r>
  <r>
    <s v="VEFA Paule &amp; Gaston"/>
    <x v="11"/>
    <x v="0"/>
    <x v="6"/>
    <s v="PRLC 0191"/>
    <s v="ADE"/>
    <s v="DBE"/>
    <x v="1"/>
    <m/>
    <m/>
    <m/>
    <m/>
    <m/>
    <m/>
    <n v="807"/>
    <n v="250272"/>
    <n v="250272"/>
    <n v="10881.391304347826"/>
    <n v="310.12639405204459"/>
    <n v="310.12639405204459"/>
    <n v="162.92583213441748"/>
    <n v="10881.391304347826"/>
    <n v="35.086956521739133"/>
    <m/>
    <n v="1.9034820322180916"/>
    <m/>
    <m/>
    <m/>
    <x v="0"/>
    <n v="23"/>
    <n v="23"/>
    <x v="0"/>
    <x v="28"/>
    <x v="0"/>
    <x v="0"/>
    <n v="1103"/>
    <n v="1536.11"/>
    <n v="1536.11"/>
    <n v="1536.11"/>
    <n v="66.787391304347821"/>
    <m/>
    <m/>
    <m/>
    <m/>
    <m/>
    <m/>
    <m/>
    <m/>
    <m/>
    <s v="collectif"/>
    <m/>
    <n v="2973918"/>
    <m/>
    <m/>
    <m/>
    <s v="OFOI"/>
    <s v="LOGIS 10"/>
    <m/>
    <d v="2016-06-22T00:00:00"/>
    <m/>
    <d v="2016-07-06T00:00:00"/>
    <d v="2016-08-24T00:00:00"/>
    <s v="ok"/>
    <d v="2016-08-24T00:00:00"/>
    <d v="2016-09-07T00:00:00"/>
    <d v="2016-12-07T00:00:00"/>
    <d v="2016-10-11T00:00:00"/>
    <d v="2016-09-07T00:00:00"/>
    <d v="2018-09-07T00:00:00"/>
    <d v="2019-09-07T00:00:00"/>
    <m/>
    <s v="non"/>
    <n v="15"/>
    <n v="127935"/>
    <n v="0"/>
    <m/>
    <s v="ok_x000a_Région 19/06/17"/>
    <s v="ok"/>
    <s v="ok"/>
    <s v="ok"/>
    <d v="2017-07-06T00:00:00"/>
    <m/>
    <d v="2016-12-23T00:00:00"/>
    <s v="ok"/>
    <n v="2912750"/>
    <d v="2018-06-23T00:00:00"/>
    <d v="2018-12-23T00:00:00"/>
    <d v="2016-12-23T00:00:00"/>
    <d v="2018-10-23T00:00:00"/>
    <n v="-5.1333333333333337"/>
    <m/>
    <m/>
    <m/>
    <s v="0"/>
    <d v="2015-02-06T00:00:00"/>
    <d v="2015-02-06T00:00:00"/>
    <n v="0"/>
    <m/>
    <m/>
    <s v="0"/>
    <m/>
    <m/>
    <s v="0"/>
    <m/>
    <m/>
    <s v="0"/>
    <m/>
    <m/>
    <m/>
    <m/>
    <s v="0"/>
    <d v="2017-01-06T00:00:00"/>
    <x v="35"/>
    <x v="5"/>
    <n v="1.3333333333333333"/>
    <n v="-158"/>
    <n v="18"/>
    <n v="20"/>
    <m/>
    <m/>
    <s v="0"/>
    <d v="2016-12-08T00:00:00"/>
    <d v="2016-12-08T00:00:00"/>
    <n v="0"/>
    <m/>
    <d v="2017-09-16T00:00:00"/>
    <s v="0"/>
    <m/>
    <d v="2017-10-16T00:00:00"/>
    <s v="0"/>
    <d v="2017-07-30T00:00:00"/>
    <d v="2017-11-14T00:00:00"/>
    <n v="107"/>
    <d v="2017-08-30T00:00:00"/>
    <d v="2017-11-14T00:00:00"/>
    <n v="76"/>
    <d v="2018-03-30T00:00:00"/>
    <d v="2018-09-05T00:00:00"/>
    <n v="159"/>
    <d v="2018-04-13T00:00:00"/>
    <d v="2018-04-13T00:00:00"/>
    <d v="2018-04-13T00:00:00"/>
    <d v="2018-02-01T00:00:00"/>
    <d v="2018-04-20T00:00:00"/>
    <n v="2.6"/>
    <d v="2018-12-23T00:00:00"/>
    <d v="2018-04-20T00:00:00"/>
    <d v="2017-10-16T00:00:00"/>
    <s v="ok"/>
    <m/>
    <d v="2018-03-01T00:00:00"/>
    <x v="39"/>
    <x v="5"/>
    <n v="2.7333333333333334"/>
    <n v="8529"/>
    <n v="23312.600000000002"/>
    <d v="2018-03-22T00:00:00"/>
    <n v="0"/>
    <n v="0"/>
    <n v="0"/>
    <m/>
    <n v="0"/>
    <n v="0"/>
    <s v="MFL / ADE"/>
    <m/>
    <m/>
    <m/>
    <m/>
    <m/>
    <m/>
    <m/>
    <d v="2018-08-22T00:00:00"/>
    <m/>
    <d v="2019-04-20T00:00:00"/>
    <m/>
    <m/>
    <m/>
    <m/>
    <m/>
    <m/>
    <m/>
    <m/>
    <m/>
    <m/>
    <d v="2018-08-03T00:00:00"/>
    <m/>
    <m/>
    <m/>
    <m/>
    <m/>
    <n v="0"/>
    <n v="3202767"/>
    <n v="3202767"/>
    <n v="2084.9854502607236"/>
    <n v="139250.73913043478"/>
    <n v="3537549.5398594467"/>
    <n v="3653732"/>
    <n v="116182.4601405533"/>
    <n v="1.1647617113577102"/>
    <n v="0.4"/>
    <m/>
    <n v="901691"/>
    <m/>
    <n v="39203.956521739128"/>
    <m/>
    <m/>
    <n v="1772076"/>
    <n v="296327"/>
    <n v="1475749"/>
    <n v="1772076"/>
    <n v="77046.782608695648"/>
    <m/>
    <m/>
    <n v="529000"/>
    <m/>
    <n v="0.16516967984246123"/>
    <m/>
    <m/>
    <n v="529000"/>
    <n v="23000"/>
    <n v="62203.956521739128"/>
    <n v="23000"/>
    <m/>
    <m/>
    <m/>
    <m/>
    <n v="0"/>
    <m/>
    <n v="62203.956521739128"/>
    <e v="#DIV/0!"/>
    <m/>
    <m/>
    <m/>
    <n v="3202767"/>
    <n v="101410.59907834102"/>
    <n v="101410.59907834101"/>
    <m/>
    <m/>
    <m/>
    <m/>
    <m/>
    <m/>
    <m/>
    <m/>
    <m/>
    <m/>
    <m/>
    <m/>
    <m/>
    <m/>
    <m/>
    <m/>
    <m/>
    <m/>
    <d v="2016-12-23T00:00:00"/>
    <n v="65916.894009216587"/>
    <d v="2017-05-10T00:00:00"/>
    <n v="10141.0599078341"/>
    <d v="2017-10-19T00:00:00"/>
    <n v="5070.5345622119812"/>
    <m/>
    <m/>
    <d v="2017-11-16T00:00:00"/>
    <n v="10141.0599078341"/>
    <d v="2018-03-30T00:00:00"/>
    <n v="2535.2626728110604"/>
    <d v="2018-05-04T00:00:00"/>
    <n v="7605.7880184331807"/>
    <m/>
    <m/>
  </r>
  <r>
    <s v="FAHAM (Ilôt 5.6)"/>
    <x v="4"/>
    <x v="0"/>
    <x v="6"/>
    <s v="PRLC 0156"/>
    <s v="ADE"/>
    <s v="MMA"/>
    <x v="2"/>
    <s v="oui"/>
    <m/>
    <m/>
    <s v="SODEGIS"/>
    <s v="QUINOT"/>
    <m/>
    <n v="3126"/>
    <n v="268450"/>
    <n v="268450"/>
    <n v="8948.3333333333339"/>
    <n v="85.876519513755596"/>
    <n v="85.876519513755596"/>
    <n v="100.22812211813815"/>
    <n v="8948.3333333333339"/>
    <n v="104.2"/>
    <n v="1264.3499999999999"/>
    <n v="0.85681062060140756"/>
    <m/>
    <n v="100"/>
    <m/>
    <x v="1"/>
    <n v="30"/>
    <n v="30"/>
    <x v="13"/>
    <x v="2"/>
    <x v="0"/>
    <x v="0"/>
    <m/>
    <n v="2596.9"/>
    <m/>
    <n v="2678.39"/>
    <n v="89.279666666666657"/>
    <n v="0"/>
    <n v="0"/>
    <n v="0.53333333333333333"/>
    <n v="0.4"/>
    <n v="6.6666666666666666E-2"/>
    <m/>
    <n v="0"/>
    <n v="0"/>
    <n v="3"/>
    <s v="collectif"/>
    <s v="oui"/>
    <m/>
    <m/>
    <d v="2014-01-28T00:00:00"/>
    <d v="2014-05-28T00:00:00"/>
    <s v="INGEPAR"/>
    <s v="LS 97"/>
    <s v="SO"/>
    <d v="2016-08-19T00:00:00"/>
    <d v="2016-09-13T00:00:00"/>
    <s v="19/06/2014_x000a_18/11/15"/>
    <s v="30/06/2014_x000a_09/09/16"/>
    <d v="2016-09-14T00:00:00"/>
    <d v="2014-10-20T00:00:00"/>
    <d v="2015-01-23T00:00:00"/>
    <d v="2015-04-23T00:00:00"/>
    <d v="2015-03-11T00:00:00"/>
    <d v="2015-01-23T00:00:00"/>
    <d v="2018-01-23T00:00:00"/>
    <d v="2019-01-23T00:00:00"/>
    <m/>
    <s v="non"/>
    <n v="4"/>
    <n v="69774.294047676667"/>
    <n v="0"/>
    <s v="ok"/>
    <s v="CIVIS 25/05/15_x000a_Région 12/06/15_x000a_Commune 29/06/15_x000a_CG 30/06/15"/>
    <s v="conv° réserv° 17/09/15_x000a_G 09/11/15"/>
    <m/>
    <m/>
    <m/>
    <s v="LE GOFF"/>
    <d v="2016-12-15T00:00:00"/>
    <s v="MAIL 03/04/17"/>
    <n v="4997938.95"/>
    <d v="2018-06-15T00:00:00"/>
    <d v="2018-12-15T00:00:00"/>
    <d v="2017-07-18T00:00:00"/>
    <d v="2018-05-15T00:00:00"/>
    <n v="3.5666666666666669"/>
    <d v="2013-10-01T00:00:00"/>
    <d v="2013-10-02T00:00:00"/>
    <d v="2013-10-17T00:00:00"/>
    <n v="15"/>
    <d v="2014-02-09T00:00:00"/>
    <d v="2014-02-04T00:00:00"/>
    <n v="-5"/>
    <d v="2014-02-09T00:00:00"/>
    <d v="2014-02-27T00:00:00"/>
    <n v="18"/>
    <d v="2014-04-24T00:00:00"/>
    <d v="2014-07-04T00:00:00"/>
    <n v="71"/>
    <d v="2014-08-29T00:00:00"/>
    <d v="2014-10-08T00:00:00"/>
    <n v="40"/>
    <m/>
    <d v="2015-02-20T00:00:00"/>
    <d v="2015-06-22T00:00:00"/>
    <d v="2017-02-14T00:00:00"/>
    <n v="603"/>
    <d v="2017-02-15T00:00:00"/>
    <x v="36"/>
    <x v="6"/>
    <n v="5.9666666666666668"/>
    <n v="-1"/>
    <n v="16"/>
    <n v="17"/>
    <d v="2017-04-19T00:00:00"/>
    <d v="2017-04-19T00:00:00"/>
    <n v="0"/>
    <d v="2017-06-30T00:00:00"/>
    <d v="2017-07-20T00:00:00"/>
    <n v="20"/>
    <d v="2018-01-24T00:00:00"/>
    <d v="2017-12-15T00:00:00"/>
    <n v="-40"/>
    <d v="2018-03-23T00:00:00"/>
    <d v="2018-09-05T00:00:00"/>
    <n v="166"/>
    <d v="2018-03-02T00:00:00"/>
    <m/>
    <s v="0"/>
    <d v="2018-03-21T00:00:00"/>
    <d v="2018-09-05T00:00:00"/>
    <n v="168"/>
    <d v="2018-04-06T00:00:00"/>
    <d v="2018-09-05T00:00:00"/>
    <n v="152"/>
    <d v="2018-04-18T00:00:00"/>
    <d v="2018-04-19T00:00:00"/>
    <d v="2018-04-30T00:00:00"/>
    <d v="2018-06-14T00:00:00"/>
    <d v="2018-07-31T00:00:00"/>
    <n v="1.5666666666666667"/>
    <d v="2019-07-18T00:00:00"/>
    <m/>
    <d v="2017-06-01T00:00:00"/>
    <d v="2018-08-16T00:00:00"/>
    <s v="20 &amp; 21/08"/>
    <d v="2018-06-29T00:00:00"/>
    <x v="40"/>
    <x v="6"/>
    <n v="2.0666666666666669"/>
    <n v="17443.573511919167"/>
    <n v="36050.05192463295"/>
    <d v="2018-08-09T00:00:00"/>
    <n v="0"/>
    <n v="0"/>
    <n v="316521.23099999997"/>
    <m/>
    <n v="0"/>
    <n v="0"/>
    <s v="JDC / NBL / MFL / ADE"/>
    <s v="Lot Men Ext"/>
    <s v="COLTRAV : pb avancement sous-traitant_x000a_J2S : pb avancement - 20 j pénalités_x000a_SMOI : pénalités_x000a_4 j intempéries"/>
    <s v="problématique foncière non anticipée et propre à la vente en VEFA défisc_x000a_changements de RO_x000a_avancement SMOI"/>
    <m/>
    <m/>
    <m/>
    <m/>
    <m/>
    <m/>
    <d v="2019-07-31T00:00:00"/>
    <m/>
    <m/>
    <m/>
    <m/>
    <m/>
    <m/>
    <m/>
    <m/>
    <m/>
    <m/>
    <m/>
    <m/>
    <m/>
    <m/>
    <m/>
    <m/>
    <n v="5088523.3381183296"/>
    <n v="5227844.2"/>
    <n v="139320.86188167054"/>
    <n v="2013.1095536986406"/>
    <n v="174261.47333333333"/>
    <n v="4413122.1526051881"/>
    <n v="4142334"/>
    <n v="-270788.15260518808"/>
    <n v="0.80899943689982179"/>
    <m/>
    <n v="1541342.2781183291"/>
    <n v="1638956.14"/>
    <m/>
    <n v="54631.871333333329"/>
    <n v="97613.861881670775"/>
    <n v="3296474.06"/>
    <n v="3296474.06"/>
    <n v="618601"/>
    <n v="2677873.06"/>
    <n v="0"/>
    <n v="109882.46866666667"/>
    <n v="0"/>
    <n v="250707"/>
    <n v="280000"/>
    <n v="0"/>
    <n v="5.3559362002410092E-2"/>
    <m/>
    <n v="12414"/>
    <n v="29293"/>
    <n v="9333.3333333333339"/>
    <n v="63965.204666666665"/>
    <n v="976.43333333333328"/>
    <n v="6.39"/>
    <n v="5.75"/>
    <n v="0"/>
    <n v="0"/>
    <n v="63965.204666666665"/>
    <n v="0"/>
    <n v="63965.204666666665"/>
    <n v="0.37905933929335955"/>
    <n v="165428"/>
    <m/>
    <n v="0"/>
    <n v="5227844.2"/>
    <n v="265886"/>
    <n v="262429"/>
    <m/>
    <n v="24456"/>
    <m/>
    <m/>
    <d v="2014-02-27T00:00:00"/>
    <n v="12815"/>
    <d v="2014-02-06T00:00:00"/>
    <n v="26808"/>
    <d v="2014-06-25T00:00:00"/>
    <n v="27980"/>
    <n v="41942"/>
    <n v="39455"/>
    <m/>
    <m/>
    <s v="avec OS"/>
    <m/>
    <d v="2016-12-22T00:00:00"/>
    <n v="41091"/>
    <d v="2017-07-13T00:00:00"/>
    <n v="12636"/>
    <d v="2017-09-28T00:00:00"/>
    <n v="12634"/>
    <d v="2017-12-11T00:00:00"/>
    <n v="9678"/>
    <s v="14/03/2018_x000a_18/04/18"/>
    <n v="16845"/>
    <s v="19/04/2018_x000a_11/06/18"/>
    <n v="13294"/>
    <d v="2018-08-13T00:00:00"/>
    <n v="7892"/>
    <m/>
    <m/>
    <m/>
    <m/>
  </r>
  <r>
    <s v="Kakis"/>
    <x v="7"/>
    <x v="1"/>
    <x v="6"/>
    <s v="PRLC 0181"/>
    <s v="FBR"/>
    <s v="DBE"/>
    <x v="2"/>
    <m/>
    <s v="AO 433"/>
    <s v="terrain acheté_x000a_projet de bornage transmis à FBR"/>
    <m/>
    <m/>
    <m/>
    <n v="8111"/>
    <n v="405550"/>
    <n v="405550"/>
    <n v="11587.142857142857"/>
    <n v="50"/>
    <n v="50"/>
    <n v="175.71642735205677"/>
    <n v="11587.142857142857"/>
    <n v="231.74285714285713"/>
    <m/>
    <n v="0.28454937738873137"/>
    <m/>
    <n v="450"/>
    <m/>
    <x v="0"/>
    <n v="35"/>
    <n v="35"/>
    <x v="0"/>
    <x v="29"/>
    <x v="0"/>
    <x v="0"/>
    <m/>
    <n v="2316.3530000000001"/>
    <m/>
    <n v="2307.98"/>
    <n v="65.942285714285717"/>
    <n v="0.22857142857142856"/>
    <n v="0.22857142857142856"/>
    <n v="0.22857142857142856"/>
    <n v="0.31428571428571428"/>
    <m/>
    <m/>
    <m/>
    <m/>
    <m/>
    <s v="collectif"/>
    <m/>
    <m/>
    <m/>
    <d v="2016-01-27T00:00:00"/>
    <d v="2016-04-15T00:00:00"/>
    <s v="SO"/>
    <m/>
    <m/>
    <d v="2016-10-17T00:00:00"/>
    <m/>
    <m/>
    <m/>
    <m/>
    <d v="2017-05-31T00:00:00"/>
    <d v="2017-07-13T00:00:00"/>
    <d v="2017-10-05T00:00:00"/>
    <d v="2017-08-10T00:00:00"/>
    <d v="2017-07-13T00:00:00"/>
    <d v="2019-07-13T00:00:00"/>
    <d v="2020-07-10T00:00:00"/>
    <m/>
    <s v="oui"/>
    <n v="10"/>
    <n v="0"/>
    <n v="0"/>
    <d v="2017-07-04T00:00:00"/>
    <s v="OK "/>
    <m/>
    <m/>
    <m/>
    <m/>
    <m/>
    <m/>
    <m/>
    <m/>
    <m/>
    <m/>
    <m/>
    <s v="SO"/>
    <m/>
    <d v="2015-10-19T00:00:00"/>
    <d v="2015-10-30T00:00:00"/>
    <d v="2015-10-19T00:00:00"/>
    <n v="-11"/>
    <d v="2016-02-12T00:00:00"/>
    <d v="2016-02-12T00:00:00"/>
    <n v="0"/>
    <d v="2016-03-29T00:00:00"/>
    <d v="2016-08-11T00:00:00"/>
    <n v="135"/>
    <d v="2016-10-12T00:00:00"/>
    <d v="2016-11-09T00:00:00"/>
    <n v="28"/>
    <d v="2017-02-13T00:00:00"/>
    <d v="2017-06-06T00:00:00"/>
    <n v="113"/>
    <m/>
    <d v="2018-01-23T00:00:00"/>
    <d v="2018-02-09T00:00:00"/>
    <d v="2018-03-01T00:00:00"/>
    <n v="20"/>
    <d v="2018-02-23T00:00:00"/>
    <x v="37"/>
    <x v="7"/>
    <n v="16.8"/>
    <n v="10"/>
    <n v="14"/>
    <n v="14"/>
    <d v="2018-06-12T00:00:00"/>
    <d v="2018-09-05T00:00:00"/>
    <n v="85"/>
    <d v="2018-07-06T00:00:00"/>
    <d v="2018-09-05T00:00:00"/>
    <n v="61"/>
    <d v="2018-10-01T00:00:00"/>
    <d v="2018-10-01T00:00:00"/>
    <n v="0"/>
    <d v="2019-01-21T00:00:00"/>
    <d v="2019-01-21T00:00:00"/>
    <n v="0"/>
    <d v="2018-12-13T00:00:00"/>
    <m/>
    <s v="0"/>
    <d v="2019-02-04T00:00:00"/>
    <d v="2019-02-04T00:00:00"/>
    <n v="0"/>
    <d v="2019-04-08T00:00:00"/>
    <d v="2019-04-08T00:00:00"/>
    <n v="0"/>
    <d v="2019-03-18T00:00:00"/>
    <d v="2019-03-18T00:00:00"/>
    <d v="2019-03-22T00:00:00"/>
    <d v="2019-05-05T00:00:00"/>
    <d v="2019-05-17T00:00:00"/>
    <n v="0.4"/>
    <d v="1901-12-31T00:00:00"/>
    <m/>
    <d v="2018-09-05T00:00:00"/>
    <d v="2019-08-17T00:00:00"/>
    <m/>
    <d v="2019-06-05T00:00:00"/>
    <x v="41"/>
    <x v="6"/>
    <n v="2.4333333333333331"/>
    <m/>
    <n v="0"/>
    <m/>
    <n v="0"/>
    <n v="0"/>
    <n v="124561.99999999999"/>
    <m/>
    <n v="0"/>
    <n v="0"/>
    <m/>
    <m/>
    <s v="réunion démarrage 01/03/18"/>
    <m/>
    <m/>
    <m/>
    <m/>
    <m/>
    <m/>
    <m/>
    <d v="2020-05-17T00:00:00"/>
    <m/>
    <m/>
    <m/>
    <m/>
    <m/>
    <m/>
    <m/>
    <m/>
    <m/>
    <m/>
    <m/>
    <m/>
    <m/>
    <m/>
    <m/>
    <m/>
    <n v="4867349.3792960932"/>
    <n v="5306870"/>
    <n v="439520.62070390675"/>
    <n v="2291.0454494630135"/>
    <n v="151624.85714285713"/>
    <n v="4254582.75"/>
    <n v="4784510"/>
    <n v="529927.25"/>
    <n v="0.9205020492305257"/>
    <n v="0.4"/>
    <n v="1361329.3792960932"/>
    <n v="1576411"/>
    <n v="1629529"/>
    <n v="45040.314285714288"/>
    <n v="215081.62070390675"/>
    <n v="2561020"/>
    <n v="2760459"/>
    <n v="738771"/>
    <n v="2021688"/>
    <n v="199439"/>
    <n v="78870.257142857139"/>
    <m/>
    <n v="945000"/>
    <n v="945000"/>
    <m/>
    <n v="0.17807106637245684"/>
    <m/>
    <n v="25000"/>
    <n v="0"/>
    <n v="27000"/>
    <n v="72040.314285714281"/>
    <n v="0"/>
    <n v="5.57"/>
    <n v="5.54"/>
    <m/>
    <m/>
    <n v="65895.125122745521"/>
    <m/>
    <n v="72040.314285714281"/>
    <n v="0.47383682566662805"/>
    <m/>
    <m/>
    <n v="0"/>
    <n v="5306870"/>
    <n v="265262"/>
    <n v="185683"/>
    <d v="2015-11-27T00:00:00"/>
    <n v="26176"/>
    <m/>
    <m/>
    <d v="2016-05-11T00:00:00"/>
    <n v="17712"/>
    <d v="2016-03-01T00:00:00"/>
    <n v="20368"/>
    <d v="2016-10-27T00:00:00"/>
    <n v="25703"/>
    <s v="13/12/2016_x000a_23/02/17"/>
    <n v="38553"/>
    <m/>
    <m/>
    <d v="2017-12-14T00:00:00"/>
    <n v="17382"/>
    <m/>
    <m/>
    <d v="2018-08-21T00:00:00"/>
    <n v="39789"/>
    <m/>
    <m/>
    <d v="2017-03-28T00:00:00"/>
    <m/>
    <m/>
    <m/>
    <m/>
    <m/>
    <n v="20368"/>
    <m/>
    <m/>
    <m/>
    <m/>
    <m/>
  </r>
  <r>
    <s v="Les Platanes "/>
    <x v="0"/>
    <x v="0"/>
    <x v="6"/>
    <s v="PRLC 0179"/>
    <s v="FHO"/>
    <s v="DBA"/>
    <x v="2"/>
    <m/>
    <s v="AH 449 à 451"/>
    <m/>
    <m/>
    <m/>
    <m/>
    <n v="5130"/>
    <n v="425624"/>
    <n v="271768"/>
    <n v="15200.857142857143"/>
    <n v="82.967641325536064"/>
    <n v="52.976218323586743"/>
    <n v="144.10749415389185"/>
    <n v="9706"/>
    <n v="183.21428571428572"/>
    <m/>
    <n v="0.36761598440545806"/>
    <s v="NAU"/>
    <n v="675"/>
    <m/>
    <x v="0"/>
    <n v="28"/>
    <n v="28"/>
    <x v="0"/>
    <x v="30"/>
    <x v="0"/>
    <x v="0"/>
    <m/>
    <n v="1812.35"/>
    <m/>
    <n v="1885.87"/>
    <n v="67.352499999999992"/>
    <n v="0.14285714285714285"/>
    <n v="0.25"/>
    <n v="0.35714285714285715"/>
    <n v="0.25"/>
    <m/>
    <m/>
    <m/>
    <m/>
    <n v="2.5"/>
    <s v="collectif"/>
    <m/>
    <m/>
    <m/>
    <d v="2016-04-28T00:00:00"/>
    <d v="2016-04-15T00:00:00"/>
    <s v="SO"/>
    <m/>
    <m/>
    <d v="2016-08-22T00:00:00"/>
    <d v="2016-10-03T00:00:00"/>
    <m/>
    <m/>
    <m/>
    <d v="2017-05-22T00:00:00"/>
    <d v="2017-07-13T00:00:00"/>
    <d v="2017-10-05T00:00:00"/>
    <d v="2017-07-26T00:00:00"/>
    <d v="2017-07-13T00:00:00"/>
    <d v="2019-07-13T00:00:00"/>
    <d v="2020-07-13T00:00:00"/>
    <m/>
    <s v="oui"/>
    <n v="7"/>
    <n v="0"/>
    <n v="0"/>
    <d v="2017-07-04T00:00:00"/>
    <s v="Mairie 09/10/17_x000a_CG 17/10/17"/>
    <d v="2017-10-18T00:00:00"/>
    <m/>
    <m/>
    <m/>
    <m/>
    <m/>
    <m/>
    <m/>
    <m/>
    <m/>
    <m/>
    <s v="SO"/>
    <m/>
    <d v="2015-11-19T00:00:00"/>
    <d v="2015-12-15T00:00:00"/>
    <d v="2015-11-19T00:00:00"/>
    <n v="-26"/>
    <d v="2016-02-12T00:00:00"/>
    <d v="2016-02-12T00:00:00"/>
    <n v="0"/>
    <d v="2016-03-07T00:00:00"/>
    <d v="2016-03-10T00:00:00"/>
    <n v="3"/>
    <d v="2016-04-12T00:00:00"/>
    <d v="2016-09-20T00:00:00"/>
    <n v="161"/>
    <d v="2016-11-18T00:00:00"/>
    <d v="2017-04-20T00:00:00"/>
    <n v="153"/>
    <m/>
    <d v="2017-12-05T00:00:00"/>
    <d v="2018-02-06T00:00:00"/>
    <d v="2018-09-05T00:00:00"/>
    <n v="211"/>
    <d v="2018-02-21T00:00:00"/>
    <x v="38"/>
    <x v="7"/>
    <n v="21.966666666666665"/>
    <n v="111"/>
    <n v="16"/>
    <n v="16"/>
    <m/>
    <d v="2018-09-05T00:00:00"/>
    <s v="0"/>
    <m/>
    <d v="2018-09-05T00:00:00"/>
    <s v="0"/>
    <m/>
    <d v="2018-09-05T00:00:00"/>
    <s v="0"/>
    <m/>
    <d v="2018-09-05T00:00:00"/>
    <s v="0"/>
    <m/>
    <m/>
    <s v="0"/>
    <m/>
    <d v="2018-09-05T00:00:00"/>
    <s v="0"/>
    <m/>
    <d v="2018-09-05T00:00:00"/>
    <s v="0"/>
    <m/>
    <m/>
    <m/>
    <d v="2019-10-12T00:00:00"/>
    <d v="2019-10-12T00:00:00"/>
    <n v="0"/>
    <d v="1901-12-31T00:00:00"/>
    <m/>
    <m/>
    <d v="2019-12-12T00:00:00"/>
    <m/>
    <d v="2019-11-12T00:00:00"/>
    <x v="42"/>
    <x v="6"/>
    <n v="1"/>
    <m/>
    <n v="0"/>
    <m/>
    <n v="0"/>
    <n v="0"/>
    <n v="134399.71276999998"/>
    <n v="131635.37"/>
    <n v="0"/>
    <n v="0"/>
    <m/>
    <m/>
    <s v="purge délai recours en cours"/>
    <m/>
    <m/>
    <m/>
    <m/>
    <m/>
    <m/>
    <m/>
    <d v="2020-10-12T00:00:00"/>
    <m/>
    <m/>
    <m/>
    <m/>
    <m/>
    <m/>
    <m/>
    <m/>
    <m/>
    <m/>
    <m/>
    <m/>
    <m/>
    <m/>
    <m/>
    <m/>
    <n v="3901188"/>
    <n v="3944664"/>
    <n v="43476"/>
    <n v="2176.546472811543"/>
    <n v="140880.85714285713"/>
    <n v="3532430.6948800003"/>
    <n v="3790547.2600000002"/>
    <n v="258116.56511999993"/>
    <n v="0.98110986194514926"/>
    <n v="0.4"/>
    <n v="1168119"/>
    <n v="1183082"/>
    <n v="1263947"/>
    <n v="42252.928571428572"/>
    <n v="14963"/>
    <n v="2077069"/>
    <n v="2105582"/>
    <n v="405627"/>
    <n v="1699955"/>
    <n v="28513"/>
    <n v="75199.357142857145"/>
    <m/>
    <n v="656000"/>
    <n v="656000"/>
    <m/>
    <n v="0.16630060253547577"/>
    <m/>
    <m/>
    <n v="0"/>
    <n v="23428.571428571428"/>
    <n v="65681.5"/>
    <n v="0"/>
    <n v="5.54"/>
    <m/>
    <n v="878080.00034999999"/>
    <n v="560000"/>
    <n v="85147.107142857145"/>
    <n v="84831.933350000065"/>
    <n v="88711.211905357151"/>
    <n v="0.53838599033842116"/>
    <n v="193430"/>
    <m/>
    <m/>
    <n v="4779268.0003500003"/>
    <n v="195171"/>
    <n v="126877"/>
    <d v="2015-11-25T00:00:00"/>
    <n v="23317"/>
    <m/>
    <m/>
    <m/>
    <m/>
    <d v="2016-02-29T00:00:00"/>
    <n v="23306"/>
    <d v="2016-10-14T00:00:00"/>
    <n v="23065"/>
    <s v="23/12/2016_x000a_21/02/17"/>
    <n v="29869"/>
    <m/>
    <m/>
    <d v="2017-12-21T00:00:00"/>
    <n v="7787"/>
    <d v="2018-07-09T00:00:00"/>
    <n v="19533"/>
    <m/>
    <m/>
    <m/>
    <m/>
    <m/>
    <m/>
    <m/>
    <m/>
    <m/>
    <m/>
    <n v="23306"/>
    <m/>
    <m/>
    <m/>
    <m/>
    <m/>
  </r>
  <r>
    <s v="CD 61 Rue Bertaut LLTS"/>
    <x v="2"/>
    <x v="1"/>
    <x v="6"/>
    <s v="PRLC 0173"/>
    <s v="FBR"/>
    <m/>
    <x v="2"/>
    <m/>
    <m/>
    <s v="acheté 25/11/15_x000a_DA ER fait_x000a_convention de prise de possession anticipée reçue, à signer  / attention aux enrobés_x000a_OST à évacuer_x000a_AEP coupée_x000a_"/>
    <s v="Etat"/>
    <s v="MAREL"/>
    <m/>
    <n v="8838"/>
    <n v="652080"/>
    <n v="652080"/>
    <n v="7326.7415730337079"/>
    <n v="73.78139850644942"/>
    <n v="73.78139850644942"/>
    <n v="130.36333321338179"/>
    <n v="9450.434782608696"/>
    <n v="128.08695652173913"/>
    <m/>
    <n v="0.56596741344195522"/>
    <s v="UB"/>
    <n v="630"/>
    <n v="0"/>
    <x v="0"/>
    <n v="69"/>
    <n v="69"/>
    <x v="0"/>
    <x v="31"/>
    <x v="0"/>
    <x v="0"/>
    <m/>
    <n v="4692.6549999999988"/>
    <m/>
    <n v="5002.0200000000004"/>
    <n v="72.493043478260873"/>
    <n v="0.17391304347826086"/>
    <n v="0.42028985507246375"/>
    <n v="0.40579710144927539"/>
    <n v="0"/>
    <n v="0"/>
    <m/>
    <n v="0"/>
    <n v="0"/>
    <n v="4"/>
    <s v="collectif"/>
    <s v="oui"/>
    <m/>
    <m/>
    <d v="2015-01-27T00:00:00"/>
    <d v="2016-04-15T00:00:00"/>
    <s v="SO"/>
    <s v="LS 118"/>
    <m/>
    <d v="2016-04-02T00:00:00"/>
    <m/>
    <m/>
    <m/>
    <m/>
    <d v="2017-06-13T00:00:00"/>
    <d v="2017-07-13T00:00:00"/>
    <d v="2017-10-05T00:00:00"/>
    <d v="2017-07-27T00:00:00"/>
    <d v="2017-07-13T00:00:00"/>
    <d v="2019-07-13T00:00:00"/>
    <d v="2020-07-13T00:00:00"/>
    <n v="235126.41"/>
    <s v="non"/>
    <n v="3"/>
    <n v="76177.880569269342"/>
    <n v="-158948.52943073068"/>
    <d v="2017-07-04T00:00:00"/>
    <s v="Mairie 09/10/17_x000a_CG 17/10/17"/>
    <d v="2017-10-17T00:00:00"/>
    <m/>
    <m/>
    <m/>
    <s v="LE GOFF"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x v="34"/>
    <x v="7"/>
    <n v="22.233333333333334"/>
    <s v="0"/>
    <n v="21"/>
    <n v="21"/>
    <m/>
    <d v="2018-09-05T00:00:00"/>
    <s v="0"/>
    <m/>
    <m/>
    <s v="0"/>
    <m/>
    <m/>
    <s v="0"/>
    <m/>
    <m/>
    <s v="0"/>
    <m/>
    <m/>
    <s v="0"/>
    <m/>
    <m/>
    <s v="0"/>
    <m/>
    <d v="2018-09-05T00:00:00"/>
    <s v="0"/>
    <m/>
    <m/>
    <m/>
    <d v="2019-10-29T00:00:00"/>
    <d v="2019-10-29T00:00:00"/>
    <n v="0"/>
    <d v="1901-12-31T00:00:00"/>
    <m/>
    <m/>
    <d v="2020-03-02T00:00:00"/>
    <m/>
    <d v="2019-11-29T00:00:00"/>
    <x v="38"/>
    <x v="6"/>
    <n v="4.166666666666667"/>
    <n v="25392.626856423114"/>
    <n v="105802.61190176298"/>
    <m/>
    <n v="0"/>
    <n v="0"/>
    <m/>
    <m/>
    <n v="0"/>
    <n v="0"/>
    <m/>
    <m/>
    <m/>
    <m/>
    <m/>
    <m/>
    <m/>
    <m/>
    <m/>
    <m/>
    <d v="2020-10-29T00:00:00"/>
    <m/>
    <m/>
    <m/>
    <m/>
    <m/>
    <m/>
    <m/>
    <m/>
    <m/>
    <m/>
    <m/>
    <m/>
    <m/>
    <m/>
    <m/>
    <m/>
    <n v="9081364"/>
    <n v="9081364"/>
    <n v="0"/>
    <n v="1935.2294170357723"/>
    <n v="131613.97101449277"/>
    <n v="8791836.2692203913"/>
    <n v="8791836.2692203913"/>
    <n v="0"/>
    <n v="0.98844896326961662"/>
    <n v="0.39500000000000002"/>
    <n v="2943082"/>
    <n v="2943082"/>
    <n v="2943082"/>
    <n v="42653.362318840576"/>
    <n v="0"/>
    <n v="5336445"/>
    <n v="5336445"/>
    <n v="746372"/>
    <n v="4590073"/>
    <n v="0"/>
    <n v="77339.782608695648"/>
    <m/>
    <n v="700000"/>
    <n v="700000"/>
    <m/>
    <n v="7.7080931895252738E-2"/>
    <m/>
    <n v="101837"/>
    <n v="0"/>
    <n v="10144.927536231884"/>
    <n v="52798.289855072464"/>
    <n v="0"/>
    <n v="5.51"/>
    <n v="5.48"/>
    <n v="0"/>
    <n v="0"/>
    <n v="52798.289855072464"/>
    <n v="0"/>
    <n v="52798.289855072464"/>
    <n v="0.40116022218688735"/>
    <n v="0"/>
    <m/>
    <n v="0"/>
    <n v="9081364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RPA Du Parc"/>
    <x v="6"/>
    <x v="1"/>
    <x v="6"/>
    <s v="PRLC 0176"/>
    <s v="FHO"/>
    <s v="SRI"/>
    <x v="3"/>
    <m/>
    <s v="BO 206-352"/>
    <s v="compromis vente signé prend fin fin mars 2017 / à proroger à juillet 2019"/>
    <m/>
    <m/>
    <m/>
    <n v="2872"/>
    <n v="516960"/>
    <n v="516960"/>
    <n v="12924"/>
    <n v="180"/>
    <n v="180"/>
    <n v="216.90750717486529"/>
    <n v="12924"/>
    <n v="71.8"/>
    <m/>
    <n v="0.8298467966573817"/>
    <m/>
    <m/>
    <m/>
    <x v="0"/>
    <n v="40"/>
    <n v="40"/>
    <x v="0"/>
    <x v="7"/>
    <x v="0"/>
    <x v="0"/>
    <m/>
    <n v="2383.79"/>
    <m/>
    <n v="2383.3200000000002"/>
    <n v="59.583000000000006"/>
    <m/>
    <n v="0.92500000000000004"/>
    <n v="0.05"/>
    <n v="2.5000000000000001E-2"/>
    <m/>
    <m/>
    <m/>
    <m/>
    <n v="3"/>
    <s v="collectif"/>
    <m/>
    <m/>
    <m/>
    <d v="2015-11-06T00:00:00"/>
    <d v="2016-04-15T00:00:00"/>
    <s v="SO"/>
    <m/>
    <m/>
    <d v="2016-09-16T00:00:00"/>
    <d v="2016-10-14T00:00:00"/>
    <s v="SO"/>
    <s v="SO"/>
    <s v="SO"/>
    <d v="2018-05-21T00:00:00"/>
    <d v="2018-07-28T00:00:00"/>
    <d v="2018-10-28T00:00:00"/>
    <m/>
    <d v="2018-07-28T00:00:00"/>
    <d v="2020-07-28T00:00:00"/>
    <d v="2021-07-28T00:00:00"/>
    <n v="76363"/>
    <s v="non"/>
    <n v="12"/>
    <n v="163032"/>
    <n v="0"/>
    <m/>
    <m/>
    <m/>
    <m/>
    <m/>
    <m/>
    <m/>
    <m/>
    <m/>
    <m/>
    <m/>
    <m/>
    <m/>
    <s v="SO"/>
    <m/>
    <d v="2015-06-09T00:00:00"/>
    <d v="2015-06-24T00:00:00"/>
    <d v="2015-06-15T00:00:00"/>
    <n v="-9"/>
    <d v="2016-02-15T00:00:00"/>
    <d v="2016-02-15T00:00:00"/>
    <n v="0"/>
    <d v="2016-02-05T00:00:00"/>
    <d v="2016-10-26T00:00:00"/>
    <n v="264"/>
    <d v="2016-04-15T00:00:00"/>
    <d v="2017-09-13T00:00:00"/>
    <n v="516"/>
    <d v="2017-08-18T00:00:00"/>
    <d v="2017-12-01T00:00:00"/>
    <n v="105"/>
    <m/>
    <m/>
    <d v="2018-04-24T00:00:00"/>
    <d v="2018-09-05T00:00:00"/>
    <n v="134"/>
    <d v="2018-05-09T00:00:00"/>
    <x v="39"/>
    <x v="8"/>
    <n v="28.933333333333334"/>
    <n v="268"/>
    <n v="16"/>
    <n v="17"/>
    <m/>
    <d v="2018-09-05T00:00:00"/>
    <s v="0"/>
    <m/>
    <d v="2018-09-05T00:00:00"/>
    <s v="0"/>
    <m/>
    <d v="2018-09-05T00:00:00"/>
    <s v="0"/>
    <m/>
    <d v="2018-09-05T00:00:00"/>
    <s v="0"/>
    <m/>
    <m/>
    <s v="0"/>
    <m/>
    <m/>
    <s v="0"/>
    <m/>
    <d v="2018-09-05T00:00:00"/>
    <s v="0"/>
    <m/>
    <m/>
    <m/>
    <d v="2020-06-01T00:00:00"/>
    <d v="2020-07-01T00:00:00"/>
    <n v="1"/>
    <d v="1901-12-31T00:00:00"/>
    <m/>
    <m/>
    <d v="2020-07-01T00:00:00"/>
    <m/>
    <d v="2020-07-01T00:00:00"/>
    <x v="43"/>
    <x v="6"/>
    <n v="0"/>
    <n v="13586"/>
    <n v="0"/>
    <m/>
    <n v="0"/>
    <n v="0"/>
    <m/>
    <m/>
    <m/>
    <n v="0"/>
    <m/>
    <m/>
    <m/>
    <s v="lancer AO"/>
    <m/>
    <m/>
    <m/>
    <m/>
    <m/>
    <m/>
    <d v="2021-07-01T00:00:00"/>
    <m/>
    <m/>
    <m/>
    <m/>
    <m/>
    <m/>
    <m/>
    <m/>
    <m/>
    <m/>
    <m/>
    <m/>
    <m/>
    <m/>
    <m/>
    <m/>
    <n v="5086671"/>
    <n v="5196925"/>
    <n v="110254"/>
    <n v="2180.1102446104733"/>
    <n v="129923.125"/>
    <n v="4519361.7020000005"/>
    <n v="4649415"/>
    <n v="130053.29799999949"/>
    <n v="0.91343490910490333"/>
    <n v="0.4"/>
    <n v="1517885"/>
    <n v="1640996"/>
    <m/>
    <n v="41024.9"/>
    <n v="123111"/>
    <n v="2768786"/>
    <n v="2755929"/>
    <n v="601956"/>
    <n v="2153973"/>
    <n v="-12857"/>
    <n v="68898.225000000006"/>
    <m/>
    <n v="800000"/>
    <n v="800000"/>
    <m/>
    <n v="0.15393718400785081"/>
    <m/>
    <m/>
    <n v="0"/>
    <n v="20000"/>
    <n v="61024.9"/>
    <n v="0"/>
    <n v="5.76"/>
    <n v="5.7"/>
    <m/>
    <m/>
    <n v="57947.125"/>
    <m/>
    <n v="61024.9"/>
    <n v="0.45567818323614795"/>
    <m/>
    <m/>
    <n v="0"/>
    <n v="5086671"/>
    <n v="251153"/>
    <n v="126076"/>
    <d v="2015-06-25T00:00:00"/>
    <n v="21429"/>
    <m/>
    <m/>
    <d v="2016-09-20T00:00:00"/>
    <n v="12215"/>
    <d v="2016-02-29T00:00:00"/>
    <n v="24930"/>
    <s v="22/12/2016_x000a_22/03/17"/>
    <n v="29829"/>
    <n v="43090"/>
    <n v="37673"/>
    <m/>
    <m/>
    <m/>
    <m/>
    <m/>
    <m/>
    <m/>
    <m/>
    <m/>
    <m/>
    <m/>
    <m/>
    <m/>
    <m/>
    <m/>
    <m/>
    <n v="24930"/>
    <m/>
    <m/>
    <m/>
    <m/>
    <m/>
  </r>
  <r>
    <s v="Palissandre"/>
    <x v="2"/>
    <x v="1"/>
    <x v="6"/>
    <s v="PRLC 0110"/>
    <s v="YFR"/>
    <s v="VAF"/>
    <x v="4"/>
    <m/>
    <m/>
    <s v="pas de réseau EU"/>
    <s v="Commune"/>
    <s v="LE GOFF"/>
    <m/>
    <n v="2433"/>
    <n v="487212"/>
    <n v="487212"/>
    <n v="16240.4"/>
    <n v="200.25154130702836"/>
    <n v="200.25154130702836"/>
    <n v="190.87340453038934"/>
    <n v="16240.4"/>
    <n v="81.099999999999994"/>
    <n v="782"/>
    <n v="1.0491327579120426"/>
    <s v="UA"/>
    <n v="528"/>
    <n v="0.05"/>
    <x v="1"/>
    <n v="30"/>
    <n v="30"/>
    <x v="13"/>
    <x v="2"/>
    <x v="0"/>
    <x v="0"/>
    <m/>
    <n v="2526.1"/>
    <m/>
    <n v="2552.54"/>
    <n v="85.084666666666664"/>
    <n v="0.13333333333333333"/>
    <n v="0.23333333333333334"/>
    <n v="0.3"/>
    <n v="0.26666666666666666"/>
    <n v="6.6666666666666666E-2"/>
    <m/>
    <n v="0"/>
    <n v="0"/>
    <n v="4.5"/>
    <s v="collectif"/>
    <s v="oui"/>
    <m/>
    <m/>
    <s v="07/06/2012_x000a_06/11/15"/>
    <d v="2011-09-30T00:00:00"/>
    <s v="SO"/>
    <s v="LS 73"/>
    <m/>
    <d v="2016-09-05T00:00:00"/>
    <d v="2016-10-03T00:00:00"/>
    <d v="2014-06-17T00:00:00"/>
    <d v="2014-07-11T00:00:00"/>
    <m/>
    <d v="2018-07-25T00:00:00"/>
    <d v="2018-08-25T00:00:00"/>
    <d v="2018-11-25T00:00:00"/>
    <m/>
    <d v="2018-08-25T00:00:00"/>
    <d v="2020-08-25T00:00:00"/>
    <d v="2021-08-25T00:00:00"/>
    <n v="95303"/>
    <s v="non"/>
    <n v="12"/>
    <n v="198180"/>
    <n v="0"/>
    <m/>
    <m/>
    <m/>
    <m/>
    <m/>
    <m/>
    <s v="LE GOFF"/>
    <m/>
    <m/>
    <m/>
    <m/>
    <m/>
    <m/>
    <s v="SO"/>
    <m/>
    <d v="2011-07-10T00:00:00"/>
    <d v="2011-07-30T00:00:00"/>
    <d v="2011-07-11T00:00:00"/>
    <n v="-19"/>
    <d v="2011-12-08T00:00:00"/>
    <d v="2016-02-04T00:00:00"/>
    <n v="1519"/>
    <d v="2011-11-18T00:00:00"/>
    <d v="2012-01-03T00:00:00"/>
    <n v="46"/>
    <d v="2012-02-10T00:00:00"/>
    <d v="2013-05-22T00:00:00"/>
    <n v="467"/>
    <m/>
    <m/>
    <s v="0"/>
    <m/>
    <m/>
    <d v="2018-06-25T00:00:00"/>
    <d v="2018-09-05T00:00:00"/>
    <n v="72"/>
    <d v="2018-07-10T00:00:00"/>
    <x v="40"/>
    <x v="8"/>
    <n v="29.766666666666666"/>
    <n v="220"/>
    <n v="15"/>
    <n v="16"/>
    <m/>
    <d v="2018-09-05T00:00:00"/>
    <s v="0"/>
    <m/>
    <d v="2018-09-05T00:00:00"/>
    <s v="0"/>
    <m/>
    <d v="2018-09-05T00:00:00"/>
    <s v="0"/>
    <m/>
    <d v="2018-09-05T00:00:00"/>
    <s v="0"/>
    <m/>
    <m/>
    <s v="0"/>
    <m/>
    <m/>
    <s v="0"/>
    <m/>
    <d v="2018-09-05T00:00:00"/>
    <s v="0"/>
    <m/>
    <m/>
    <m/>
    <d v="2020-05-15T00:00:00"/>
    <d v="2020-06-15T00:00:00"/>
    <n v="1.0333333333333334"/>
    <d v="1901-12-31T00:00:00"/>
    <m/>
    <m/>
    <d v="2020-07-15T00:00:00"/>
    <m/>
    <d v="2020-06-15T00:00:00"/>
    <x v="44"/>
    <x v="6"/>
    <n v="2.0333333333333332"/>
    <n v="16515"/>
    <n v="33580.5"/>
    <m/>
    <n v="0"/>
    <n v="0"/>
    <m/>
    <m/>
    <m/>
    <m/>
    <m/>
    <m/>
    <s v="attente schéma directeur EP pour lever réserve BCT sur évacuation EP = réunion Boyer 24/02_x000a_attente DCE indice 2_x000a_analyser offres désamiantage"/>
    <s v="lancer désamiantage / étude hydraulique à réaliser pour confirmation hyp SEGC_x000a_perte de temps sur la phase DCE pour consolider étude hydraulique"/>
    <m/>
    <m/>
    <m/>
    <m/>
    <m/>
    <m/>
    <d v="2021-06-15T00:00:00"/>
    <m/>
    <m/>
    <m/>
    <m/>
    <m/>
    <m/>
    <m/>
    <m/>
    <m/>
    <m/>
    <m/>
    <m/>
    <m/>
    <m/>
    <s v="oui"/>
    <m/>
    <n v="4943384.7071162229"/>
    <n v="5371395"/>
    <n v="428010.29288377706"/>
    <n v="2126.3588139820276"/>
    <n v="179046.5"/>
    <n v="4257022.3269400001"/>
    <n v="4316430"/>
    <n v="59407.673059999943"/>
    <n v="0.82047122395578787"/>
    <n v="0.37030000000000002"/>
    <n v="1487646.5617181344"/>
    <n v="1695164"/>
    <m/>
    <n v="56505.466666666667"/>
    <n v="207517.43828186556"/>
    <n v="3185738.1453980887"/>
    <n v="3406231"/>
    <n v="749753"/>
    <n v="2656478"/>
    <n v="220492.85460191127"/>
    <n v="113541.03333333334"/>
    <n v="0"/>
    <n v="270000"/>
    <n v="270000"/>
    <m/>
    <n v="5.026627161100608E-2"/>
    <m/>
    <n v="0"/>
    <n v="0"/>
    <n v="9000"/>
    <n v="65505.466666666667"/>
    <n v="0"/>
    <n v="6.47"/>
    <n v="5.76"/>
    <n v="0"/>
    <n v="0"/>
    <n v="58588.218723937818"/>
    <n v="0"/>
    <n v="65505.466666666667"/>
    <n v="0.3555552856705495"/>
    <m/>
    <m/>
    <n v="0"/>
    <n v="4943384.7071162229"/>
    <n v="236430"/>
    <n v="184131.89400921657"/>
    <d v="2011-08-24T00:00:00"/>
    <n v="3705"/>
    <m/>
    <m/>
    <d v="2011-12-15T00:00:00"/>
    <n v="11608"/>
    <d v="2011-12-15T00:00:00"/>
    <n v="42727"/>
    <d v="2012-10-11T00:00:00"/>
    <n v="25155"/>
    <n v="42615"/>
    <n v="35020"/>
    <m/>
    <m/>
    <d v="2016-12-15T00:00:00"/>
    <n v="65916.894009216587"/>
    <m/>
    <m/>
    <m/>
    <m/>
    <m/>
    <m/>
    <m/>
    <m/>
    <m/>
    <m/>
    <m/>
    <m/>
    <n v="42727"/>
    <m/>
    <m/>
    <m/>
    <m/>
    <m/>
  </r>
  <r>
    <s v="Hortensias "/>
    <x v="2"/>
    <x v="1"/>
    <x v="6"/>
    <s v="PRLC 0178"/>
    <s v="APU"/>
    <s v="DBE"/>
    <x v="4"/>
    <m/>
    <s v="BX 855"/>
    <s v="coordonnées des propriétaires limitrophes transmis à APU_x000a_courriers faits par BJE aux riverains pour une rencontre"/>
    <m/>
    <m/>
    <m/>
    <n v="785"/>
    <n v="550000"/>
    <n v="550000"/>
    <n v="25000"/>
    <n v="700.63694267515928"/>
    <n v="700.63694267515928"/>
    <n v="325.66153700403231"/>
    <n v="25000"/>
    <n v="35.68181818181818"/>
    <m/>
    <n v="2.1514267515923566"/>
    <s v="UAa"/>
    <n v="500"/>
    <m/>
    <x v="0"/>
    <n v="22"/>
    <n v="22"/>
    <x v="0"/>
    <x v="11"/>
    <x v="0"/>
    <x v="0"/>
    <m/>
    <m/>
    <m/>
    <n v="1688.87"/>
    <n v="1746"/>
    <m/>
    <n v="0.45454545454545453"/>
    <n v="0.27272727272727271"/>
    <n v="0.22727272727272727"/>
    <n v="4.5454545454545456E-2"/>
    <m/>
    <n v="0"/>
    <n v="0"/>
    <n v="7"/>
    <s v="collectif"/>
    <s v="oui"/>
    <m/>
    <m/>
    <d v="2016-01-27T00:00:00"/>
    <d v="2016-04-15T00:00:00"/>
    <s v="SO"/>
    <m/>
    <m/>
    <d v="2016-08-24T00:00:00"/>
    <d v="2016-10-03T00:00:00"/>
    <s v="SO"/>
    <s v="SO"/>
    <s v="SO"/>
    <d v="2018-07-03T00:00:00"/>
    <d v="2018-08-03T00:00:00"/>
    <d v="2018-11-03T00:00:00"/>
    <m/>
    <d v="2018-08-03T00:00:00"/>
    <d v="2020-08-03T00:00:00"/>
    <d v="2021-08-03T00:00:00"/>
    <n v="57242"/>
    <s v="non"/>
    <n v="10"/>
    <n v="90800"/>
    <n v="0"/>
    <m/>
    <m/>
    <m/>
    <m/>
    <m/>
    <m/>
    <m/>
    <m/>
    <m/>
    <m/>
    <m/>
    <m/>
    <m/>
    <s v="SO"/>
    <m/>
    <d v="2015-11-23T00:00:00"/>
    <d v="2015-12-15T00:00:00"/>
    <d v="2015-11-18T00:00:00"/>
    <n v="-27"/>
    <d v="2016-02-15T00:00:00"/>
    <d v="2016-02-15T00:00:00"/>
    <n v="0"/>
    <d v="2016-03-15T00:00:00"/>
    <d v="2016-08-16T00:00:00"/>
    <n v="154"/>
    <d v="2017-01-13T00:00:00"/>
    <d v="2017-02-06T00:00:00"/>
    <n v="24"/>
    <d v="2017-03-14T00:00:00"/>
    <d v="2018-02-05T00:00:00"/>
    <n v="328"/>
    <m/>
    <m/>
    <d v="2018-03-30T00:00:00"/>
    <d v="2018-09-05T00:00:00"/>
    <n v="159"/>
    <d v="2018-04-13T00:00:00"/>
    <x v="41"/>
    <x v="8"/>
    <n v="29.9"/>
    <n v="300"/>
    <n v="16"/>
    <n v="17"/>
    <m/>
    <d v="2018-09-05T00:00:00"/>
    <s v="0"/>
    <m/>
    <d v="2018-09-05T00:00:00"/>
    <s v="0"/>
    <m/>
    <d v="2018-09-05T00:00:00"/>
    <s v="0"/>
    <m/>
    <d v="2018-09-05T00:00:00"/>
    <s v="0"/>
    <m/>
    <m/>
    <s v="0"/>
    <m/>
    <m/>
    <s v="0"/>
    <m/>
    <d v="2018-09-05T00:00:00"/>
    <s v="0"/>
    <m/>
    <m/>
    <m/>
    <d v="2020-06-07T00:00:00"/>
    <d v="2020-07-07T00:00:00"/>
    <n v="1"/>
    <d v="1901-12-31T00:00:00"/>
    <m/>
    <m/>
    <d v="2020-08-07T00:00:00"/>
    <m/>
    <d v="2020-07-07T00:00:00"/>
    <x v="45"/>
    <x v="6"/>
    <n v="2.0666666666666669"/>
    <n v="9080"/>
    <n v="18765.333333333336"/>
    <m/>
    <n v="46700"/>
    <n v="0"/>
    <m/>
    <m/>
    <m/>
    <m/>
    <m/>
    <m/>
    <m/>
    <s v="retard études : gestion mitoyens / signature convention_x000a_retard rendu DCE (changement chargé d'affaire INTEGRALE)"/>
    <m/>
    <m/>
    <m/>
    <m/>
    <m/>
    <m/>
    <d v="2021-07-07T00:00:00"/>
    <m/>
    <m/>
    <m/>
    <m/>
    <m/>
    <m/>
    <m/>
    <m/>
    <m/>
    <m/>
    <m/>
    <m/>
    <m/>
    <m/>
    <m/>
    <m/>
    <n v="3709176.2725294223"/>
    <n v="3661369"/>
    <n v="-47807.272529422306"/>
    <e v="#DIV/0!"/>
    <n v="166425.86363636365"/>
    <n v="3142057.6116279075"/>
    <n v="3087171"/>
    <n v="-54886.611627907492"/>
    <n v="0.86088061350822587"/>
    <n v="0.4"/>
    <n v="1117146.8818248713"/>
    <n v="1211134"/>
    <m/>
    <n v="55051.545454545456"/>
    <n v="93987.118175128708"/>
    <n v="2192029.3907045508"/>
    <n v="2050235"/>
    <n v="370884"/>
    <n v="1679351"/>
    <n v="-141794.39070455078"/>
    <n v="93192.5"/>
    <m/>
    <n v="400000"/>
    <n v="400000"/>
    <m/>
    <n v="0.10924875367656196"/>
    <m/>
    <m/>
    <n v="0"/>
    <n v="18181.81818181818"/>
    <n v="73233.363636363632"/>
    <n v="0"/>
    <n v="5.32"/>
    <n v="5.29"/>
    <m/>
    <m/>
    <n v="68961.221901130513"/>
    <m/>
    <n v="73233.363636363632"/>
    <n v="0.40902528495640184"/>
    <m/>
    <m/>
    <n v="0"/>
    <n v="3709176.2725294223"/>
    <n v="184075"/>
    <n v="92037"/>
    <d v="2016-02-29T00:00:00"/>
    <m/>
    <m/>
    <m/>
    <d v="2016-08-23T00:00:00"/>
    <n v="8765"/>
    <d v="2016-02-29T00:00:00"/>
    <n v="36701"/>
    <s v="12/12/2016_x000a_28/02/17"/>
    <n v="18328"/>
    <n v="42926"/>
    <n v="28243"/>
    <m/>
    <m/>
    <m/>
    <m/>
    <m/>
    <m/>
    <m/>
    <m/>
    <m/>
    <m/>
    <m/>
    <m/>
    <m/>
    <m/>
    <m/>
    <m/>
    <n v="36701"/>
    <m/>
    <m/>
    <m/>
    <m/>
    <m/>
  </r>
  <r>
    <s v="Bras de la Plaine"/>
    <x v="7"/>
    <x v="1"/>
    <x v="6"/>
    <s v="PRLC 0180"/>
    <s v="FBR"/>
    <s v="VAF"/>
    <x v="4"/>
    <m/>
    <s v="AS 603"/>
    <s v="bornage signé mais remis en cause / servitude de tréfonds SAPHIR_x000a_prorogation EPFR jusqu'au 11/09/2019 : avenant à recevoir"/>
    <m/>
    <m/>
    <m/>
    <n v="2307"/>
    <n v="184560"/>
    <n v="184560"/>
    <n v="10253.333333333334"/>
    <n v="80"/>
    <n v="80"/>
    <n v="136.34953235124632"/>
    <n v="10253.333333333334"/>
    <n v="128.16666666666666"/>
    <m/>
    <n v="0.58672735153879496"/>
    <m/>
    <n v="380"/>
    <m/>
    <x v="0"/>
    <n v="18"/>
    <n v="18"/>
    <x v="0"/>
    <x v="18"/>
    <x v="0"/>
    <x v="0"/>
    <m/>
    <n v="1427.7"/>
    <m/>
    <n v="1353.58"/>
    <n v="75.198888888888888"/>
    <n v="0.1111111111111111"/>
    <n v="0.33333333333333331"/>
    <n v="0.3888888888888889"/>
    <n v="0.16666666666666666"/>
    <m/>
    <m/>
    <m/>
    <m/>
    <m/>
    <s v="collectif"/>
    <m/>
    <m/>
    <m/>
    <d v="2016-01-27T00:00:00"/>
    <d v="2016-04-15T00:00:00"/>
    <s v="SO"/>
    <m/>
    <m/>
    <d v="2016-09-07T00:00:00"/>
    <d v="2016-10-03T00:00:00"/>
    <m/>
    <m/>
    <m/>
    <d v="2018-11-30T00:00:00"/>
    <d v="2018-12-30T00:00:00"/>
    <d v="2019-03-30T00:00:00"/>
    <m/>
    <d v="2018-12-30T00:00:00"/>
    <d v="2020-12-30T00:00:00"/>
    <d v="2021-12-30T00:00:00"/>
    <n v="44850"/>
    <s v="non"/>
    <n v="10"/>
    <n v="72870"/>
    <n v="0"/>
    <m/>
    <m/>
    <m/>
    <m/>
    <m/>
    <m/>
    <m/>
    <m/>
    <m/>
    <m/>
    <m/>
    <m/>
    <m/>
    <s v="SO"/>
    <m/>
    <d v="2015-10-15T00:00:00"/>
    <d v="2015-10-30T00:00:00"/>
    <d v="2015-10-15T00:00:00"/>
    <n v="-15"/>
    <d v="2016-02-12T00:00:00"/>
    <d v="2016-02-12T00:00:00"/>
    <n v="0"/>
    <d v="2016-03-25T00:00:00"/>
    <d v="2016-08-11T00:00:00"/>
    <n v="139"/>
    <d v="2016-04-12T00:00:00"/>
    <d v="2016-11-16T00:00:00"/>
    <n v="218"/>
    <d v="2016-12-23T00:00:00"/>
    <d v="2017-06-19T00:00:00"/>
    <n v="178"/>
    <m/>
    <m/>
    <d v="2018-02-05T00:00:00"/>
    <d v="2018-09-05T00:00:00"/>
    <n v="212"/>
    <d v="2018-02-20T00:00:00"/>
    <x v="42"/>
    <x v="8"/>
    <n v="34.700000000000003"/>
    <n v="510"/>
    <n v="14"/>
    <n v="17"/>
    <m/>
    <d v="2018-09-05T00:00:00"/>
    <s v="0"/>
    <m/>
    <d v="2018-09-05T00:00:00"/>
    <s v="0"/>
    <m/>
    <d v="2018-09-05T00:00:00"/>
    <s v="0"/>
    <m/>
    <d v="2018-09-05T00:00:00"/>
    <s v="0"/>
    <m/>
    <m/>
    <s v="0"/>
    <m/>
    <m/>
    <s v="0"/>
    <m/>
    <d v="2018-09-05T00:00:00"/>
    <s v="0"/>
    <m/>
    <m/>
    <m/>
    <d v="2020-09-15T00:00:00"/>
    <d v="2020-12-15T00:00:00"/>
    <n v="3.0333333333333332"/>
    <d v="1901-12-31T00:00:00"/>
    <m/>
    <m/>
    <d v="2021-01-15T00:00:00"/>
    <m/>
    <d v="2020-10-15T00:00:00"/>
    <x v="46"/>
    <x v="6"/>
    <n v="4.0999999999999996"/>
    <n v="7287"/>
    <n v="29876.699999999997"/>
    <m/>
    <n v="0"/>
    <n v="0"/>
    <m/>
    <m/>
    <m/>
    <m/>
    <m/>
    <m/>
    <s v=" "/>
    <m/>
    <m/>
    <m/>
    <m/>
    <m/>
    <m/>
    <m/>
    <d v="2021-12-15T00:00:00"/>
    <m/>
    <m/>
    <m/>
    <m/>
    <m/>
    <m/>
    <m/>
    <m/>
    <m/>
    <m/>
    <m/>
    <m/>
    <m/>
    <m/>
    <m/>
    <m/>
    <n v="2835176.7292601359"/>
    <n v="2990819"/>
    <n v="155642.27073986409"/>
    <n v="2094.8511592071163"/>
    <n v="166156.61111111112"/>
    <n v="2485795.7500000005"/>
    <n v="2579834.0699999998"/>
    <n v="94038.319999999367"/>
    <n v="0.88069876026265714"/>
    <n v="0.4"/>
    <n v="896735"/>
    <n v="1097604"/>
    <m/>
    <n v="60978"/>
    <n v="200869"/>
    <n v="1668441.7292601359"/>
    <n v="1611685"/>
    <n v="319456"/>
    <n v="1292229"/>
    <n v="-56756.729260135908"/>
    <n v="89538.055555555562"/>
    <m/>
    <n v="270000"/>
    <n v="270000"/>
    <m/>
    <n v="9.0276275495106861E-2"/>
    <m/>
    <n v="11530"/>
    <n v="0"/>
    <n v="15000"/>
    <n v="75978"/>
    <n v="0"/>
    <n v="5.36"/>
    <n v="5.36"/>
    <m/>
    <m/>
    <n v="64818.611111111109"/>
    <m/>
    <n v="75978"/>
    <n v="0.41152108366255874"/>
    <m/>
    <m/>
    <n v="0"/>
    <n v="2835176.7292601359"/>
    <n v="140149"/>
    <n v="70074"/>
    <d v="2016-03-01T00:00:00"/>
    <m/>
    <m/>
    <m/>
    <d v="2016-05-11T00:00:00"/>
    <n v="7875"/>
    <d v="2016-03-01T00:00:00"/>
    <n v="27162"/>
    <d v="2016-10-26T00:00:00"/>
    <n v="14015"/>
    <s v="13/12/2016_x000a_24/02/17"/>
    <n v="21022"/>
    <m/>
    <m/>
    <m/>
    <m/>
    <m/>
    <m/>
    <m/>
    <m/>
    <m/>
    <m/>
    <m/>
    <m/>
    <m/>
    <m/>
    <m/>
    <m/>
    <n v="27162"/>
    <m/>
    <m/>
    <m/>
    <m/>
    <m/>
  </r>
  <r>
    <s v="VEFA Raisins Marines (Hopital)"/>
    <x v="1"/>
    <x v="0"/>
    <x v="7"/>
    <s v="PRLC 0195"/>
    <s v="YFR"/>
    <s v="VAF"/>
    <x v="2"/>
    <m/>
    <s v="ET 909 / 1256"/>
    <m/>
    <m/>
    <m/>
    <m/>
    <n v="4801"/>
    <n v="473822"/>
    <n v="473822"/>
    <n v="15794.066666666668"/>
    <n v="98.692355759216824"/>
    <n v="98.692355759216824"/>
    <n v="277.36300788498573"/>
    <n v="15794.066666666668"/>
    <n v="160.03333333333333"/>
    <m/>
    <n v="0.35582378671110182"/>
    <m/>
    <m/>
    <m/>
    <x v="0"/>
    <n v="30"/>
    <n v="30"/>
    <x v="0"/>
    <x v="1"/>
    <x v="0"/>
    <x v="0"/>
    <n v="1411.31"/>
    <n v="1708.31"/>
    <n v="1708.31"/>
    <n v="1708.31"/>
    <m/>
    <m/>
    <m/>
    <m/>
    <m/>
    <m/>
    <m/>
    <m/>
    <m/>
    <m/>
    <s v="collectif"/>
    <m/>
    <n v="3564776"/>
    <m/>
    <m/>
    <m/>
    <s v="SO"/>
    <m/>
    <s v="SO"/>
    <d v="2017-06-23T00:00:00"/>
    <m/>
    <m/>
    <m/>
    <m/>
    <d v="2017-08-20T00:00:00"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n v="3443980.72"/>
    <m/>
    <m/>
    <d v="2018-02-14T00:00:00"/>
    <d v="2019-10-30T00:00:00"/>
    <n v="-6.5666666666666664"/>
    <m/>
    <m/>
    <m/>
    <s v="0"/>
    <d v="2017-02-06T00:00:00"/>
    <d v="2016-12-27T00:00:00"/>
    <n v="-41"/>
    <m/>
    <m/>
    <s v="0"/>
    <m/>
    <m/>
    <s v="0"/>
    <m/>
    <m/>
    <s v="0"/>
    <m/>
    <m/>
    <d v="2017-11-30T00:00:00"/>
    <d v="2017-12-04T00:00:00"/>
    <n v="4"/>
    <d v="2017-12-11T00:00:00"/>
    <x v="43"/>
    <x v="6"/>
    <n v="5.3666666666666663"/>
    <n v="-10"/>
    <n v="15"/>
    <n v="15"/>
    <m/>
    <d v="2018-09-05T00:00:00"/>
    <s v="0"/>
    <m/>
    <d v="2018-02-14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03-01T00:00:00"/>
    <d v="2019-03-01T00:00:00"/>
    <n v="0"/>
    <d v="2020-02-14T00:00:00"/>
    <m/>
    <m/>
    <d v="2019-04-01T00:00:00"/>
    <m/>
    <d v="2019-04-01T00:00:00"/>
    <x v="47"/>
    <x v="6"/>
    <n v="0.5"/>
    <m/>
    <n v="0"/>
    <m/>
    <n v="0"/>
    <n v="0"/>
    <n v="0"/>
    <m/>
    <n v="0"/>
    <n v="0"/>
    <m/>
    <m/>
    <m/>
    <m/>
    <m/>
    <m/>
    <m/>
    <m/>
    <m/>
    <m/>
    <d v="2020-03-01T00:00:00"/>
    <m/>
    <m/>
    <m/>
    <m/>
    <m/>
    <m/>
    <m/>
    <m/>
    <m/>
    <m/>
    <m/>
    <m/>
    <m/>
    <m/>
    <m/>
    <m/>
    <n v="3803779.2429890437"/>
    <n v="3855387"/>
    <n v="51607.757010956295"/>
    <n v="2256.8427276079869"/>
    <n v="128512.9"/>
    <m/>
    <m/>
    <n v="0"/>
    <n v="0"/>
    <n v="0.4"/>
    <n v="1081657"/>
    <n v="1181624"/>
    <n v="1181624"/>
    <n v="39387.466666666667"/>
    <n v="99967"/>
    <n v="2022122.2429890437"/>
    <n v="1973763"/>
    <n v="459254"/>
    <n v="1514509"/>
    <n v="-48359.242989043705"/>
    <n v="65792.100000000006"/>
    <m/>
    <n v="700000"/>
    <n v="700000"/>
    <m/>
    <n v="0.18156413350981368"/>
    <m/>
    <m/>
    <n v="0"/>
    <n v="23333.333333333332"/>
    <n v="62720.800000000003"/>
    <n v="0"/>
    <m/>
    <m/>
    <m/>
    <m/>
    <n v="59388.566666666666"/>
    <m/>
    <n v="62720.800000000003"/>
    <n v="0.46839127251768636"/>
    <m/>
    <m/>
    <n v="0"/>
    <n v="3803779.2429890437"/>
    <n v="178239"/>
    <n v="124768"/>
    <m/>
    <m/>
    <m/>
    <m/>
    <m/>
    <m/>
    <d v="2017-04-04T00:00:00"/>
    <n v="43954"/>
    <m/>
    <m/>
    <m/>
    <m/>
    <m/>
    <m/>
    <d v="2017-12-05T00:00:00"/>
    <n v="54078"/>
    <d v="2017-12-23T00:00:00"/>
    <n v="17824"/>
    <d v="2018-02-22T00:00:00"/>
    <n v="8912"/>
    <m/>
    <m/>
    <m/>
    <m/>
    <m/>
    <m/>
    <m/>
    <m/>
    <n v="43954"/>
    <m/>
    <m/>
    <m/>
    <m/>
    <m/>
  </r>
  <r>
    <s v="VEFA CROUS St Pierre"/>
    <x v="1"/>
    <x v="0"/>
    <x v="7"/>
    <s v="PRLC 0193"/>
    <s v="FVA"/>
    <s v="GGO"/>
    <x v="2"/>
    <m/>
    <s v="EN 1337 p"/>
    <m/>
    <m/>
    <m/>
    <m/>
    <n v="3474"/>
    <n v="1"/>
    <m/>
    <n v="5.0000000000000001E-3"/>
    <n v="2.878526194588371E-4"/>
    <n v="0"/>
    <n v="0"/>
    <n v="0"/>
    <n v="17.37"/>
    <m/>
    <n v="1.166076568796776"/>
    <m/>
    <n v="70"/>
    <m/>
    <x v="2"/>
    <n v="200"/>
    <n v="200"/>
    <x v="0"/>
    <x v="2"/>
    <x v="1"/>
    <x v="0"/>
    <n v="3391.22"/>
    <n v="4327.3599999999997"/>
    <n v="4050.95"/>
    <n v="4050.95"/>
    <s v="                                                                                           "/>
    <m/>
    <m/>
    <m/>
    <m/>
    <m/>
    <m/>
    <m/>
    <m/>
    <m/>
    <s v="collectif"/>
    <s v="oui"/>
    <n v="10739152"/>
    <m/>
    <m/>
    <m/>
    <m/>
    <m/>
    <m/>
    <d v="2017-10-16T00:00:00"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d v="2018-03-23T00:00:00"/>
    <m/>
    <m/>
    <m/>
    <m/>
    <m/>
    <d v="2019-08-16T00:00:00"/>
    <n v="0"/>
    <m/>
    <m/>
    <m/>
    <s v="0"/>
    <d v="2017-02-06T00:00:00"/>
    <d v="2017-05-16T00:00:00"/>
    <n v="99"/>
    <m/>
    <m/>
    <s v="0"/>
    <m/>
    <m/>
    <s v="0"/>
    <m/>
    <m/>
    <s v="0"/>
    <m/>
    <m/>
    <d v="2017-06-01T00:00:00"/>
    <d v="2017-12-27T00:00:00"/>
    <n v="209"/>
    <d v="2017-06-15T00:00:00"/>
    <x v="44"/>
    <x v="6"/>
    <n v="2.2333333333333334"/>
    <n v="190"/>
    <n v="18"/>
    <n v="18"/>
    <m/>
    <d v="2018-03-08T00:00:00"/>
    <s v="0"/>
    <m/>
    <d v="2008-05-31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06-22T00:00:00"/>
    <d v="2019-06-22T00:00:00"/>
    <n v="0"/>
    <d v="1901-12-31T00:00:00"/>
    <m/>
    <m/>
    <d v="2019-07-22T00:00:00"/>
    <m/>
    <d v="2019-07-22T00:00:00"/>
    <x v="48"/>
    <x v="6"/>
    <n v="0.83333333333333337"/>
    <m/>
    <n v="0"/>
    <m/>
    <n v="0"/>
    <n v="0"/>
    <m/>
    <m/>
    <m/>
    <n v="0"/>
    <m/>
    <m/>
    <m/>
    <m/>
    <m/>
    <m/>
    <m/>
    <m/>
    <m/>
    <m/>
    <d v="2020-06-22T00:00:00"/>
    <m/>
    <m/>
    <m/>
    <m/>
    <m/>
    <m/>
    <m/>
    <m/>
    <m/>
    <m/>
    <m/>
    <m/>
    <m/>
    <m/>
    <m/>
    <m/>
    <n v="15377280.710000001"/>
    <n v="11616559.710000001"/>
    <n v="-3760721"/>
    <n v="2684.4449525807886"/>
    <n v="58082.798550000007"/>
    <m/>
    <m/>
    <n v="0"/>
    <n v="0"/>
    <m/>
    <n v="0"/>
    <n v="3306813"/>
    <n v="3306813"/>
    <n v="16534.064999999999"/>
    <n v="3306813"/>
    <n v="10921593"/>
    <n v="5854059"/>
    <m/>
    <m/>
    <n v="-5067534"/>
    <n v="29270.294999999998"/>
    <m/>
    <n v="2000000"/>
    <m/>
    <m/>
    <n v="0"/>
    <m/>
    <n v="2455687.71"/>
    <n v="-2000000"/>
    <n v="0"/>
    <n v="16534.064999999999"/>
    <n v="-10000"/>
    <m/>
    <m/>
    <m/>
    <m/>
    <n v="10000"/>
    <m/>
    <n v="16534.064999999999"/>
    <n v="0.13006200756284431"/>
    <m/>
    <m/>
    <n v="0"/>
    <n v="15377280.710000001"/>
    <n v="364819"/>
    <n v="302800"/>
    <m/>
    <m/>
    <m/>
    <m/>
    <d v="2016-12-23T00:00:00"/>
    <n v="51495"/>
    <d v="2017-06-09T00:00:00"/>
    <n v="34330"/>
    <d v="2017-12-05T00:00:00"/>
    <n v="41862"/>
    <m/>
    <m/>
    <m/>
    <m/>
    <m/>
    <m/>
    <d v="2017-12-23T00:00:00"/>
    <n v="54723"/>
    <s v="08/03/2018_x000a_06/06/2018"/>
    <n v="80260"/>
    <s v="10/07/2018_x000a_29/08/18"/>
    <n v="40130"/>
    <m/>
    <m/>
    <m/>
    <m/>
    <m/>
    <m/>
    <n v="34330"/>
    <m/>
    <m/>
    <m/>
    <m/>
    <m/>
  </r>
  <r>
    <s v="100 marches"/>
    <x v="6"/>
    <x v="1"/>
    <x v="7"/>
    <m/>
    <s v="JER"/>
    <s v="DBA"/>
    <x v="3"/>
    <m/>
    <s v="BR 617"/>
    <s v="manque beaucoup de justificatifs_x000a_acte sur BR 570 / 571 qui n'existent plus_x000a_récupérer fiche immeuble"/>
    <s v="SODEGIS"/>
    <s v="Esparon"/>
    <d v="1995-06-01T00:00:00"/>
    <m/>
    <m/>
    <m/>
    <m/>
    <m/>
    <m/>
    <m/>
    <m/>
    <m/>
    <m/>
    <e v="#DIV/0!"/>
    <m/>
    <m/>
    <m/>
    <x v="3"/>
    <n v="10"/>
    <n v="0"/>
    <x v="0"/>
    <x v="2"/>
    <x v="0"/>
    <x v="1"/>
    <m/>
    <m/>
    <m/>
    <m/>
    <m/>
    <m/>
    <m/>
    <m/>
    <m/>
    <m/>
    <m/>
    <m/>
    <m/>
    <m/>
    <m/>
    <m/>
    <m/>
    <m/>
    <m/>
    <m/>
    <m/>
    <m/>
    <m/>
    <d v="2017-09-27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20"/>
    <n v="0"/>
    <n v="0"/>
    <m/>
    <m/>
    <m/>
    <m/>
    <m/>
    <m/>
    <m/>
    <m/>
    <m/>
    <m/>
    <m/>
    <m/>
    <m/>
    <m/>
    <m/>
    <d v="2017-02-07T00:00:00"/>
    <m/>
    <m/>
    <s v="0"/>
    <d v="2017-05-19T00:00:00"/>
    <d v="2017-05-24T00:00:00"/>
    <n v="5"/>
    <d v="2017-05-22T00:00:00"/>
    <d v="2017-04-28T00:00:00"/>
    <n v="-24"/>
    <d v="2017-05-24T00:00:00"/>
    <d v="2018-09-05T00:00:00"/>
    <n v="469"/>
    <d v="2017-08-15T00:00:00"/>
    <d v="2018-09-05T00:00:00"/>
    <n v="386"/>
    <m/>
    <d v="2018-05-29T00:00:00"/>
    <d v="2017-11-06T00:00:00"/>
    <d v="2018-09-05T00:00:00"/>
    <n v="303"/>
    <d v="2017-11-10T00:00:00"/>
    <x v="45"/>
    <x v="8"/>
    <n v="11.3"/>
    <n v="295"/>
    <n v="12"/>
    <n v="12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09-01T00:00:00"/>
    <d v="2019-09-01T00:00:00"/>
    <n v="0"/>
    <d v="1901-12-31T00:00:00"/>
    <m/>
    <m/>
    <d v="2019-09-01T00:00:00"/>
    <m/>
    <d v="2019-10-01T00:00:00"/>
    <x v="49"/>
    <x v="6"/>
    <n v="1"/>
    <m/>
    <n v="0"/>
    <m/>
    <n v="0"/>
    <n v="0"/>
    <m/>
    <m/>
    <m/>
    <e v="#DIV/0!"/>
    <m/>
    <m/>
    <s v="négo en cours"/>
    <s v="offres à analyser mais entreprises n'ont pas fait de visite"/>
    <m/>
    <m/>
    <m/>
    <m/>
    <m/>
    <m/>
    <d v="2020-09-01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Bras des Etangs"/>
    <x v="12"/>
    <x v="0"/>
    <x v="7"/>
    <m/>
    <s v="JER"/>
    <s v="NLE"/>
    <x v="5"/>
    <m/>
    <s v="AI 1718"/>
    <s v="AE 44 / 45 /  46 / 48 n'existent plus au cadastre_x000a_récupérer fiche immeuble"/>
    <s v="SODEGIS"/>
    <s v="HOARAU"/>
    <d v="1997-05-19T00:00:00"/>
    <m/>
    <m/>
    <m/>
    <m/>
    <m/>
    <m/>
    <m/>
    <m/>
    <m/>
    <m/>
    <e v="#DIV/0!"/>
    <m/>
    <m/>
    <m/>
    <x v="3"/>
    <n v="31"/>
    <n v="0"/>
    <x v="0"/>
    <x v="2"/>
    <x v="0"/>
    <x v="2"/>
    <m/>
    <m/>
    <m/>
    <m/>
    <m/>
    <m/>
    <m/>
    <m/>
    <m/>
    <m/>
    <m/>
    <m/>
    <m/>
    <m/>
    <m/>
    <m/>
    <m/>
    <m/>
    <m/>
    <m/>
    <m/>
    <m/>
    <m/>
    <d v="2017-10-31T00:00:00"/>
    <m/>
    <m/>
    <m/>
    <m/>
    <d v="2017-12-12T00:00:00"/>
    <d v="2018-05-14T00:00:00"/>
    <d v="2018-08-14T00:00:00"/>
    <m/>
    <d v="2018-05-14T00:00:00"/>
    <d v="2020-05-14T00:00:00"/>
    <d v="2021-05-14T00:00:00"/>
    <m/>
    <s v="non"/>
    <n v="20"/>
    <n v="0"/>
    <n v="0"/>
    <m/>
    <m/>
    <m/>
    <m/>
    <m/>
    <m/>
    <m/>
    <m/>
    <m/>
    <m/>
    <m/>
    <m/>
    <m/>
    <m/>
    <m/>
    <d v="2016-09-19T00:00:00"/>
    <m/>
    <m/>
    <s v="0"/>
    <d v="2017-06-28T00:00:00"/>
    <d v="2017-05-29T00:00:00"/>
    <n v="-30"/>
    <d v="2017-03-15T00:00:00"/>
    <d v="2017-06-07T00:00:00"/>
    <n v="84"/>
    <d v="2017-08-25T00:00:00"/>
    <d v="2017-08-29T00:00:00"/>
    <n v="4"/>
    <d v="2017-08-30T00:00:00"/>
    <d v="2017-08-29T00:00:00"/>
    <n v="-1"/>
    <m/>
    <d v="2018-05-29T00:00:00"/>
    <d v="2017-12-08T00:00:00"/>
    <d v="2018-09-05T00:00:00"/>
    <n v="271"/>
    <d v="2017-12-21T00:00:00"/>
    <x v="45"/>
    <x v="8"/>
    <n v="10.166666666666666"/>
    <n v="254"/>
    <n v="12"/>
    <n v="12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09-01T00:00:00"/>
    <d v="2019-09-01T00:00:00"/>
    <n v="0"/>
    <d v="1901-12-31T00:00:00"/>
    <m/>
    <m/>
    <d v="2019-09-01T00:00:00"/>
    <m/>
    <d v="2019-10-01T00:00:00"/>
    <x v="49"/>
    <x v="6"/>
    <n v="1"/>
    <m/>
    <n v="0"/>
    <m/>
    <n v="0"/>
    <n v="0"/>
    <m/>
    <m/>
    <m/>
    <e v="#DIV/0!"/>
    <m/>
    <m/>
    <s v="négo en cours"/>
    <m/>
    <m/>
    <m/>
    <m/>
    <m/>
    <m/>
    <m/>
    <d v="2020-09-01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Citronnelles"/>
    <x v="2"/>
    <x v="1"/>
    <x v="7"/>
    <m/>
    <s v="JER"/>
    <s v="NLE"/>
    <x v="3"/>
    <m/>
    <s v="BK 1082"/>
    <s v="RAS"/>
    <s v="SODEGIS"/>
    <s v="HOAREAU"/>
    <d v="1993-02-08T00:00:00"/>
    <m/>
    <m/>
    <m/>
    <m/>
    <m/>
    <m/>
    <m/>
    <m/>
    <m/>
    <m/>
    <e v="#DIV/0!"/>
    <m/>
    <m/>
    <m/>
    <x v="3"/>
    <n v="45"/>
    <n v="0"/>
    <x v="0"/>
    <x v="2"/>
    <x v="0"/>
    <x v="3"/>
    <m/>
    <m/>
    <m/>
    <m/>
    <m/>
    <m/>
    <m/>
    <m/>
    <m/>
    <m/>
    <m/>
    <m/>
    <m/>
    <m/>
    <m/>
    <m/>
    <m/>
    <m/>
    <m/>
    <m/>
    <m/>
    <m/>
    <m/>
    <d v="2017-10-24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20"/>
    <n v="0"/>
    <n v="0"/>
    <m/>
    <m/>
    <m/>
    <m/>
    <m/>
    <m/>
    <m/>
    <m/>
    <m/>
    <m/>
    <m/>
    <m/>
    <m/>
    <m/>
    <m/>
    <d v="2016-10-06T00:00:00"/>
    <m/>
    <m/>
    <s v="0"/>
    <d v="2017-05-17T00:00:00"/>
    <d v="2017-05-25T00:00:00"/>
    <n v="8"/>
    <d v="2017-03-20T00:00:00"/>
    <d v="2017-04-28T00:00:00"/>
    <n v="39"/>
    <d v="2017-05-22T00:00:00"/>
    <d v="2018-09-05T00:00:00"/>
    <n v="471"/>
    <d v="2017-08-15T00:00:00"/>
    <d v="2018-09-05T00:00:00"/>
    <n v="386"/>
    <m/>
    <d v="2018-06-19T00:00:00"/>
    <d v="2017-12-05T00:00:00"/>
    <d v="2018-09-05T00:00:00"/>
    <n v="274"/>
    <d v="2017-12-12T00:00:00"/>
    <x v="46"/>
    <x v="8"/>
    <n v="9.5333333333333332"/>
    <n v="237"/>
    <n v="12"/>
    <n v="12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08-06T00:00:00"/>
    <d v="2019-08-06T00:00:00"/>
    <n v="0"/>
    <d v="1901-12-31T00:00:00"/>
    <m/>
    <m/>
    <d v="2019-09-06T00:00:00"/>
    <m/>
    <d v="2019-09-06T00:00:00"/>
    <x v="50"/>
    <x v="6"/>
    <n v="0"/>
    <m/>
    <n v="0"/>
    <m/>
    <n v="0"/>
    <n v="0"/>
    <m/>
    <m/>
    <m/>
    <e v="#DIV/0!"/>
    <m/>
    <m/>
    <s v="AO lancé 13/02 - réception offres 13/03"/>
    <m/>
    <m/>
    <m/>
    <m/>
    <m/>
    <m/>
    <m/>
    <d v="2020-08-06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Hubert Delisle"/>
    <x v="2"/>
    <x v="1"/>
    <x v="7"/>
    <m/>
    <s v="JER"/>
    <s v="NLE"/>
    <x v="3"/>
    <m/>
    <s v="BR 1091"/>
    <s v="pas de justificatif_x000a_récupérer fiche immeuble"/>
    <m/>
    <m/>
    <m/>
    <m/>
    <m/>
    <m/>
    <m/>
    <m/>
    <m/>
    <m/>
    <m/>
    <m/>
    <m/>
    <e v="#DIV/0!"/>
    <m/>
    <m/>
    <m/>
    <x v="3"/>
    <n v="74"/>
    <n v="0"/>
    <x v="0"/>
    <x v="2"/>
    <x v="0"/>
    <x v="4"/>
    <m/>
    <m/>
    <m/>
    <m/>
    <m/>
    <m/>
    <m/>
    <m/>
    <m/>
    <m/>
    <m/>
    <m/>
    <m/>
    <m/>
    <m/>
    <m/>
    <m/>
    <m/>
    <m/>
    <m/>
    <m/>
    <m/>
    <m/>
    <d v="2017-10-31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20"/>
    <n v="0"/>
    <n v="0"/>
    <m/>
    <m/>
    <m/>
    <m/>
    <m/>
    <m/>
    <m/>
    <m/>
    <m/>
    <m/>
    <m/>
    <m/>
    <m/>
    <m/>
    <m/>
    <d v="2016-09-19T00:00:00"/>
    <m/>
    <m/>
    <s v="0"/>
    <d v="2017-05-15T00:00:00"/>
    <d v="2017-05-24T00:00:00"/>
    <n v="9"/>
    <d v="2017-03-20T00:00:00"/>
    <d v="2017-04-26T00:00:00"/>
    <n v="37"/>
    <d v="2017-05-19T00:00:00"/>
    <d v="2017-07-19T00:00:00"/>
    <n v="61"/>
    <d v="2017-07-20T00:00:00"/>
    <d v="2017-07-19T00:00:00"/>
    <n v="-1"/>
    <m/>
    <d v="2018-05-29T00:00:00"/>
    <d v="2017-12-05T00:00:00"/>
    <d v="2018-09-05T00:00:00"/>
    <n v="274"/>
    <d v="2017-12-12T00:00:00"/>
    <x v="46"/>
    <x v="8"/>
    <n v="9.3000000000000007"/>
    <n v="237"/>
    <n v="12"/>
    <n v="12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08-06T00:00:00"/>
    <d v="2019-08-06T00:00:00"/>
    <n v="0"/>
    <d v="1901-12-31T00:00:00"/>
    <m/>
    <m/>
    <d v="2019-09-06T00:00:00"/>
    <m/>
    <d v="2019-09-06T00:00:00"/>
    <x v="50"/>
    <x v="6"/>
    <n v="0"/>
    <m/>
    <n v="0"/>
    <m/>
    <n v="0"/>
    <n v="0"/>
    <n v="111598"/>
    <m/>
    <m/>
    <e v="#DIV/0!"/>
    <m/>
    <m/>
    <s v="négo en cours"/>
    <m/>
    <m/>
    <m/>
    <m/>
    <m/>
    <m/>
    <m/>
    <d v="2020-08-06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Caramboles"/>
    <x v="7"/>
    <x v="1"/>
    <x v="7"/>
    <m/>
    <s v="JER"/>
    <s v="VAF"/>
    <x v="3"/>
    <m/>
    <s v="AP 1375"/>
    <s v="AP 513 / AS 63 - 64 - n'existent plus au cadastre / manque des justificatifs_x000a_récupérer fiche immeuble"/>
    <s v="SODEGIS"/>
    <s v="HOARAU"/>
    <d v="1995-12-16T00:00:00"/>
    <m/>
    <m/>
    <m/>
    <m/>
    <m/>
    <m/>
    <m/>
    <m/>
    <m/>
    <m/>
    <e v="#DIV/0!"/>
    <m/>
    <m/>
    <m/>
    <x v="3"/>
    <n v="6"/>
    <n v="0"/>
    <x v="0"/>
    <x v="2"/>
    <x v="0"/>
    <x v="5"/>
    <m/>
    <m/>
    <m/>
    <m/>
    <m/>
    <m/>
    <m/>
    <m/>
    <m/>
    <m/>
    <m/>
    <m/>
    <m/>
    <m/>
    <m/>
    <m/>
    <m/>
    <m/>
    <m/>
    <m/>
    <m/>
    <m/>
    <m/>
    <d v="2017-09-27T00:00:00"/>
    <m/>
    <m/>
    <m/>
    <m/>
    <d v="2017-12-12T00:00:00"/>
    <d v="2018-05-14T00:00:00"/>
    <d v="2018-08-14T00:00:00"/>
    <m/>
    <d v="2018-05-14T00:00:00"/>
    <d v="2020-05-14T00:00:00"/>
    <d v="2021-05-14T00:00:00"/>
    <m/>
    <s v="non"/>
    <n v="19"/>
    <n v="0"/>
    <n v="0"/>
    <m/>
    <m/>
    <m/>
    <m/>
    <m/>
    <m/>
    <m/>
    <m/>
    <m/>
    <m/>
    <m/>
    <m/>
    <m/>
    <m/>
    <m/>
    <d v="2016-10-06T00:00:00"/>
    <m/>
    <m/>
    <s v="0"/>
    <d v="2017-06-15T00:00:00"/>
    <d v="2017-05-29T00:00:00"/>
    <n v="-17"/>
    <d v="2017-03-20T00:00:00"/>
    <d v="2017-05-26T00:00:00"/>
    <n v="67"/>
    <d v="2017-08-25T00:00:00"/>
    <d v="2018-09-05T00:00:00"/>
    <n v="376"/>
    <d v="2017-08-25T00:00:00"/>
    <d v="2018-09-05T00:00:00"/>
    <n v="376"/>
    <m/>
    <d v="2018-07-15T00:00:00"/>
    <d v="2017-12-05T00:00:00"/>
    <d v="2018-09-05T00:00:00"/>
    <n v="274"/>
    <d v="2017-12-12T00:00:00"/>
    <x v="45"/>
    <x v="8"/>
    <n v="11.3"/>
    <n v="263"/>
    <n v="12"/>
    <n v="12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09-01T00:00:00"/>
    <d v="2019-09-01T00:00:00"/>
    <n v="0"/>
    <d v="1901-12-31T00:00:00"/>
    <m/>
    <m/>
    <d v="2019-10-01T00:00:00"/>
    <m/>
    <d v="2019-10-01T00:00:00"/>
    <x v="51"/>
    <x v="6"/>
    <n v="0"/>
    <m/>
    <n v="0"/>
    <m/>
    <n v="0"/>
    <n v="31250"/>
    <m/>
    <m/>
    <m/>
    <e v="#DIV/0!"/>
    <m/>
    <m/>
    <s v="lancement AO sem 26/02 - voir avec TGI pour enlever toiture du DCE"/>
    <s v="AO à lancer sem 22/01 / voir pour modifier pièces concernant visite obligatoire"/>
    <m/>
    <m/>
    <m/>
    <m/>
    <m/>
    <m/>
    <d v="2020-09-01T00:00:00"/>
    <m/>
    <m/>
    <m/>
    <m/>
    <m/>
    <m/>
    <m/>
    <m/>
    <m/>
    <m/>
    <m/>
    <m/>
    <m/>
    <m/>
    <m/>
    <m/>
    <n v="3125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n v="0"/>
    <m/>
    <m/>
    <n v="31250"/>
    <n v="3125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Bougainvillées"/>
    <x v="6"/>
    <x v="1"/>
    <x v="7"/>
    <m/>
    <s v="JER"/>
    <s v="DBA"/>
    <x v="5"/>
    <m/>
    <s v="BT 607"/>
    <s v="BT 130 / 319 / 111 : seule la BT 111 existe encore à ce jour_x000a_manque justificatifs des autres parcelles_x000a_récupérer fiche immeuble"/>
    <s v="SODEGIS"/>
    <s v="HOAREAU"/>
    <d v="1995-08-03T00:00:00"/>
    <m/>
    <m/>
    <m/>
    <m/>
    <m/>
    <m/>
    <m/>
    <m/>
    <m/>
    <m/>
    <e v="#DIV/0!"/>
    <m/>
    <m/>
    <m/>
    <x v="3"/>
    <n v="26"/>
    <n v="0"/>
    <x v="0"/>
    <x v="2"/>
    <x v="0"/>
    <x v="6"/>
    <m/>
    <m/>
    <m/>
    <m/>
    <m/>
    <m/>
    <m/>
    <m/>
    <m/>
    <m/>
    <m/>
    <m/>
    <m/>
    <m/>
    <m/>
    <m/>
    <m/>
    <m/>
    <m/>
    <m/>
    <m/>
    <m/>
    <m/>
    <d v="2017-09-27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17"/>
    <n v="0"/>
    <n v="0"/>
    <m/>
    <m/>
    <m/>
    <m/>
    <m/>
    <m/>
    <m/>
    <m/>
    <m/>
    <m/>
    <m/>
    <m/>
    <m/>
    <m/>
    <m/>
    <d v="2016-10-06T00:00:00"/>
    <m/>
    <m/>
    <s v="0"/>
    <d v="2017-04-14T00:00:00"/>
    <d v="2017-05-24T00:00:00"/>
    <n v="40"/>
    <d v="2017-03-20T00:00:00"/>
    <d v="2017-02-27T00:00:00"/>
    <n v="-21"/>
    <d v="2017-04-19T00:00:00"/>
    <d v="2018-09-05T00:00:00"/>
    <n v="504"/>
    <d v="2017-08-18T00:00:00"/>
    <d v="2018-09-05T00:00:00"/>
    <n v="383"/>
    <m/>
    <d v="2018-05-29T00:00:00"/>
    <d v="2017-12-14T00:00:00"/>
    <d v="2018-09-05T00:00:00"/>
    <n v="265"/>
    <d v="2017-12-21T00:00:00"/>
    <x v="47"/>
    <x v="8"/>
    <n v="13.8"/>
    <n v="329"/>
    <n v="12"/>
    <n v="12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11-15T00:00:00"/>
    <d v="2019-11-15T00:00:00"/>
    <n v="0"/>
    <d v="1901-12-31T00:00:00"/>
    <m/>
    <m/>
    <d v="2019-12-15T00:00:00"/>
    <m/>
    <d v="2019-12-15T00:00:00"/>
    <x v="52"/>
    <x v="6"/>
    <n v="0"/>
    <m/>
    <n v="0"/>
    <m/>
    <n v="0"/>
    <n v="0"/>
    <m/>
    <m/>
    <m/>
    <n v="0"/>
    <m/>
    <m/>
    <m/>
    <m/>
    <m/>
    <m/>
    <m/>
    <m/>
    <m/>
    <m/>
    <d v="2020-11-15T00:00:00"/>
    <m/>
    <m/>
    <m/>
    <m/>
    <m/>
    <m/>
    <m/>
    <m/>
    <m/>
    <m/>
    <m/>
    <m/>
    <m/>
    <m/>
    <m/>
    <m/>
    <n v="0"/>
    <n v="187500"/>
    <m/>
    <m/>
    <m/>
    <m/>
    <m/>
    <m/>
    <m/>
    <m/>
    <m/>
    <m/>
    <m/>
    <n v="0"/>
    <n v="0"/>
    <m/>
    <m/>
    <m/>
    <m/>
    <m/>
    <n v="0"/>
    <m/>
    <m/>
    <n v="187500"/>
    <m/>
    <n v="1"/>
    <m/>
    <m/>
    <n v="187500"/>
    <n v="7211.5384615384619"/>
    <n v="7211.5384615384619"/>
    <n v="7211.5384615384619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VEFA EQUILIBRE"/>
    <x v="6"/>
    <x v="1"/>
    <x v="7"/>
    <m/>
    <s v="YFR"/>
    <s v="DBA"/>
    <x v="4"/>
    <m/>
    <s v="CI 192"/>
    <m/>
    <m/>
    <m/>
    <m/>
    <n v="10895"/>
    <n v="949780"/>
    <n v="949780"/>
    <n v="25669.72972972973"/>
    <n v="87.175768701239107"/>
    <n v="87.175768701239107"/>
    <n v="296.99372729035201"/>
    <n v="25669.72972972973"/>
    <n v="294.45945945945948"/>
    <m/>
    <n v="0.2935273061037173"/>
    <m/>
    <n v="650"/>
    <m/>
    <x v="0"/>
    <n v="37"/>
    <n v="37"/>
    <x v="0"/>
    <x v="32"/>
    <x v="0"/>
    <x v="0"/>
    <n v="2660.51"/>
    <n v="3196.53"/>
    <n v="3197.98"/>
    <n v="3197.98"/>
    <n v="86.431891891891894"/>
    <m/>
    <m/>
    <m/>
    <m/>
    <m/>
    <m/>
    <m/>
    <m/>
    <m/>
    <s v="MDV"/>
    <m/>
    <n v="6377000"/>
    <m/>
    <d v="2017-01-26T00:00:00"/>
    <d v="2017-01-26T00:00:00"/>
    <s v="SO"/>
    <m/>
    <m/>
    <d v="2017-09-20T00:00:00"/>
    <m/>
    <m/>
    <m/>
    <m/>
    <d v="2018-07-11T00:00:00"/>
    <d v="2018-08-11T00:00:00"/>
    <d v="2018-11-11T00:00:00"/>
    <m/>
    <d v="2018-08-11T00:00:00"/>
    <d v="2020-08-11T00:00:00"/>
    <d v="2021-08-11T00:00:00"/>
    <m/>
    <s v="non"/>
    <n v="15"/>
    <n v="0"/>
    <n v="0"/>
    <m/>
    <m/>
    <m/>
    <m/>
    <m/>
    <m/>
    <m/>
    <m/>
    <m/>
    <n v="6377000.5999999996"/>
    <m/>
    <m/>
    <m/>
    <m/>
    <m/>
    <m/>
    <m/>
    <m/>
    <s v="0"/>
    <m/>
    <m/>
    <s v="0"/>
    <m/>
    <m/>
    <s v="0"/>
    <m/>
    <m/>
    <s v="0"/>
    <m/>
    <d v="2018-09-05T00:00:00"/>
    <s v="0"/>
    <m/>
    <m/>
    <m/>
    <d v="2018-09-05T00:00:00"/>
    <s v="0"/>
    <m/>
    <x v="48"/>
    <x v="8"/>
    <n v="13.3"/>
    <s v="0"/>
    <n v="17"/>
    <n v="18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0-03-24T00:00:00"/>
    <d v="2020-04-24T00:00:00"/>
    <n v="1.0333333333333334"/>
    <d v="1901-12-31T00:00:00"/>
    <m/>
    <m/>
    <d v="2020-04-24T00:00:00"/>
    <m/>
    <d v="2020-04-24T00:00:00"/>
    <x v="53"/>
    <x v="6"/>
    <n v="0"/>
    <m/>
    <n v="0"/>
    <m/>
    <n v="0"/>
    <n v="0"/>
    <m/>
    <m/>
    <m/>
    <n v="0"/>
    <m/>
    <m/>
    <s v="courrier de MAP financière / technique faite au promoteur"/>
    <m/>
    <m/>
    <m/>
    <m/>
    <m/>
    <m/>
    <m/>
    <d v="2021-04-24T00:00:00"/>
    <m/>
    <m/>
    <m/>
    <m/>
    <m/>
    <m/>
    <m/>
    <m/>
    <m/>
    <m/>
    <m/>
    <m/>
    <m/>
    <m/>
    <m/>
    <m/>
    <n v="6545033"/>
    <n v="6863538.2000000002"/>
    <n v="318505.20000000019"/>
    <n v="2147.1840401935847"/>
    <n v="185501.03243243243"/>
    <m/>
    <n v="6233418.6500000004"/>
    <n v="6233418.6500000004"/>
    <n v="0.92726524661143417"/>
    <n v="0.4"/>
    <n v="1969908"/>
    <n v="2271739"/>
    <m/>
    <n v="61398.351351351354"/>
    <n v="301831"/>
    <n v="3915125"/>
    <n v="3931799.2"/>
    <n v="1087640.28"/>
    <n v="2844158.92"/>
    <n v="16674.200000000186"/>
    <n v="106264.84324324325"/>
    <m/>
    <n v="660000"/>
    <n v="660000"/>
    <m/>
    <n v="9.6160315680912212E-2"/>
    <m/>
    <m/>
    <n v="0"/>
    <n v="17837.837837837837"/>
    <n v="79236.189189189186"/>
    <n v="0"/>
    <n v="5.15"/>
    <n v="5.0999999999999996"/>
    <m/>
    <m/>
    <n v="71078.5945945946"/>
    <m/>
    <n v="79236.189189189186"/>
    <n v="0.4018173781553126"/>
    <m/>
    <m/>
    <n v="0"/>
    <n v="654503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Fourragères "/>
    <x v="11"/>
    <x v="0"/>
    <x v="7"/>
    <s v="PRLC 0184"/>
    <s v="FVA"/>
    <s v="GGO"/>
    <x v="3"/>
    <m/>
    <s v="AD 133"/>
    <s v="avenant 1 EPFR  signé - acquisition à mai 2018"/>
    <m/>
    <m/>
    <m/>
    <n v="5443"/>
    <n v="381010"/>
    <n v="381010"/>
    <n v="18143.333333333332"/>
    <n v="70"/>
    <n v="70"/>
    <n v="238.72208716573519"/>
    <n v="18143.333333333332"/>
    <n v="259.1904761904762"/>
    <m/>
    <n v="0.29322799926511117"/>
    <m/>
    <n v="900"/>
    <m/>
    <x v="0"/>
    <n v="21"/>
    <n v="21"/>
    <x v="0"/>
    <x v="23"/>
    <x v="0"/>
    <x v="0"/>
    <m/>
    <n v="1580.35"/>
    <m/>
    <n v="1596.04"/>
    <n v="76.001904761904754"/>
    <m/>
    <m/>
    <m/>
    <m/>
    <m/>
    <m/>
    <m/>
    <m/>
    <m/>
    <s v="MDV"/>
    <m/>
    <m/>
    <m/>
    <d v="2017-01-26T00:00:00"/>
    <m/>
    <s v="SO"/>
    <m/>
    <m/>
    <d v="2017-10-09T00:00:00"/>
    <d v="2017-11-06T00:00:00"/>
    <m/>
    <m/>
    <m/>
    <d v="2018-03-09T00:00:00"/>
    <d v="2018-05-29T00:00:00"/>
    <d v="2018-08-29T00:00:00"/>
    <d v="2018-06-12T00:00:00"/>
    <d v="2018-05-29T00:00:00"/>
    <d v="2020-05-29T00:00:00"/>
    <d v="2021-05-29T00:00:00"/>
    <n v="86976"/>
    <s v="non"/>
    <n v="12"/>
    <n v="102276"/>
    <n v="0"/>
    <m/>
    <m/>
    <m/>
    <m/>
    <m/>
    <m/>
    <m/>
    <m/>
    <m/>
    <m/>
    <m/>
    <m/>
    <m/>
    <s v="SO"/>
    <m/>
    <d v="2016-08-03T00:00:00"/>
    <d v="2016-08-18T00:00:00"/>
    <d v="2016-08-03T00:00:00"/>
    <n v="-15"/>
    <d v="2017-01-05T00:00:00"/>
    <d v="2017-01-16T00:00:00"/>
    <n v="11"/>
    <d v="2017-01-16T00:00:00"/>
    <d v="2017-01-09T00:00:00"/>
    <n v="-7"/>
    <d v="2017-03-09T00:00:00"/>
    <d v="2017-04-12T00:00:00"/>
    <n v="34"/>
    <d v="2017-06-09T00:00:00"/>
    <d v="2017-07-31T00:00:00"/>
    <n v="52"/>
    <m/>
    <d v="2018-08-14T00:00:00"/>
    <d v="2018-02-13T00:00:00"/>
    <d v="2018-09-05T00:00:00"/>
    <n v="204"/>
    <d v="2018-02-28T00:00:00"/>
    <x v="49"/>
    <x v="8"/>
    <n v="13.9"/>
    <n v="275"/>
    <n v="16"/>
    <n v="17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0-03-30T00:00:00"/>
    <d v="2020-04-30T00:00:00"/>
    <n v="1.0333333333333334"/>
    <d v="1901-12-31T00:00:00"/>
    <m/>
    <m/>
    <d v="2020-04-30T00:00:00"/>
    <m/>
    <d v="2020-04-30T00:00:00"/>
    <x v="54"/>
    <x v="6"/>
    <n v="0"/>
    <n v="8523"/>
    <n v="0"/>
    <m/>
    <n v="200000"/>
    <n v="0"/>
    <m/>
    <m/>
    <m/>
    <n v="0"/>
    <m/>
    <m/>
    <m/>
    <s v="retard lancement AO : pb ramassage ordures ménagères_x000a_faire la demande de prêt"/>
    <m/>
    <m/>
    <m/>
    <m/>
    <m/>
    <m/>
    <d v="2021-04-30T00:00:00"/>
    <m/>
    <m/>
    <m/>
    <m/>
    <m/>
    <m/>
    <m/>
    <m/>
    <m/>
    <m/>
    <m/>
    <m/>
    <m/>
    <m/>
    <m/>
    <m/>
    <n v="3723712.87"/>
    <n v="3855417"/>
    <n v="131704.12999999989"/>
    <n v="2439.5969247318635"/>
    <n v="183591.28571428571"/>
    <m/>
    <n v="3634508"/>
    <n v="3634508"/>
    <n v="0.96249839329960929"/>
    <m/>
    <n v="1246192.3500000001"/>
    <n v="1158434"/>
    <n v="1158434"/>
    <n v="55163.523809523809"/>
    <n v="-87758.350000000093"/>
    <n v="1810436.52"/>
    <n v="2029899"/>
    <n v="598878"/>
    <n v="1431021"/>
    <n v="219462.47999999998"/>
    <n v="96661.857142857145"/>
    <m/>
    <n v="504000"/>
    <n v="504000"/>
    <m/>
    <n v="0.13072515891277131"/>
    <m/>
    <n v="163084"/>
    <n v="0"/>
    <n v="24000"/>
    <n v="79163.523809523816"/>
    <n v="0"/>
    <n v="5.35"/>
    <n v="5.34"/>
    <m/>
    <m/>
    <n v="83342.492857142861"/>
    <m/>
    <n v="79163.523809523816"/>
    <n v="0.47001270267113804"/>
    <m/>
    <m/>
    <n v="0"/>
    <n v="3723712.87"/>
    <n v="191612"/>
    <n v="105386"/>
    <d v="2016-07-28T00:00:00"/>
    <n v="17147"/>
    <m/>
    <m/>
    <d v="2016-12-12T00:00:00"/>
    <n v="0"/>
    <d v="2016-12-12T00:00:00"/>
    <n v="28305"/>
    <d v="2017-03-24T00:00:00"/>
    <n v="21612"/>
    <n v="42915"/>
    <n v="28742"/>
    <m/>
    <m/>
    <d v="2017-09-11T00:00:00"/>
    <n v="9580"/>
    <m/>
    <m/>
    <m/>
    <m/>
    <m/>
    <m/>
    <m/>
    <m/>
    <m/>
    <m/>
    <m/>
    <m/>
    <n v="28305"/>
    <m/>
    <m/>
    <m/>
    <m/>
    <m/>
  </r>
  <r>
    <s v="Californie"/>
    <x v="2"/>
    <x v="1"/>
    <x v="7"/>
    <s v="PRLC 0186"/>
    <s v="ADE"/>
    <s v="DBA"/>
    <x v="3"/>
    <m/>
    <s v="EK 286"/>
    <s v="Avenant EPFR signé_x000a_Convention avec riverain signée"/>
    <m/>
    <m/>
    <m/>
    <n v="1976"/>
    <n v="300000"/>
    <m/>
    <n v="12500"/>
    <n v="151.82186234817814"/>
    <n v="0"/>
    <n v="0"/>
    <n v="0"/>
    <n v="82.333333333333329"/>
    <m/>
    <n v="0.90862348178137653"/>
    <s v="UB"/>
    <n v="590"/>
    <m/>
    <x v="0"/>
    <n v="24"/>
    <n v="24"/>
    <x v="0"/>
    <x v="12"/>
    <x v="0"/>
    <x v="0"/>
    <m/>
    <n v="1779.08"/>
    <m/>
    <n v="1795.44"/>
    <n v="74.81"/>
    <n v="0.125"/>
    <n v="0.375"/>
    <n v="0.25"/>
    <n v="0.125"/>
    <n v="0.125"/>
    <m/>
    <m/>
    <m/>
    <n v="4"/>
    <s v="collectif"/>
    <s v="oui"/>
    <m/>
    <m/>
    <d v="2017-01-26T00:00:00"/>
    <m/>
    <s v="SO"/>
    <m/>
    <m/>
    <d v="2017-06-30T00:00:00"/>
    <d v="2017-10-02T00:00:00"/>
    <m/>
    <m/>
    <m/>
    <d v="2018-06-28T00:00:00"/>
    <d v="2018-07-28T00:00:00"/>
    <d v="2018-10-28T00:00:00"/>
    <m/>
    <d v="2018-07-28T00:00:00"/>
    <d v="2020-07-28T00:00:00"/>
    <d v="2021-07-28T00:00:00"/>
    <n v="60415"/>
    <s v="non"/>
    <n v="14"/>
    <n v="135912"/>
    <n v="0"/>
    <m/>
    <m/>
    <m/>
    <m/>
    <m/>
    <m/>
    <m/>
    <m/>
    <m/>
    <m/>
    <m/>
    <m/>
    <m/>
    <s v="SO"/>
    <m/>
    <d v="2016-08-01T00:00:00"/>
    <d v="2016-08-16T00:00:00"/>
    <d v="2016-08-01T00:00:00"/>
    <n v="-15"/>
    <d v="2016-11-18T00:00:00"/>
    <d v="2016-11-21T00:00:00"/>
    <n v="3"/>
    <d v="2017-01-18T00:00:00"/>
    <d v="2017-01-16T00:00:00"/>
    <n v="-2"/>
    <d v="2017-04-04T00:00:00"/>
    <d v="2017-12-14T00:00:00"/>
    <n v="254"/>
    <d v="2017-06-19T00:00:00"/>
    <d v="2018-03-30T00:00:00"/>
    <n v="284"/>
    <m/>
    <d v="2018-09-01T00:00:00"/>
    <d v="2018-02-23T00:00:00"/>
    <d v="2018-09-05T00:00:00"/>
    <n v="194"/>
    <d v="2018-03-08T00:00:00"/>
    <x v="47"/>
    <x v="8"/>
    <n v="16.766666666666666"/>
    <n v="252"/>
    <n v="15"/>
    <n v="16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0-02-15T00:00:00"/>
    <d v="2020-03-15T00:00:00"/>
    <n v="0.96666666666666667"/>
    <d v="1901-12-31T00:00:00"/>
    <m/>
    <m/>
    <d v="2020-04-15T00:00:00"/>
    <m/>
    <d v="2020-03-15T00:00:00"/>
    <x v="55"/>
    <x v="6"/>
    <n v="2.0333333333333332"/>
    <n v="9708"/>
    <n v="19739.599999999999"/>
    <m/>
    <n v="0"/>
    <n v="0"/>
    <n v="35735"/>
    <m/>
    <m/>
    <n v="0"/>
    <m/>
    <m/>
    <s v="caler réunion validation PRO semaine 26/02"/>
    <m/>
    <m/>
    <m/>
    <m/>
    <m/>
    <m/>
    <m/>
    <d v="2021-03-15T00:00:00"/>
    <m/>
    <m/>
    <m/>
    <m/>
    <m/>
    <m/>
    <m/>
    <m/>
    <m/>
    <m/>
    <m/>
    <m/>
    <m/>
    <m/>
    <m/>
    <m/>
    <n v="3891130.6767742028"/>
    <n v="3965464"/>
    <n v="74333.323225797154"/>
    <n v="2228.9408008633677"/>
    <n v="165227.66666666666"/>
    <n v="3537549.5398594467"/>
    <n v="3653732"/>
    <n v="116182.4601405533"/>
    <n v="0.94073741988327209"/>
    <n v="0.4"/>
    <n v="1224437.8025662941"/>
    <n v="1275241"/>
    <m/>
    <n v="53135.041666666664"/>
    <m/>
    <n v="2131692.8742079088"/>
    <n v="2155223"/>
    <n v="416308"/>
    <n v="1738915"/>
    <n v="23530.125792091247"/>
    <n v="89800.958333333328"/>
    <m/>
    <n v="480000"/>
    <n v="480000"/>
    <m/>
    <n v="0.12104510342295378"/>
    <m/>
    <n v="55000"/>
    <n v="0"/>
    <n v="20000"/>
    <n v="73135.041666666672"/>
    <n v="0"/>
    <n v="5.38"/>
    <n v="5.38"/>
    <m/>
    <m/>
    <n v="71018.241773595582"/>
    <m/>
    <n v="73135.041666666672"/>
    <n v="0.43803149884940251"/>
    <m/>
    <m/>
    <n v="0"/>
    <n v="3891130.6767742028"/>
    <n v="193785"/>
    <n v="97910"/>
    <d v="2016-07-11T00:00:00"/>
    <n v="19202"/>
    <m/>
    <m/>
    <s v="14/12/2016_x000a_21/02/17"/>
    <n v="9745"/>
    <d v="2016-11-22T00:00:00"/>
    <n v="18750"/>
    <d v="2017-04-12T00:00:00"/>
    <n v="29816"/>
    <d v="2018-03-22T00:00:00"/>
    <n v="20397"/>
    <m/>
    <m/>
    <m/>
    <m/>
    <m/>
    <m/>
    <m/>
    <m/>
    <m/>
    <m/>
    <m/>
    <m/>
    <m/>
    <m/>
    <m/>
    <m/>
    <n v="18750"/>
    <m/>
    <m/>
    <m/>
    <m/>
    <m/>
  </r>
  <r>
    <s v="Dakota "/>
    <x v="2"/>
    <x v="1"/>
    <x v="7"/>
    <s v="PRLC 0187"/>
    <s v="ADE"/>
    <s v="VAF"/>
    <x v="3"/>
    <m/>
    <s v="EK 250"/>
    <s v="manque terrain communal à acheter en mai 2018 : veiller à ce que les abonnements soient résiliés / prorogation à demander à Mairie"/>
    <m/>
    <m/>
    <m/>
    <n v="1953"/>
    <n v="452000"/>
    <m/>
    <n v="17384.615384615383"/>
    <n v="231.43881208397337"/>
    <n v="0"/>
    <n v="0"/>
    <n v="0"/>
    <n v="75.115384615384613"/>
    <m/>
    <n v="0.87758320532514089"/>
    <s v="UB"/>
    <n v="590"/>
    <m/>
    <x v="0"/>
    <n v="26"/>
    <n v="26"/>
    <x v="0"/>
    <x v="33"/>
    <x v="0"/>
    <x v="0"/>
    <m/>
    <n v="1730.4"/>
    <m/>
    <n v="1713.92"/>
    <n v="65.92"/>
    <m/>
    <n v="1"/>
    <m/>
    <m/>
    <m/>
    <m/>
    <m/>
    <m/>
    <n v="4"/>
    <s v="collectif"/>
    <s v="oui"/>
    <m/>
    <m/>
    <d v="2016-11-17T00:00:00"/>
    <m/>
    <s v="SO"/>
    <m/>
    <m/>
    <d v="2017-08-23T00:00:00"/>
    <d v="2017-09-21T00:00:00"/>
    <m/>
    <m/>
    <m/>
    <d v="2018-07-20T00:00:00"/>
    <d v="2018-08-20T00:00:00"/>
    <d v="2018-11-20T00:00:00"/>
    <m/>
    <d v="2018-08-20T00:00:00"/>
    <d v="2020-08-20T00:00:00"/>
    <d v="2021-08-20T00:00:00"/>
    <n v="58181"/>
    <s v="non"/>
    <n v="10"/>
    <n v="96539.799999999988"/>
    <n v="0"/>
    <m/>
    <m/>
    <m/>
    <m/>
    <m/>
    <m/>
    <m/>
    <m/>
    <m/>
    <m/>
    <m/>
    <m/>
    <m/>
    <s v="SO"/>
    <m/>
    <d v="2016-08-04T00:00:00"/>
    <d v="2016-08-19T00:00:00"/>
    <d v="2016-08-04T00:00:00"/>
    <n v="-15"/>
    <d v="2016-12-02T00:00:00"/>
    <d v="2016-11-30T00:00:00"/>
    <n v="-2"/>
    <d v="2017-01-23T00:00:00"/>
    <d v="2017-01-23T00:00:00"/>
    <n v="0"/>
    <d v="2017-03-24T00:00:00"/>
    <d v="2017-06-12T00:00:00"/>
    <n v="80"/>
    <d v="2017-06-09T00:00:00"/>
    <d v="2018-05-31T00:00:00"/>
    <n v="356"/>
    <m/>
    <d v="2018-09-15T00:00:00"/>
    <d v="2018-02-13T00:00:00"/>
    <d v="2018-09-05T00:00:00"/>
    <n v="204"/>
    <d v="2018-02-28T00:00:00"/>
    <x v="50"/>
    <x v="8"/>
    <n v="19.533333333333335"/>
    <n v="397"/>
    <n v="15"/>
    <n v="16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0-07-01T00:00:00"/>
    <d v="2020-08-01T00:00:00"/>
    <n v="1.0333333333333334"/>
    <d v="1901-12-31T00:00:00"/>
    <m/>
    <m/>
    <d v="2020-09-01T00:00:00"/>
    <m/>
    <d v="2020-08-01T00:00:00"/>
    <x v="56"/>
    <x v="6"/>
    <n v="2.0333333333333332"/>
    <n v="9653.98"/>
    <n v="19629.759333333332"/>
    <m/>
    <n v="0"/>
    <n v="0"/>
    <m/>
    <m/>
    <m/>
    <n v="0"/>
    <m/>
    <m/>
    <m/>
    <m/>
    <m/>
    <m/>
    <m/>
    <m/>
    <m/>
    <m/>
    <d v="2021-08-01T00:00:00"/>
    <m/>
    <m/>
    <m/>
    <m/>
    <m/>
    <m/>
    <m/>
    <m/>
    <m/>
    <m/>
    <m/>
    <m/>
    <m/>
    <m/>
    <m/>
    <m/>
    <n v="3882412.99"/>
    <n v="3863382"/>
    <n v="-19030.990000000224"/>
    <n v="2232.6525658807209"/>
    <n v="148591.61538461538"/>
    <n v="3207102"/>
    <n v="3765886"/>
    <n v="558784"/>
    <n v="0.99523412543724632"/>
    <n v="0.4"/>
    <n v="1296385.9099999999"/>
    <n v="1301816"/>
    <m/>
    <n v="50069.846153846156"/>
    <n v="5430.0900000000838"/>
    <n v="2030427.08"/>
    <n v="2005966"/>
    <n v="482453"/>
    <n v="1523513"/>
    <n v="-24461.080000000075"/>
    <n v="77152.538461538468"/>
    <m/>
    <n v="520000"/>
    <n v="520000"/>
    <m/>
    <n v="0.13459709653355531"/>
    <m/>
    <n v="35600"/>
    <n v="0"/>
    <n v="20000"/>
    <n v="70069.846153846156"/>
    <n v="0"/>
    <n v="5.56"/>
    <n v="5.55"/>
    <m/>
    <m/>
    <n v="69860.996538461535"/>
    <m/>
    <n v="70069.846153846156"/>
    <n v="0.46784974052953593"/>
    <m/>
    <m/>
    <n v="0"/>
    <n v="3863382"/>
    <n v="221723"/>
    <n v="110862"/>
    <d v="2016-07-11T00:00:00"/>
    <n v="23880"/>
    <m/>
    <m/>
    <s v="14/12/2016_x000a_21/02/17"/>
    <n v="15414"/>
    <d v="2016-11-23T00:00:00"/>
    <n v="17422"/>
    <d v="2017-05-22T00:00:00"/>
    <n v="20757"/>
    <n v="43075"/>
    <n v="33389"/>
    <m/>
    <m/>
    <m/>
    <m/>
    <m/>
    <m/>
    <m/>
    <m/>
    <m/>
    <m/>
    <m/>
    <m/>
    <m/>
    <m/>
    <m/>
    <m/>
    <n v="17422"/>
    <m/>
    <m/>
    <m/>
    <m/>
    <m/>
  </r>
  <r>
    <s v="INDIGO Tranche 1"/>
    <x v="3"/>
    <x v="2"/>
    <x v="7"/>
    <s v="PRLC 0185"/>
    <s v="APU"/>
    <s v="DBE"/>
    <x v="6"/>
    <m/>
    <s v="DD783 / 1298"/>
    <s v="_x000a_attente protocole DD 1298 pour prendre possession des lieux_x000a_lancer procédure expulsion bungalow"/>
    <m/>
    <m/>
    <m/>
    <n v="11037"/>
    <n v="705655.44208162103"/>
    <m/>
    <n v="8400.6600247812021"/>
    <n v="63.935439166587031"/>
    <n v="0"/>
    <n v="0"/>
    <n v="0"/>
    <n v="131.39285714285714"/>
    <m/>
    <n v="0.58915284950620639"/>
    <m/>
    <m/>
    <m/>
    <x v="0"/>
    <n v="84"/>
    <n v="84"/>
    <x v="0"/>
    <x v="34"/>
    <x v="0"/>
    <x v="0"/>
    <m/>
    <n v="6502.48"/>
    <m/>
    <n v="6502.48"/>
    <n v="77.410476190476189"/>
    <m/>
    <m/>
    <m/>
    <m/>
    <m/>
    <m/>
    <m/>
    <m/>
    <m/>
    <s v="collectif"/>
    <s v="oui"/>
    <m/>
    <m/>
    <s v="30/08/2016_x000a_01/02/17"/>
    <m/>
    <s v="SO"/>
    <m/>
    <m/>
    <d v="2017-07-13T00:00:00"/>
    <d v="2017-10-02T00:00:00"/>
    <s v="SO"/>
    <s v="SO"/>
    <s v="SO"/>
    <d v="2018-08-14T00:00:00"/>
    <d v="2018-09-14T00:00:00"/>
    <d v="2018-12-14T00:00:00"/>
    <m/>
    <d v="2018-09-14T00:00:00"/>
    <d v="2020-09-14T00:00:00"/>
    <d v="2021-09-14T00:00:00"/>
    <n v="206701"/>
    <s v="non"/>
    <n v="4"/>
    <n v="138312"/>
    <n v="-68389"/>
    <m/>
    <m/>
    <m/>
    <m/>
    <m/>
    <m/>
    <m/>
    <m/>
    <m/>
    <m/>
    <m/>
    <m/>
    <m/>
    <s v="SO"/>
    <m/>
    <d v="2016-09-06T00:00:00"/>
    <d v="2016-09-06T00:00:00"/>
    <d v="2016-09-06T00:00:00"/>
    <n v="0"/>
    <d v="2017-02-27T00:00:00"/>
    <d v="2017-02-09T00:00:00"/>
    <n v="-18"/>
    <d v="2017-02-06T00:00:00"/>
    <d v="2017-02-28T00:00:00"/>
    <n v="22"/>
    <d v="2017-04-10T00:00:00"/>
    <d v="2018-09-05T00:00:00"/>
    <n v="513"/>
    <d v="2018-02-12T00:00:00"/>
    <d v="2018-09-05T00:00:00"/>
    <n v="205"/>
    <m/>
    <m/>
    <d v="2018-07-27T00:00:00"/>
    <d v="2018-09-05T00:00:00"/>
    <n v="40"/>
    <d v="2018-08-10T00:00:00"/>
    <x v="51"/>
    <x v="8"/>
    <n v="18.666666666666668"/>
    <n v="167"/>
    <n v="24"/>
    <n v="25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1-01-24T00:00:00"/>
    <d v="2021-02-24T00:00:00"/>
    <n v="1.0333333333333334"/>
    <d v="1901-12-31T00:00:00"/>
    <m/>
    <m/>
    <d v="2021-03-24T00:00:00"/>
    <m/>
    <d v="2021-02-24T00:00:00"/>
    <x v="57"/>
    <x v="6"/>
    <n v="1.9666666666666666"/>
    <n v="34578"/>
    <n v="68003.399999999994"/>
    <m/>
    <n v="0"/>
    <n v="0"/>
    <m/>
    <m/>
    <m/>
    <n v="0"/>
    <m/>
    <m/>
    <s v="PRO à recevoir en 02/18 - PC modif à déposer"/>
    <m/>
    <m/>
    <m/>
    <m/>
    <m/>
    <m/>
    <m/>
    <d v="2022-02-24T00:00:00"/>
    <m/>
    <m/>
    <m/>
    <m/>
    <m/>
    <m/>
    <m/>
    <m/>
    <m/>
    <m/>
    <m/>
    <m/>
    <m/>
    <m/>
    <m/>
    <m/>
    <n v="12734880"/>
    <n v="12677323"/>
    <n v="-57557"/>
    <n v="1949.6135320677649"/>
    <n v="150920.51190476189"/>
    <n v="14981542.360255377"/>
    <n v="10898468"/>
    <n v="-4083074.3602553774"/>
    <n v="0.87773545156181632"/>
    <n v="0.4"/>
    <n v="3890729"/>
    <n v="3808325"/>
    <m/>
    <n v="45337.202380952382"/>
    <n v="-82404"/>
    <n v="7274595"/>
    <n v="7299442"/>
    <n v="1108476"/>
    <n v="6190966"/>
    <n v="24847"/>
    <n v="86898.119047619053"/>
    <m/>
    <n v="1512000"/>
    <n v="1512000"/>
    <m/>
    <n v="0.11926808207063905"/>
    <m/>
    <n v="57556"/>
    <n v="0"/>
    <n v="18000"/>
    <n v="63337.202380952382"/>
    <n v="0"/>
    <n v="5.31"/>
    <n v="5.05"/>
    <m/>
    <m/>
    <n v="64318.202380952382"/>
    <m/>
    <n v="63337.202380952382"/>
    <n v="0.4242465574862111"/>
    <m/>
    <m/>
    <n v="0"/>
    <n v="12734880"/>
    <n v="638743"/>
    <n v="319371"/>
    <d v="2016-08-23T00:00:00"/>
    <n v="110767"/>
    <m/>
    <m/>
    <d v="2016-12-12T00:00:00"/>
    <n v="22977"/>
    <d v="2017-02-28T00:00:00"/>
    <n v="22994"/>
    <d v="2017-07-10T00:00:00"/>
    <n v="62867"/>
    <d v="2018-07-09T00:00:00"/>
    <n v="99766"/>
    <m/>
    <m/>
    <m/>
    <m/>
    <m/>
    <m/>
    <m/>
    <m/>
    <m/>
    <m/>
    <m/>
    <m/>
    <m/>
    <m/>
    <m/>
    <m/>
    <n v="22994"/>
    <m/>
    <m/>
    <m/>
    <m/>
    <m/>
  </r>
  <r>
    <s v="VEFA CROUS Tampon"/>
    <x v="2"/>
    <x v="1"/>
    <x v="8"/>
    <s v="PRLC 0194"/>
    <s v="FVA"/>
    <s v="GGO"/>
    <x v="2"/>
    <m/>
    <s v="BW 683 p"/>
    <m/>
    <m/>
    <m/>
    <m/>
    <n v="1952"/>
    <n v="1"/>
    <m/>
    <n v="0.01"/>
    <n v="5.1229508196721314E-4"/>
    <n v="0"/>
    <n v="0"/>
    <n v="0"/>
    <n v="19.52"/>
    <m/>
    <n v="0.98538422131147541"/>
    <m/>
    <n v="500"/>
    <m/>
    <x v="2"/>
    <n v="100"/>
    <n v="100"/>
    <x v="0"/>
    <x v="2"/>
    <x v="2"/>
    <x v="0"/>
    <n v="1701.83"/>
    <n v="1868.31"/>
    <n v="1923.47"/>
    <n v="1923.47"/>
    <n v="19.2347"/>
    <m/>
    <m/>
    <m/>
    <m/>
    <m/>
    <m/>
    <m/>
    <m/>
    <m/>
    <s v="collectif"/>
    <s v="oui"/>
    <n v="5763615"/>
    <m/>
    <m/>
    <m/>
    <m/>
    <m/>
    <m/>
    <d v="2018-01-02T00:00:00"/>
    <d v="2018-01-16T00:00:00"/>
    <m/>
    <m/>
    <m/>
    <d v="2018-01-12T00:00:00"/>
    <d v="2018-02-13T00:00:00"/>
    <m/>
    <d v="2018-03-01T00:00:00"/>
    <d v="2018-02-13T00:00:00"/>
    <d v="2020-02-13T00:00:00"/>
    <d v="2021-02-13T00:00:00"/>
    <m/>
    <s v="non"/>
    <n v="17"/>
    <n v="0"/>
    <n v="0"/>
    <s v="ok"/>
    <d v="2018-03-04T00:00:00"/>
    <m/>
    <d v="2018-03-19T00:00:00"/>
    <m/>
    <m/>
    <m/>
    <m/>
    <m/>
    <m/>
    <m/>
    <m/>
    <m/>
    <m/>
    <n v="1456.4333333333334"/>
    <m/>
    <m/>
    <m/>
    <s v="0"/>
    <d v="2017-02-09T00:00:00"/>
    <d v="2017-05-16T00:00:00"/>
    <n v="96"/>
    <m/>
    <m/>
    <s v="0"/>
    <m/>
    <m/>
    <s v="0"/>
    <m/>
    <m/>
    <s v="0"/>
    <m/>
    <m/>
    <m/>
    <m/>
    <s v="0"/>
    <m/>
    <x v="52"/>
    <x v="7"/>
    <n v="2.2000000000000002"/>
    <s v="0"/>
    <n v="17"/>
    <n v="17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08-09T00:00:00"/>
    <d v="2019-08-09T00:00:00"/>
    <n v="0"/>
    <d v="1901-12-31T00:00:00"/>
    <m/>
    <m/>
    <d v="2019-09-09T00:00:00"/>
    <m/>
    <d v="2019-09-09T00:00:00"/>
    <x v="48"/>
    <x v="6"/>
    <n v="0.8"/>
    <m/>
    <n v="0"/>
    <m/>
    <n v="0"/>
    <n v="0"/>
    <m/>
    <m/>
    <m/>
    <n v="0"/>
    <m/>
    <m/>
    <m/>
    <s v="contrat de prêt à recevoir en février 2018 / délib garantie CM 24/02 / VEFA à signer fin fév 18 au + tard"/>
    <m/>
    <m/>
    <m/>
    <m/>
    <m/>
    <m/>
    <d v="2020-08-09T00:00:00"/>
    <m/>
    <m/>
    <m/>
    <m/>
    <m/>
    <m/>
    <m/>
    <m/>
    <m/>
    <m/>
    <m/>
    <m/>
    <m/>
    <m/>
    <m/>
    <m/>
    <n v="6236911"/>
    <n v="6236911"/>
    <n v="0"/>
    <n v="3338.263457349155"/>
    <n v="62369.11"/>
    <m/>
    <m/>
    <n v="0"/>
    <n v="0"/>
    <n v="0.4"/>
    <n v="1736993"/>
    <n v="1736993"/>
    <n v="1736993"/>
    <n v="17369.93"/>
    <m/>
    <n v="3189669"/>
    <n v="3189669"/>
    <m/>
    <m/>
    <n v="0"/>
    <n v="31896.69"/>
    <m/>
    <m/>
    <m/>
    <m/>
    <n v="0"/>
    <m/>
    <n v="1310249"/>
    <n v="0"/>
    <n v="0"/>
    <n v="17369.93"/>
    <n v="0"/>
    <n v="6.31"/>
    <m/>
    <m/>
    <m/>
    <n v="17369.93"/>
    <m/>
    <n v="17369.93"/>
    <n v="0.27850213030136234"/>
    <m/>
    <m/>
    <m/>
    <n v="6236911"/>
    <n v="196296"/>
    <n v="98148"/>
    <m/>
    <m/>
    <m/>
    <m/>
    <m/>
    <m/>
    <d v="2016-12-31T00:00:00"/>
    <n v="46179"/>
    <d v="2017-12-05T00:00:00"/>
    <n v="22525"/>
    <m/>
    <m/>
    <m/>
    <m/>
    <m/>
    <m/>
    <d v="2018-03-08T00:00:00"/>
    <n v="29444"/>
    <d v="2018-07-26T00:00:00"/>
    <n v="19630"/>
    <m/>
    <m/>
    <m/>
    <m/>
    <m/>
    <m/>
    <m/>
    <m/>
    <m/>
    <m/>
    <m/>
    <m/>
    <m/>
    <m/>
  </r>
  <r>
    <s v="Canal Lilis"/>
    <x v="6"/>
    <x v="1"/>
    <x v="8"/>
    <m/>
    <s v="JER"/>
    <s v="NLE"/>
    <x v="7"/>
    <m/>
    <s v="BN 1004"/>
    <s v="BN 787 / 789 n'existent plus au cadastre"/>
    <s v="SODEGIS"/>
    <s v="Esparon"/>
    <s v="29/04/1994_x000a_27/07/93"/>
    <m/>
    <m/>
    <m/>
    <m/>
    <m/>
    <m/>
    <m/>
    <m/>
    <m/>
    <m/>
    <e v="#DIV/0!"/>
    <m/>
    <m/>
    <m/>
    <x v="3"/>
    <n v="23"/>
    <n v="0"/>
    <x v="0"/>
    <x v="2"/>
    <x v="0"/>
    <x v="7"/>
    <m/>
    <m/>
    <m/>
    <m/>
    <m/>
    <m/>
    <m/>
    <m/>
    <m/>
    <m/>
    <m/>
    <m/>
    <m/>
    <m/>
    <m/>
    <m/>
    <m/>
    <m/>
    <m/>
    <d v="2018-07-27T00:00:00"/>
    <m/>
    <m/>
    <m/>
    <d v="2018-08-23T00:00:00"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5"/>
    <n v="0"/>
    <n v="0"/>
    <m/>
    <m/>
    <m/>
    <m/>
    <m/>
    <m/>
    <m/>
    <m/>
    <m/>
    <m/>
    <m/>
    <m/>
    <m/>
    <m/>
    <m/>
    <m/>
    <m/>
    <m/>
    <s v="0"/>
    <d v="2017-09-29T00:00:00"/>
    <d v="2018-09-05T00:00:00"/>
    <n v="341"/>
    <d v="2017-09-08T00:00:00"/>
    <d v="2018-09-05T00:00:00"/>
    <n v="362"/>
    <d v="2017-11-28T00:00:00"/>
    <d v="2018-09-05T00:00:00"/>
    <n v="281"/>
    <d v="2018-01-26T00:00:00"/>
    <d v="2018-09-05T00:00:00"/>
    <n v="222"/>
    <m/>
    <d v="2018-10-30T00:00:00"/>
    <d v="2019-04-17T00:00:00"/>
    <d v="2019-04-17T00:00:00"/>
    <n v="0"/>
    <d v="2019-05-02T00:00:00"/>
    <x v="47"/>
    <x v="8"/>
    <n v="2.8"/>
    <n v="-168"/>
    <n v="12"/>
    <n v="13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11-15T00:00:00"/>
    <d v="2019-12-15T00:00:00"/>
    <n v="1"/>
    <m/>
    <m/>
    <m/>
    <d v="2020-01-15T00:00:00"/>
    <m/>
    <d v="2019-12-15T00:00:00"/>
    <x v="58"/>
    <x v="6"/>
    <n v="2.0666666666666669"/>
    <m/>
    <n v="0"/>
    <m/>
    <n v="0"/>
    <n v="0"/>
    <m/>
    <m/>
    <m/>
    <n v="0"/>
    <m/>
    <m/>
    <s v="DIAG reçu / valider pgr travaux / revue de projet 20/02"/>
    <m/>
    <m/>
    <m/>
    <m/>
    <m/>
    <m/>
    <m/>
    <d v="2020-12-15T00:00:00"/>
    <m/>
    <m/>
    <m/>
    <m/>
    <m/>
    <m/>
    <m/>
    <m/>
    <m/>
    <m/>
    <m/>
    <m/>
    <m/>
    <m/>
    <m/>
    <m/>
    <n v="993116"/>
    <n v="810036"/>
    <n v="-183080"/>
    <m/>
    <m/>
    <m/>
    <m/>
    <n v="0"/>
    <n v="0"/>
    <n v="0.4"/>
    <m/>
    <m/>
    <m/>
    <n v="0"/>
    <m/>
    <n v="515036"/>
    <n v="515036"/>
    <m/>
    <m/>
    <n v="0"/>
    <n v="22392.869565217392"/>
    <m/>
    <n v="298080"/>
    <n v="115000"/>
    <m/>
    <n v="0.14196899890869047"/>
    <n v="180000"/>
    <m/>
    <n v="-183080"/>
    <n v="5000"/>
    <n v="5000"/>
    <n v="-7960"/>
    <n v="6.31"/>
    <m/>
    <m/>
    <m/>
    <n v="12960"/>
    <m/>
    <n v="5000"/>
    <n v="0.30014620648544582"/>
    <m/>
    <m/>
    <n v="0"/>
    <n v="993116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La Cure"/>
    <x v="6"/>
    <x v="1"/>
    <x v="8"/>
    <m/>
    <s v="JER"/>
    <s v="NLE"/>
    <x v="7"/>
    <m/>
    <s v="BN 781"/>
    <s v="manque les autres parcelles"/>
    <s v="SODEGIS"/>
    <s v="LAGOURGUE"/>
    <d v="1993-01-25T00:00:00"/>
    <m/>
    <m/>
    <m/>
    <m/>
    <m/>
    <m/>
    <m/>
    <m/>
    <m/>
    <m/>
    <e v="#DIV/0!"/>
    <m/>
    <m/>
    <m/>
    <x v="3"/>
    <n v="30"/>
    <n v="0"/>
    <x v="0"/>
    <x v="2"/>
    <x v="0"/>
    <x v="8"/>
    <m/>
    <m/>
    <m/>
    <m/>
    <m/>
    <m/>
    <m/>
    <m/>
    <m/>
    <m/>
    <m/>
    <m/>
    <m/>
    <m/>
    <m/>
    <m/>
    <m/>
    <m/>
    <m/>
    <d v="2018-07-27T00:00:00"/>
    <m/>
    <m/>
    <m/>
    <d v="2018-08-23T00:00:00"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5"/>
    <n v="0"/>
    <n v="0"/>
    <m/>
    <m/>
    <m/>
    <m/>
    <m/>
    <m/>
    <m/>
    <m/>
    <m/>
    <m/>
    <m/>
    <m/>
    <m/>
    <m/>
    <m/>
    <m/>
    <m/>
    <m/>
    <s v="0"/>
    <d v="2017-08-22T00:00:00"/>
    <d v="2018-09-05T00:00:00"/>
    <n v="379"/>
    <d v="2017-08-01T00:00:00"/>
    <d v="2018-09-05T00:00:00"/>
    <n v="400"/>
    <d v="2017-10-20T00:00:00"/>
    <d v="2018-09-05T00:00:00"/>
    <n v="320"/>
    <d v="2017-12-20T00:00:00"/>
    <d v="2018-09-05T00:00:00"/>
    <n v="259"/>
    <m/>
    <d v="2018-10-30T00:00:00"/>
    <d v="2019-03-08T00:00:00"/>
    <d v="2019-03-08T00:00:00"/>
    <n v="0"/>
    <d v="2019-03-25T00:00:00"/>
    <x v="47"/>
    <x v="8"/>
    <n v="2.8"/>
    <n v="-130"/>
    <n v="12"/>
    <n v="13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11-15T00:00:00"/>
    <d v="2019-12-15T00:00:00"/>
    <n v="1"/>
    <m/>
    <m/>
    <m/>
    <d v="2020-01-15T00:00:00"/>
    <m/>
    <d v="2019-12-15T00:00:00"/>
    <x v="58"/>
    <x v="6"/>
    <n v="2.0666666666666669"/>
    <m/>
    <n v="0"/>
    <m/>
    <n v="0"/>
    <n v="0"/>
    <m/>
    <m/>
    <m/>
    <n v="0"/>
    <m/>
    <m/>
    <s v="DIAG reçu / valider pgr travaux / revue de projet 20/02"/>
    <m/>
    <m/>
    <m/>
    <m/>
    <m/>
    <m/>
    <m/>
    <d v="2020-12-15T00:00:00"/>
    <m/>
    <m/>
    <m/>
    <m/>
    <m/>
    <m/>
    <m/>
    <m/>
    <m/>
    <m/>
    <m/>
    <m/>
    <m/>
    <m/>
    <m/>
    <m/>
    <n v="983249.38"/>
    <n v="945749.38"/>
    <n v="-37500"/>
    <m/>
    <m/>
    <m/>
    <m/>
    <n v="0"/>
    <n v="0"/>
    <n v="0.4"/>
    <m/>
    <m/>
    <m/>
    <n v="0"/>
    <m/>
    <n v="545749.38"/>
    <n v="545749.38"/>
    <m/>
    <m/>
    <n v="0"/>
    <n v="18191.646000000001"/>
    <m/>
    <n v="187500"/>
    <n v="150000"/>
    <m/>
    <n v="0.15860438629100662"/>
    <n v="250000"/>
    <m/>
    <n v="-37500"/>
    <n v="5000"/>
    <n v="5000"/>
    <n v="-1250"/>
    <n v="6.31"/>
    <m/>
    <m/>
    <m/>
    <n v="6250"/>
    <m/>
    <n v="5000"/>
    <n v="0.19069424686542899"/>
    <m/>
    <m/>
    <n v="0"/>
    <n v="983249.38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Poinsétias"/>
    <x v="7"/>
    <x v="1"/>
    <x v="8"/>
    <m/>
    <s v="JER"/>
    <s v="NLE"/>
    <x v="7"/>
    <m/>
    <s v="AS 1450"/>
    <s v="AS 62, 63, 64, 513 v n'existent plus au cadastre"/>
    <s v="SODEGIS"/>
    <s v="HOARAU"/>
    <d v="1993-12-16T00:00:00"/>
    <m/>
    <m/>
    <m/>
    <m/>
    <m/>
    <m/>
    <m/>
    <m/>
    <m/>
    <m/>
    <e v="#DIV/0!"/>
    <m/>
    <m/>
    <m/>
    <x v="3"/>
    <n v="34"/>
    <n v="0"/>
    <x v="0"/>
    <x v="2"/>
    <x v="0"/>
    <x v="9"/>
    <m/>
    <m/>
    <m/>
    <m/>
    <m/>
    <m/>
    <m/>
    <m/>
    <m/>
    <m/>
    <m/>
    <m/>
    <m/>
    <m/>
    <m/>
    <m/>
    <m/>
    <m/>
    <m/>
    <d v="2018-07-27T00:00:00"/>
    <m/>
    <m/>
    <m/>
    <d v="2018-08-23T00:00:00"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5"/>
    <n v="0"/>
    <n v="0"/>
    <m/>
    <m/>
    <m/>
    <m/>
    <m/>
    <m/>
    <m/>
    <m/>
    <m/>
    <m/>
    <m/>
    <m/>
    <m/>
    <m/>
    <m/>
    <d v="2017-07-11T00:00:00"/>
    <m/>
    <m/>
    <s v="0"/>
    <d v="2017-11-28T00:00:00"/>
    <d v="2018-09-05T00:00:00"/>
    <n v="281"/>
    <d v="2017-11-07T00:00:00"/>
    <d v="2018-09-05T00:00:00"/>
    <n v="302"/>
    <d v="2018-01-26T00:00:00"/>
    <d v="2018-09-05T00:00:00"/>
    <n v="222"/>
    <d v="2018-03-28T00:00:00"/>
    <d v="2018-09-05T00:00:00"/>
    <n v="161"/>
    <m/>
    <d v="2018-10-30T00:00:00"/>
    <d v="2019-06-14T00:00:00"/>
    <d v="2019-06-14T00:00:00"/>
    <n v="0"/>
    <d v="2019-07-01T00:00:00"/>
    <x v="47"/>
    <x v="8"/>
    <n v="2.8"/>
    <n v="-228"/>
    <n v="12"/>
    <n v="13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11-15T00:00:00"/>
    <d v="2019-12-15T00:00:00"/>
    <n v="1"/>
    <m/>
    <m/>
    <m/>
    <d v="2020-01-15T00:00:00"/>
    <m/>
    <d v="2019-12-15T00:00:00"/>
    <x v="58"/>
    <x v="6"/>
    <n v="2.0666666666666669"/>
    <m/>
    <n v="0"/>
    <m/>
    <n v="0"/>
    <n v="0"/>
    <m/>
    <m/>
    <m/>
    <n v="0"/>
    <m/>
    <m/>
    <s v="DIAG reçu / valider pgr travaux / revue de projet 20/02"/>
    <m/>
    <m/>
    <m/>
    <m/>
    <m/>
    <m/>
    <m/>
    <d v="2020-12-15T00:00:00"/>
    <m/>
    <m/>
    <m/>
    <m/>
    <m/>
    <m/>
    <m/>
    <m/>
    <m/>
    <m/>
    <m/>
    <m/>
    <m/>
    <m/>
    <m/>
    <m/>
    <n v="842164"/>
    <n v="765664"/>
    <n v="-76500"/>
    <m/>
    <m/>
    <m/>
    <m/>
    <n v="0"/>
    <n v="0"/>
    <n v="0.4"/>
    <m/>
    <m/>
    <m/>
    <n v="0"/>
    <m/>
    <n v="289664"/>
    <n v="289664"/>
    <m/>
    <m/>
    <n v="0"/>
    <n v="8519.5294117647063"/>
    <m/>
    <n v="212500"/>
    <n v="136000"/>
    <m/>
    <n v="0.17762360513227735"/>
    <n v="340000"/>
    <m/>
    <n v="-76500"/>
    <n v="4000"/>
    <n v="4000"/>
    <n v="-2250"/>
    <n v="6.31"/>
    <m/>
    <m/>
    <m/>
    <n v="6250"/>
    <m/>
    <n v="4000"/>
    <n v="0.25232615025102001"/>
    <m/>
    <m/>
    <n v="0"/>
    <n v="842164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Bellevue A-B-C"/>
    <x v="2"/>
    <x v="1"/>
    <x v="8"/>
    <m/>
    <s v="JER"/>
    <s v="NLE"/>
    <x v="7"/>
    <m/>
    <s v="BW 2862"/>
    <s v="Acte sur BW 1750 / 1752 / 1789_x000a_manque les justificatifs sur les autres parcelles"/>
    <s v="SODEGIS"/>
    <s v="Poudroux"/>
    <d v="1995-08-01T00:00:00"/>
    <m/>
    <m/>
    <m/>
    <m/>
    <m/>
    <m/>
    <m/>
    <m/>
    <m/>
    <m/>
    <e v="#DIV/0!"/>
    <m/>
    <m/>
    <m/>
    <x v="3"/>
    <n v="128"/>
    <n v="0"/>
    <x v="0"/>
    <x v="2"/>
    <x v="0"/>
    <x v="10"/>
    <m/>
    <m/>
    <m/>
    <m/>
    <m/>
    <m/>
    <m/>
    <m/>
    <m/>
    <m/>
    <m/>
    <m/>
    <m/>
    <m/>
    <m/>
    <m/>
    <m/>
    <m/>
    <m/>
    <d v="2018-07-27T00:00:00"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4"/>
    <n v="0"/>
    <n v="0"/>
    <m/>
    <m/>
    <m/>
    <m/>
    <m/>
    <m/>
    <m/>
    <m/>
    <m/>
    <m/>
    <m/>
    <m/>
    <m/>
    <m/>
    <m/>
    <d v="2017-07-19T00:00:00"/>
    <m/>
    <m/>
    <s v="0"/>
    <d v="2017-10-30T00:00:00"/>
    <d v="2018-09-05T00:00:00"/>
    <n v="310"/>
    <d v="2017-10-09T00:00:00"/>
    <d v="2018-09-05T00:00:00"/>
    <n v="331"/>
    <d v="2017-12-29T00:00:00"/>
    <d v="2018-09-05T00:00:00"/>
    <n v="250"/>
    <d v="2018-02-27T00:00:00"/>
    <d v="2018-09-05T00:00:00"/>
    <n v="190"/>
    <m/>
    <d v="2018-10-30T00:00:00"/>
    <d v="2019-05-17T00:00:00"/>
    <d v="2019-05-17T00:00:00"/>
    <n v="0"/>
    <d v="2019-05-31T00:00:00"/>
    <x v="53"/>
    <x v="8"/>
    <n v="1448.0333333333333"/>
    <n v="-175"/>
    <n v="12"/>
    <n v="13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19-12-07T00:00:00"/>
    <d v="2020-01-07T00:00:00"/>
    <n v="1.0333333333333334"/>
    <m/>
    <m/>
    <m/>
    <d v="2020-02-07T00:00:00"/>
    <m/>
    <d v="2020-01-07T00:00:00"/>
    <x v="59"/>
    <x v="6"/>
    <n v="2"/>
    <m/>
    <n v="0"/>
    <m/>
    <n v="0"/>
    <n v="0"/>
    <m/>
    <m/>
    <m/>
    <n v="0"/>
    <m/>
    <m/>
    <s v="DIAG reçu / valider pgr travaux / revue de projet 20/02"/>
    <m/>
    <m/>
    <m/>
    <m/>
    <m/>
    <m/>
    <m/>
    <d v="2021-01-07T00:00:00"/>
    <m/>
    <m/>
    <m/>
    <m/>
    <m/>
    <m/>
    <m/>
    <m/>
    <m/>
    <m/>
    <m/>
    <m/>
    <m/>
    <m/>
    <m/>
    <m/>
    <n v="3625157"/>
    <n v="3625157"/>
    <n v="0"/>
    <m/>
    <m/>
    <m/>
    <m/>
    <n v="0"/>
    <n v="0"/>
    <n v="0.4"/>
    <m/>
    <m/>
    <m/>
    <n v="0"/>
    <m/>
    <n v="2145157"/>
    <n v="2145157"/>
    <m/>
    <m/>
    <n v="0"/>
    <n v="16759.0390625"/>
    <m/>
    <n v="800000"/>
    <n v="800000"/>
    <m/>
    <n v="0.22068009744129702"/>
    <n v="680000"/>
    <m/>
    <n v="0"/>
    <n v="6250"/>
    <n v="6250"/>
    <n v="0"/>
    <n v="6.31"/>
    <m/>
    <m/>
    <m/>
    <n v="6250"/>
    <m/>
    <n v="6250"/>
    <n v="0.22068009744129702"/>
    <m/>
    <m/>
    <n v="0"/>
    <n v="3625157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Opale (ILOT 9)"/>
    <x v="4"/>
    <x v="0"/>
    <x v="8"/>
    <s v="PRLC 0197"/>
    <s v="FVA"/>
    <s v="DBE"/>
    <x v="6"/>
    <m/>
    <m/>
    <m/>
    <m/>
    <m/>
    <m/>
    <n v="1627"/>
    <n v="154050"/>
    <n v="154050"/>
    <e v="#DIV/0!"/>
    <n v="94.683466502765825"/>
    <n v="94.683466502765825"/>
    <n v="98.772160420607179"/>
    <n v="9061.7647058823532"/>
    <n v="95.705882352941174"/>
    <m/>
    <m/>
    <m/>
    <m/>
    <m/>
    <x v="1"/>
    <n v="17"/>
    <n v="17"/>
    <x v="14"/>
    <x v="2"/>
    <x v="0"/>
    <x v="0"/>
    <m/>
    <n v="1598.71"/>
    <m/>
    <n v="1559.65"/>
    <n v="91.744117647058829"/>
    <m/>
    <n v="0.23529411764705882"/>
    <n v="0.35294117647058826"/>
    <n v="0.29411764705882354"/>
    <n v="0.11764705882352941"/>
    <m/>
    <m/>
    <m/>
    <m/>
    <m/>
    <m/>
    <m/>
    <m/>
    <d v="2017-08-31T00:00:00"/>
    <d v="2018-07-27T00:00:00"/>
    <s v="SO"/>
    <m/>
    <m/>
    <d v="2018-08-22T00:00:00"/>
    <m/>
    <m/>
    <m/>
    <m/>
    <d v="2018-09-04T00:00:00"/>
    <d v="2018-10-04T00:00:00"/>
    <d v="2019-01-04T00:00:00"/>
    <m/>
    <d v="2018-10-04T00:00:00"/>
    <d v="2020-10-04T00:00:00"/>
    <d v="2021-10-04T00:00:00"/>
    <n v="50739"/>
    <s v="non"/>
    <n v="13"/>
    <n v="129558"/>
    <n v="0"/>
    <m/>
    <m/>
    <m/>
    <m/>
    <m/>
    <m/>
    <m/>
    <m/>
    <m/>
    <m/>
    <m/>
    <m/>
    <m/>
    <s v="SO"/>
    <m/>
    <d v="2017-07-11T00:00:00"/>
    <d v="2017-07-26T00:00:00"/>
    <d v="2017-07-11T00:00:00"/>
    <n v="-15"/>
    <d v="2018-02-09T00:00:00"/>
    <d v="2018-02-07T00:00:00"/>
    <n v="-2"/>
    <d v="2017-11-30T00:00:00"/>
    <d v="2017-12-04T00:00:00"/>
    <n v="4"/>
    <d v="2018-01-25T00:00:00"/>
    <d v="2018-09-05T00:00:00"/>
    <n v="223"/>
    <d v="2018-05-25T00:00:00"/>
    <d v="2018-09-05T00:00:00"/>
    <n v="103"/>
    <m/>
    <d v="2018-11-12T00:00:00"/>
    <d v="2019-03-28T00:00:00"/>
    <d v="2019-03-28T00:00:00"/>
    <n v="0"/>
    <d v="2019-04-12T00:00:00"/>
    <x v="51"/>
    <x v="8"/>
    <n v="5.166666666666667"/>
    <n v="-78"/>
    <n v="14"/>
    <n v="17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0-03-24T00:00:00"/>
    <d v="2020-06-24T00:00:00"/>
    <n v="3.0666666666666669"/>
    <m/>
    <m/>
    <m/>
    <d v="2020-07-24T00:00:00"/>
    <m/>
    <d v="2020-04-24T00:00:00"/>
    <x v="60"/>
    <x v="6"/>
    <n v="4.0666666666666664"/>
    <n v="9966"/>
    <n v="40528.399999999994"/>
    <m/>
    <n v="0"/>
    <n v="0"/>
    <m/>
    <m/>
    <m/>
    <m/>
    <m/>
    <m/>
    <s v="PC à déposer 10/02/18 au plus tard"/>
    <m/>
    <m/>
    <m/>
    <m/>
    <m/>
    <m/>
    <m/>
    <d v="2021-06-24T00:00:00"/>
    <m/>
    <m/>
    <m/>
    <m/>
    <m/>
    <m/>
    <m/>
    <m/>
    <m/>
    <m/>
    <m/>
    <m/>
    <m/>
    <m/>
    <m/>
    <m/>
    <n v="3121942"/>
    <n v="3091517"/>
    <n v="-30425"/>
    <n v="1933.7572167560095"/>
    <n v="181853.9411764706"/>
    <m/>
    <m/>
    <n v="0"/>
    <n v="0"/>
    <n v="0.4"/>
    <n v="904384"/>
    <n v="958221"/>
    <m/>
    <n v="56365.941176470587"/>
    <m/>
    <n v="1890358"/>
    <n v="1806096"/>
    <n v="267301"/>
    <n v="1538795"/>
    <n v="-84262"/>
    <n v="106240.94117647059"/>
    <m/>
    <n v="323000"/>
    <n v="323000"/>
    <m/>
    <n v="0.10447945135025943"/>
    <m/>
    <n v="4200"/>
    <n v="0"/>
    <n v="19000"/>
    <n v="75365.941176470587"/>
    <e v="#DIV/0!"/>
    <n v="6.39"/>
    <n v="5.35"/>
    <m/>
    <m/>
    <e v="#DIV/0!"/>
    <m/>
    <e v="#DIV/0!"/>
    <n v="0.39314759851400188"/>
    <m/>
    <m/>
    <n v="0"/>
    <n v="3121942"/>
    <n v="156188"/>
    <n v="76649"/>
    <d v="2017-05-22T00:00:00"/>
    <n v="15110"/>
    <d v="2017-12-21T00:00:00"/>
    <n v="7809"/>
    <d v="2017-12-04T00:00:00"/>
    <n v="8318"/>
    <d v="2018-02-14T00:00:00"/>
    <n v="15619"/>
    <d v="2018-04-03T00:00:00"/>
    <n v="14463"/>
    <d v="2018-06-21T00:00:00"/>
    <n v="15330"/>
    <m/>
    <m/>
    <m/>
    <m/>
    <m/>
    <m/>
    <m/>
    <m/>
    <m/>
    <m/>
    <m/>
    <m/>
    <m/>
    <m/>
    <m/>
    <m/>
    <n v="15619"/>
    <m/>
    <m/>
    <m/>
    <m/>
    <m/>
  </r>
  <r>
    <s v="COCO TURPIN"/>
    <x v="10"/>
    <x v="0"/>
    <x v="8"/>
    <s v="PRLC 0198"/>
    <s v="ADE"/>
    <s v="MMA"/>
    <x v="6"/>
    <m/>
    <s v="EM 628 p"/>
    <s v="EM 628 p_x000a_CPV avec TURPIN signé + clause substit EPFR_x000a_bornage à compléter - manque procurations / DA en cours de finalisation pour EM 629_x000a_EPFR délibère en mars/avril_x000a_minoration foncière CIVIS"/>
    <s v="TURPIN"/>
    <m/>
    <m/>
    <n v="7382"/>
    <n v="1016540"/>
    <m/>
    <n v="26065.128205128207"/>
    <n v="137.7052289352479"/>
    <n v="0"/>
    <n v="0"/>
    <n v="0"/>
    <n v="189.28205128205127"/>
    <m/>
    <m/>
    <m/>
    <m/>
    <m/>
    <x v="1"/>
    <n v="39"/>
    <n v="39"/>
    <x v="15"/>
    <x v="2"/>
    <x v="0"/>
    <x v="0"/>
    <m/>
    <n v="3148.1"/>
    <m/>
    <n v="2938.4"/>
    <m/>
    <m/>
    <n v="0.20512820512820512"/>
    <n v="0.46153846153846156"/>
    <n v="0.30769230769230771"/>
    <n v="2.564102564102564E-2"/>
    <m/>
    <m/>
    <m/>
    <m/>
    <m/>
    <m/>
    <m/>
    <m/>
    <m/>
    <d v="2018-07-27T00:00:00"/>
    <s v="SO"/>
    <m/>
    <m/>
    <m/>
    <m/>
    <m/>
    <m/>
    <m/>
    <d v="2018-10-26T00:00:00"/>
    <d v="2018-11-26T00:00:00"/>
    <d v="2019-02-26T00:00:00"/>
    <m/>
    <d v="2018-11-26T00:00:00"/>
    <d v="2020-11-26T00:00:00"/>
    <d v="2021-11-26T00:00:00"/>
    <n v="109917"/>
    <s v="non"/>
    <n v="10"/>
    <n v="194270"/>
    <n v="0"/>
    <m/>
    <m/>
    <m/>
    <m/>
    <m/>
    <m/>
    <m/>
    <m/>
    <m/>
    <m/>
    <m/>
    <m/>
    <m/>
    <s v="SO"/>
    <m/>
    <d v="2017-10-11T00:00:00"/>
    <d v="2017-10-26T00:00:00"/>
    <d v="2017-10-12T00:00:00"/>
    <n v="-14"/>
    <d v="2018-02-09T00:00:00"/>
    <d v="2018-02-08T00:00:00"/>
    <n v="-1"/>
    <d v="2017-12-22T00:00:00"/>
    <d v="2018-09-05T00:00:00"/>
    <n v="257"/>
    <d v="2018-05-01T00:00:00"/>
    <d v="2018-09-05T00:00:00"/>
    <n v="127"/>
    <d v="2018-06-29T00:00:00"/>
    <d v="2018-09-05T00:00:00"/>
    <n v="68"/>
    <m/>
    <m/>
    <d v="2019-03-19T00:00:00"/>
    <d v="2019-03-19T00:00:00"/>
    <n v="0"/>
    <d v="2019-03-20T00:00:00"/>
    <x v="54"/>
    <x v="8"/>
    <n v="1452"/>
    <n v="16"/>
    <n v="18"/>
    <n v="2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0-10-05T00:00:00"/>
    <d v="2020-12-05T00:00:00"/>
    <n v="2.0333333333333332"/>
    <d v="1901-12-31T00:00:00"/>
    <m/>
    <m/>
    <d v="2020-12-05T00:00:00"/>
    <m/>
    <d v="2020-11-05T00:00:00"/>
    <x v="61"/>
    <x v="6"/>
    <n v="2.0333333333333332"/>
    <n v="19427"/>
    <n v="39501.566666666666"/>
    <m/>
    <n v="0"/>
    <n v="0"/>
    <m/>
    <m/>
    <m/>
    <m/>
    <m/>
    <m/>
    <s v="raccordement EU à 400 mL"/>
    <m/>
    <m/>
    <m/>
    <m/>
    <m/>
    <m/>
    <m/>
    <d v="2021-12-05T00:00:00"/>
    <m/>
    <m/>
    <m/>
    <m/>
    <m/>
    <m/>
    <m/>
    <m/>
    <m/>
    <m/>
    <m/>
    <m/>
    <m/>
    <m/>
    <m/>
    <m/>
    <n v="6675946.6299999999"/>
    <n v="6941404"/>
    <n v="265457.37000000011"/>
    <n v="2204.9502874749851"/>
    <n v="177984.71794871794"/>
    <m/>
    <m/>
    <n v="0"/>
    <n v="0"/>
    <n v="0.4"/>
    <n v="1941014.63"/>
    <n v="2206472"/>
    <m/>
    <n v="56576.205128205125"/>
    <m/>
    <n v="3993932"/>
    <n v="3993932"/>
    <n v="1012569"/>
    <n v="2981363"/>
    <n v="0"/>
    <n v="102408.51282051283"/>
    <m/>
    <n v="741000"/>
    <n v="741000"/>
    <m/>
    <n v="0.10675073803512949"/>
    <m/>
    <m/>
    <n v="0"/>
    <n v="19000"/>
    <n v="75576.205128205125"/>
    <n v="0"/>
    <n v="6.74"/>
    <n v="6.3"/>
    <m/>
    <m/>
    <n v="68769.605897435889"/>
    <m/>
    <n v="75576.205128205125"/>
    <n v="0.40174297049465779"/>
    <m/>
    <m/>
    <n v="0"/>
    <n v="6675946.6299999999"/>
    <n v="346819"/>
    <n v="138728"/>
    <d v="2017-10-18T00:00:00"/>
    <n v="25896"/>
    <d v="2017-12-11T00:00:00"/>
    <n v="20695"/>
    <d v="2018-03-19T00:00:00"/>
    <n v="24757"/>
    <d v="2018-02-08T00:00:00"/>
    <n v="31062"/>
    <d v="2018-06-21T00:00:00"/>
    <n v="36318"/>
    <m/>
    <m/>
    <m/>
    <m/>
    <m/>
    <m/>
    <m/>
    <m/>
    <m/>
    <m/>
    <m/>
    <m/>
    <m/>
    <m/>
    <m/>
    <m/>
    <m/>
    <m/>
    <n v="31062"/>
    <m/>
    <m/>
    <m/>
    <m/>
    <m/>
  </r>
  <r>
    <s v="CANNELLE "/>
    <x v="4"/>
    <x v="0"/>
    <x v="8"/>
    <s v="PRLC 0200"/>
    <s v="APU"/>
    <s v="DBA"/>
    <x v="7"/>
    <m/>
    <s v="AT 222/223/224"/>
    <s v="AT 222/223/224_x000a_compromis AT 222 signé - PD obtenu / bornage 05/10/17_x000a_en attente du topo / bornage_x000a_empiètement sur AT 224_x000a_"/>
    <m/>
    <m/>
    <m/>
    <n v="3040"/>
    <n v="205275"/>
    <n v="205275"/>
    <n v="6842.5"/>
    <n v="67.524671052631575"/>
    <n v="67.524671052631575"/>
    <n v="89.910647803425178"/>
    <n v="6842.5"/>
    <n v="101.33333333333333"/>
    <m/>
    <n v="0.75101973684210521"/>
    <s v="UB"/>
    <m/>
    <m/>
    <x v="0"/>
    <n v="30"/>
    <n v="30"/>
    <x v="0"/>
    <x v="1"/>
    <x v="0"/>
    <x v="0"/>
    <m/>
    <n v="2297.19"/>
    <m/>
    <n v="2283.1"/>
    <n v="76.103333333333325"/>
    <n v="0.16666666666666666"/>
    <n v="0.26666666666666666"/>
    <n v="0.36666666666666664"/>
    <n v="0.16666666666666666"/>
    <n v="3.3333333333333333E-2"/>
    <m/>
    <m/>
    <m/>
    <m/>
    <m/>
    <m/>
    <m/>
    <m/>
    <m/>
    <d v="2018-07-27T00:00:00"/>
    <s v="SO"/>
    <m/>
    <m/>
    <d v="2018-07-06T00:00:00"/>
    <m/>
    <m/>
    <m/>
    <m/>
    <d v="2018-10-12T00:00:00"/>
    <d v="2018-11-12T00:00:00"/>
    <d v="2019-02-12T00:00:00"/>
    <m/>
    <d v="2018-11-12T00:00:00"/>
    <d v="2020-11-12T00:00:00"/>
    <d v="2021-11-12T00:00:00"/>
    <n v="75246"/>
    <s v="non"/>
    <n v="8"/>
    <n v="98264"/>
    <n v="0"/>
    <m/>
    <m/>
    <m/>
    <m/>
    <m/>
    <m/>
    <m/>
    <m/>
    <m/>
    <m/>
    <m/>
    <m/>
    <m/>
    <s v="SO"/>
    <m/>
    <d v="2017-10-09T00:00:00"/>
    <n v="43032"/>
    <n v="43017"/>
    <n v="-15"/>
    <d v="2018-02-09T00:00:00"/>
    <d v="2018-02-07T00:00:00"/>
    <n v="-2"/>
    <d v="2018-01-25T00:00:00"/>
    <d v="2018-09-05T00:00:00"/>
    <n v="223"/>
    <d v="2018-04-10T00:00:00"/>
    <d v="2018-09-05T00:00:00"/>
    <n v="148"/>
    <d v="2018-06-08T00:00:00"/>
    <d v="2018-09-05T00:00:00"/>
    <n v="89"/>
    <m/>
    <m/>
    <d v="2019-03-26T00:00:00"/>
    <d v="2019-03-26T00:00:00"/>
    <n v="0"/>
    <d v="2019-04-10T00:00:00"/>
    <x v="55"/>
    <x v="8"/>
    <n v="11.166666666666666"/>
    <n v="57"/>
    <n v="16"/>
    <n v="19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0-10-06T00:00:00"/>
    <d v="2021-01-06T00:00:00"/>
    <n v="3.0666666666666669"/>
    <d v="1901-12-31T00:00:00"/>
    <m/>
    <m/>
    <d v="2021-02-06T00:00:00"/>
    <m/>
    <d v="2020-11-06T00:00:00"/>
    <x v="62"/>
    <x v="6"/>
    <n v="4"/>
    <n v="12283"/>
    <n v="49132"/>
    <m/>
    <n v="0"/>
    <n v="0"/>
    <m/>
    <m/>
    <m/>
    <m/>
    <m/>
    <m/>
    <s v="APS à analyser / PC à déposer 10/02/18 au plus tard"/>
    <m/>
    <m/>
    <m/>
    <m/>
    <m/>
    <m/>
    <m/>
    <d v="2022-01-06T00:00:00"/>
    <m/>
    <m/>
    <m/>
    <m/>
    <m/>
    <m/>
    <m/>
    <m/>
    <m/>
    <m/>
    <m/>
    <m/>
    <m/>
    <m/>
    <m/>
    <m/>
    <n v="4828352"/>
    <n v="4970505"/>
    <n v="142153"/>
    <n v="2163.7326472777609"/>
    <n v="165683.5"/>
    <m/>
    <m/>
    <n v="0"/>
    <n v="0"/>
    <n v="0.4"/>
    <n v="1465688"/>
    <n v="1494928"/>
    <m/>
    <n v="49830.933333333334"/>
    <m/>
    <n v="2579514"/>
    <n v="2692427"/>
    <n v="427747"/>
    <n v="2264680"/>
    <n v="112913"/>
    <n v="89747.566666666666"/>
    <m/>
    <n v="780000"/>
    <n v="780000"/>
    <m/>
    <n v="0.15692570473221534"/>
    <m/>
    <n v="3150"/>
    <n v="0"/>
    <n v="26000"/>
    <n v="75830.933333333334"/>
    <n v="0"/>
    <n v="5.38"/>
    <n v="5.38"/>
    <m/>
    <m/>
    <n v="74856.266666666663"/>
    <m/>
    <n v="75830.933333333334"/>
    <n v="0.46510444971700488"/>
    <m/>
    <m/>
    <n v="0"/>
    <n v="4828352"/>
    <n v="246341"/>
    <n v="73902"/>
    <d v="2017-12-04T00:00:00"/>
    <n v="22546"/>
    <d v="2017-12-11T00:00:00"/>
    <n v="13984"/>
    <d v="2018-03-26T00:00:00"/>
    <n v="13019"/>
    <d v="2018-02-14T00:00:00"/>
    <n v="24353"/>
    <m/>
    <m/>
    <m/>
    <m/>
    <m/>
    <m/>
    <m/>
    <m/>
    <m/>
    <m/>
    <m/>
    <m/>
    <m/>
    <m/>
    <m/>
    <m/>
    <m/>
    <m/>
    <m/>
    <m/>
    <m/>
    <m/>
    <m/>
    <m/>
    <m/>
    <m/>
  </r>
  <r>
    <s v="PAPYRUS "/>
    <x v="4"/>
    <x v="0"/>
    <x v="8"/>
    <s v="PRLC 0199"/>
    <s v="BBL"/>
    <s v="GGO"/>
    <x v="8"/>
    <m/>
    <m/>
    <s v="AX 24p / 25 / 429p / 28 / 27p_x000a_actualisation topo en cours_x000a_zone RHI_x000a_"/>
    <m/>
    <m/>
    <m/>
    <n v="2641"/>
    <n v="313500"/>
    <n v="313500"/>
    <e v="#DIV/0!"/>
    <n v="118.70503597122303"/>
    <n v="118.70503597122303"/>
    <n v="120.78178757045603"/>
    <n v="9500"/>
    <n v="80.030303030303031"/>
    <m/>
    <m/>
    <s v="UA"/>
    <m/>
    <m/>
    <x v="1"/>
    <n v="33"/>
    <n v="33"/>
    <x v="16"/>
    <x v="2"/>
    <x v="0"/>
    <x v="0"/>
    <m/>
    <n v="2595.59"/>
    <m/>
    <n v="2595.59"/>
    <n v="78.654242424242426"/>
    <n v="0.21212121212121213"/>
    <n v="9.0909090909090912E-2"/>
    <n v="0.36363636363636365"/>
    <n v="0.30303030303030304"/>
    <n v="3.0303030303030304E-2"/>
    <m/>
    <m/>
    <m/>
    <m/>
    <m/>
    <m/>
    <m/>
    <m/>
    <m/>
    <d v="2018-07-27T00:00:00"/>
    <s v="SO"/>
    <m/>
    <m/>
    <d v="2018-08-22T00:00:00"/>
    <m/>
    <m/>
    <m/>
    <m/>
    <d v="2019-06-18T00:00:00"/>
    <d v="2019-07-18T00:00:00"/>
    <d v="2019-10-18T00:00:00"/>
    <m/>
    <d v="2019-07-18T00:00:00"/>
    <d v="2021-07-18T00:00:00"/>
    <d v="2022-07-18T00:00:00"/>
    <n v="88691"/>
    <s v="non"/>
    <n v="16"/>
    <n v="276592"/>
    <n v="0"/>
    <m/>
    <m/>
    <m/>
    <m/>
    <m/>
    <m/>
    <m/>
    <m/>
    <m/>
    <m/>
    <m/>
    <m/>
    <m/>
    <s v="SO"/>
    <m/>
    <d v="2017-10-09T00:00:00"/>
    <d v="2017-10-24T00:00:00"/>
    <d v="2017-10-31T00:00:00"/>
    <n v="7"/>
    <d v="2018-02-09T00:00:00"/>
    <d v="2018-02-08T00:00:00"/>
    <n v="-1"/>
    <d v="2018-01-30T00:00:00"/>
    <d v="2018-09-05T00:00:00"/>
    <n v="218"/>
    <d v="2018-04-11T00:00:00"/>
    <d v="2018-09-05T00:00:00"/>
    <n v="147"/>
    <d v="2018-06-08T00:00:00"/>
    <d v="2018-09-05T00:00:00"/>
    <n v="89"/>
    <m/>
    <m/>
    <d v="2019-03-27T00:00:00"/>
    <d v="2019-03-27T00:00:00"/>
    <n v="0"/>
    <d v="2019-04-11T00:00:00"/>
    <x v="56"/>
    <x v="8"/>
    <n v="14"/>
    <n v="188"/>
    <n v="16"/>
    <n v="17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1-02-16T00:00:00"/>
    <d v="2021-03-16T00:00:00"/>
    <n v="0.93333333333333335"/>
    <d v="1901-12-31T00:00:00"/>
    <m/>
    <m/>
    <d v="2021-03-16T00:00:00"/>
    <m/>
    <d v="2021-03-16T00:00:00"/>
    <x v="63"/>
    <x v="6"/>
    <n v="0"/>
    <n v="17287"/>
    <n v="0"/>
    <m/>
    <n v="0"/>
    <n v="0"/>
    <m/>
    <m/>
    <m/>
    <m/>
    <m/>
    <m/>
    <s v="PC à déposer 10/02/18 au plus tard / attente données hydrétudes"/>
    <m/>
    <m/>
    <m/>
    <m/>
    <m/>
    <m/>
    <m/>
    <d v="2022-03-16T00:00:00"/>
    <m/>
    <m/>
    <m/>
    <m/>
    <m/>
    <m/>
    <m/>
    <m/>
    <m/>
    <m/>
    <m/>
    <m/>
    <m/>
    <m/>
    <m/>
    <m/>
    <n v="5455396"/>
    <n v="5567908"/>
    <n v="112512"/>
    <n v="2145.1415670425604"/>
    <n v="168724.48484848486"/>
    <m/>
    <m/>
    <n v="0"/>
    <n v="0"/>
    <n v="0.4"/>
    <n v="1728972"/>
    <n v="1771481"/>
    <m/>
    <n v="53681.242424242424"/>
    <m/>
    <n v="3079214"/>
    <n v="3149217"/>
    <n v="424625"/>
    <n v="2724592"/>
    <n v="70003"/>
    <n v="95430.818181818177"/>
    <m/>
    <n v="643500"/>
    <n v="643500"/>
    <m/>
    <n v="0.11557303030150642"/>
    <m/>
    <n v="3710"/>
    <n v="0"/>
    <n v="19500"/>
    <n v="73181.242424242431"/>
    <e v="#DIV/0!"/>
    <n v="6.66"/>
    <n v="5.84"/>
    <m/>
    <m/>
    <e v="#DIV/0!"/>
    <m/>
    <e v="#DIV/0!"/>
    <n v="0.43488538687200712"/>
    <m/>
    <m/>
    <n v="0"/>
    <n v="5455396"/>
    <n v="263611"/>
    <n v="65903"/>
    <d v="2017-12-04T00:00:00"/>
    <n v="23541"/>
    <d v="2017-12-11T00:00:00"/>
    <n v="16001"/>
    <m/>
    <m/>
    <d v="2018-02-14T00:00:00"/>
    <n v="26361"/>
    <m/>
    <m/>
    <m/>
    <m/>
    <m/>
    <m/>
    <m/>
    <m/>
    <m/>
    <m/>
    <m/>
    <m/>
    <m/>
    <m/>
    <m/>
    <m/>
    <m/>
    <m/>
    <m/>
    <m/>
    <n v="26361"/>
    <m/>
    <m/>
    <m/>
    <m/>
    <m/>
  </r>
  <r>
    <s v="INDIGO LLS"/>
    <x v="3"/>
    <x v="2"/>
    <x v="8"/>
    <s v="PRLC 0192"/>
    <s v="APU"/>
    <s v="DBE"/>
    <x v="7"/>
    <m/>
    <s v="DD783 / 1298"/>
    <s v="_x000a_attente protocole DD 1298 pour prendre possession des lieux_x000a_lancer procédure expulsion bungalow"/>
    <m/>
    <m/>
    <m/>
    <n v="4783.68"/>
    <n v="230090"/>
    <m/>
    <n v="10458.636363636364"/>
    <n v="48.098953107231253"/>
    <n v="0"/>
    <n v="0"/>
    <n v="0"/>
    <n v="217.44000000000003"/>
    <m/>
    <n v="0.43694603317947689"/>
    <m/>
    <m/>
    <m/>
    <x v="1"/>
    <n v="22"/>
    <n v="22"/>
    <x v="17"/>
    <x v="2"/>
    <x v="0"/>
    <x v="0"/>
    <m/>
    <n v="2090.21"/>
    <m/>
    <n v="2090.21"/>
    <n v="95.00954545454546"/>
    <m/>
    <m/>
    <m/>
    <n v="0.54545454545454541"/>
    <n v="0.45454545454545453"/>
    <m/>
    <m/>
    <m/>
    <m/>
    <s v="collectif"/>
    <m/>
    <m/>
    <m/>
    <s v="30/08/2016_x000a_01/02/17_x000a_06/04/17"/>
    <m/>
    <s v="SO"/>
    <s v="SO"/>
    <m/>
    <d v="2018-08-22T00:00:00"/>
    <m/>
    <m/>
    <m/>
    <m/>
    <d v="2018-09-14T00:00:00"/>
    <d v="2018-10-14T00:00:00"/>
    <d v="2019-01-14T00:00:00"/>
    <m/>
    <d v="2018-10-14T00:00:00"/>
    <d v="2020-10-14T00:00:00"/>
    <d v="2021-10-14T00:00:00"/>
    <n v="65736"/>
    <s v="non"/>
    <n v="5"/>
    <n v="66155"/>
    <n v="0"/>
    <m/>
    <m/>
    <m/>
    <m/>
    <m/>
    <m/>
    <m/>
    <m/>
    <m/>
    <m/>
    <m/>
    <m/>
    <m/>
    <s v="SO"/>
    <m/>
    <d v="2016-09-06T00:00:00"/>
    <d v="2016-09-06T00:00:00"/>
    <d v="2016-09-06T00:00:00"/>
    <n v="0"/>
    <d v="2018-01-19T00:00:00"/>
    <d v="2018-09-05T00:00:00"/>
    <n v="229"/>
    <d v="2017-02-06T00:00:00"/>
    <d v="2017-04-24T00:00:00"/>
    <n v="77"/>
    <d v="2017-11-14T00:00:00"/>
    <d v="2018-09-05T00:00:00"/>
    <n v="295"/>
    <d v="2018-02-20T00:00:00"/>
    <d v="2018-09-05T00:00:00"/>
    <n v="197"/>
    <m/>
    <m/>
    <d v="2018-12-07T00:00:00"/>
    <d v="2018-12-07T00:00:00"/>
    <n v="0"/>
    <d v="2018-12-21T00:00:00"/>
    <x v="51"/>
    <x v="8"/>
    <n v="5.166666666666667"/>
    <n v="34"/>
    <n v="24"/>
    <n v="25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1-01-24T00:00:00"/>
    <d v="2021-02-24T00:00:00"/>
    <n v="1.0333333333333334"/>
    <d v="1901-12-31T00:00:00"/>
    <m/>
    <m/>
    <d v="2021-03-24T00:00:00"/>
    <m/>
    <d v="2021-02-24T00:00:00"/>
    <x v="57"/>
    <x v="6"/>
    <n v="1.9666666666666666"/>
    <n v="13231"/>
    <n v="26020.966666666664"/>
    <m/>
    <n v="0"/>
    <n v="0"/>
    <m/>
    <m/>
    <m/>
    <n v="0"/>
    <m/>
    <m/>
    <s v="PC à déposer 10/02/18 au plus tard"/>
    <m/>
    <m/>
    <m/>
    <m/>
    <m/>
    <m/>
    <m/>
    <d v="2022-02-24T00:00:00"/>
    <m/>
    <m/>
    <m/>
    <m/>
    <m/>
    <m/>
    <m/>
    <m/>
    <m/>
    <m/>
    <m/>
    <m/>
    <m/>
    <m/>
    <m/>
    <m/>
    <n v="4056688"/>
    <n v="4056688"/>
    <n v="0"/>
    <n v="1940.8040340444261"/>
    <n v="184394.90909090909"/>
    <m/>
    <m/>
    <n v="0"/>
    <n v="0"/>
    <n v="0.4"/>
    <n v="1260329"/>
    <n v="1260329"/>
    <m/>
    <n v="57287.681818181816"/>
    <m/>
    <n v="2356728"/>
    <n v="2356728"/>
    <n v="438150"/>
    <n v="1918578"/>
    <n v="0"/>
    <n v="107124"/>
    <m/>
    <n v="418000"/>
    <n v="418000"/>
    <m/>
    <n v="0.10303972107295409"/>
    <m/>
    <n v="21631"/>
    <n v="0"/>
    <n v="19000"/>
    <n v="76287.681818181823"/>
    <n v="0"/>
    <n v="6.31"/>
    <m/>
    <m/>
    <m/>
    <n v="76287.681818181823"/>
    <m/>
    <n v="76287.681818181823"/>
    <n v="0.41371902399198557"/>
    <m/>
    <m/>
    <n v="0"/>
    <n v="4056688"/>
    <n v="461347"/>
    <n v="161472"/>
    <m/>
    <m/>
    <m/>
    <m/>
    <m/>
    <m/>
    <d v="2018-02-14T00:00:00"/>
    <n v="47870"/>
    <s v="10/07/2017_x000a_11/12/17"/>
    <n v="113602"/>
    <m/>
    <n v="0"/>
    <m/>
    <m/>
    <m/>
    <m/>
    <m/>
    <m/>
    <m/>
    <m/>
    <m/>
    <m/>
    <m/>
    <m/>
    <m/>
    <m/>
    <m/>
    <m/>
    <n v="47870"/>
    <m/>
    <m/>
    <m/>
    <m/>
    <m/>
  </r>
  <r>
    <s v="INDIGO LLTS"/>
    <x v="3"/>
    <x v="2"/>
    <x v="8"/>
    <s v="PRLC 0192"/>
    <s v="APU"/>
    <m/>
    <x v="7"/>
    <m/>
    <s v="DD783 / 1298"/>
    <s v="_x000a_attente protocole DD 1298 pour prendre possession des lieux_x000a_lancer procédure expulsion bungalow"/>
    <m/>
    <m/>
    <m/>
    <n v="6088.3200000000006"/>
    <n v="290092"/>
    <m/>
    <n v="8532.1176470588234"/>
    <n v="47.64729843372227"/>
    <n v="0"/>
    <n v="0"/>
    <n v="0"/>
    <n v="179.06823529411767"/>
    <m/>
    <n v="0.43284354304635758"/>
    <m/>
    <m/>
    <m/>
    <x v="0"/>
    <n v="34"/>
    <n v="34"/>
    <x v="0"/>
    <x v="17"/>
    <x v="0"/>
    <x v="0"/>
    <m/>
    <n v="2635.29"/>
    <m/>
    <n v="2635.29"/>
    <n v="77.508529411764698"/>
    <n v="2.9411764705882353E-2"/>
    <n v="0.29411764705882354"/>
    <n v="0.47058823529411764"/>
    <n v="0.20588235294117646"/>
    <m/>
    <m/>
    <m/>
    <m/>
    <m/>
    <s v="collectif"/>
    <m/>
    <m/>
    <m/>
    <s v="30/08/2016_x000a_01/02/17_x000a_06/04/17"/>
    <m/>
    <s v="SO"/>
    <s v="SO"/>
    <m/>
    <d v="2018-08-22T00:00:00"/>
    <m/>
    <m/>
    <m/>
    <m/>
    <d v="2018-09-14T00:00:00"/>
    <d v="2018-10-14T00:00:00"/>
    <d v="2019-01-14T00:00:00"/>
    <m/>
    <d v="2018-10-14T00:00:00"/>
    <d v="2020-10-14T00:00:00"/>
    <d v="2021-10-14T00:00:00"/>
    <n v="83866"/>
    <s v="non"/>
    <n v="5"/>
    <n v="70495"/>
    <n v="-13371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x v="51"/>
    <x v="8"/>
    <n v="5.166666666666667"/>
    <s v="0"/>
    <n v="24"/>
    <n v="25"/>
    <m/>
    <d v="2018-09-05T00:00:00"/>
    <s v="0"/>
    <m/>
    <d v="2018-09-05T00:00:00"/>
    <s v="0"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1-01-24T00:00:00"/>
    <d v="2021-02-24T00:00:00"/>
    <n v="1.0333333333333334"/>
    <d v="1901-12-31T00:00:00"/>
    <m/>
    <m/>
    <d v="2021-03-24T00:00:00"/>
    <m/>
    <d v="2021-02-24T00:00:00"/>
    <x v="57"/>
    <x v="6"/>
    <n v="1.9666666666666666"/>
    <n v="14099"/>
    <n v="27728.033333333333"/>
    <m/>
    <m/>
    <n v="0"/>
    <m/>
    <m/>
    <m/>
    <n v="0"/>
    <m/>
    <m/>
    <m/>
    <m/>
    <m/>
    <m/>
    <m/>
    <m/>
    <m/>
    <m/>
    <d v="2022-02-24T00:00:00"/>
    <m/>
    <m/>
    <m/>
    <m/>
    <m/>
    <m/>
    <m/>
    <m/>
    <m/>
    <m/>
    <m/>
    <m/>
    <m/>
    <m/>
    <m/>
    <m/>
    <n v="5275081.05"/>
    <n v="5275083.05"/>
    <n v="2"/>
    <n v="2001.7087493217066"/>
    <n v="155149.50147058823"/>
    <m/>
    <m/>
    <n v="0"/>
    <n v="0"/>
    <n v="0.4"/>
    <n v="1530341"/>
    <n v="1530342"/>
    <m/>
    <n v="45010.058823529413"/>
    <m/>
    <n v="3003468"/>
    <n v="3003469"/>
    <n v="541398"/>
    <n v="2462071"/>
    <n v="1"/>
    <n v="88337.323529411762"/>
    <m/>
    <n v="714000"/>
    <n v="714000"/>
    <m/>
    <n v="0.1353533192240452"/>
    <m/>
    <n v="27272.05"/>
    <n v="0"/>
    <n v="21000"/>
    <n v="66010.058823529413"/>
    <n v="0"/>
    <n v="6.31"/>
    <m/>
    <m/>
    <m/>
    <n v="66010.029411764699"/>
    <m/>
    <n v="66010.058823529413"/>
    <n v="0.42546095097439313"/>
    <m/>
    <m/>
    <n v="0"/>
    <n v="5275081.05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AJP"/>
    <x v="2"/>
    <x v="1"/>
    <x v="9"/>
    <m/>
    <s v="ADE"/>
    <m/>
    <x v="9"/>
    <m/>
    <m/>
    <m/>
    <m/>
    <m/>
    <m/>
    <m/>
    <m/>
    <m/>
    <n v="0"/>
    <m/>
    <m/>
    <m/>
    <n v="0"/>
    <n v="0"/>
    <m/>
    <m/>
    <m/>
    <m/>
    <m/>
    <x v="0"/>
    <n v="66"/>
    <n v="66"/>
    <x v="0"/>
    <x v="35"/>
    <x v="0"/>
    <x v="0"/>
    <m/>
    <m/>
    <m/>
    <m/>
    <n v="0"/>
    <m/>
    <m/>
    <m/>
    <m/>
    <m/>
    <m/>
    <m/>
    <m/>
    <m/>
    <m/>
    <m/>
    <m/>
    <m/>
    <m/>
    <m/>
    <s v="SO"/>
    <s v="SO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7"/>
    <x v="8"/>
    <n v="1462.0666666666666"/>
    <s v="0"/>
    <n v="16"/>
    <n v="19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1-06-01T00:00:00"/>
    <d v="2021-09-01T00:00:00"/>
    <n v="3.0666666666666669"/>
    <d v="1901-12-31T00:00:00"/>
    <m/>
    <m/>
    <d v="2021-09-16T00:00:00"/>
    <m/>
    <d v="2021-07-01T00:00:00"/>
    <x v="64"/>
    <x v="6"/>
    <n v="3.5666666666666669"/>
    <m/>
    <n v="0"/>
    <m/>
    <m/>
    <n v="0"/>
    <m/>
    <m/>
    <m/>
    <e v="#DIV/0!"/>
    <m/>
    <m/>
    <m/>
    <m/>
    <m/>
    <m/>
    <m/>
    <m/>
    <m/>
    <m/>
    <d v="2022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m/>
    <m/>
    <m/>
    <m/>
    <m/>
    <n v="0"/>
    <m/>
    <n v="0"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GTOI Roland Garros"/>
    <x v="2"/>
    <x v="1"/>
    <x v="9"/>
    <m/>
    <s v="FVA"/>
    <s v="VAF"/>
    <x v="9"/>
    <m/>
    <m/>
    <m/>
    <m/>
    <m/>
    <m/>
    <m/>
    <m/>
    <m/>
    <m/>
    <m/>
    <m/>
    <m/>
    <m/>
    <m/>
    <m/>
    <m/>
    <m/>
    <m/>
    <m/>
    <x v="2"/>
    <n v="61"/>
    <n v="61"/>
    <x v="0"/>
    <x v="2"/>
    <x v="3"/>
    <x v="0"/>
    <n v="4348"/>
    <m/>
    <n v="4313.55"/>
    <n v="4313.55"/>
    <n v="70.713934426229514"/>
    <m/>
    <m/>
    <m/>
    <m/>
    <m/>
    <m/>
    <m/>
    <m/>
    <m/>
    <m/>
    <m/>
    <n v="10783875.512"/>
    <m/>
    <m/>
    <m/>
    <s v="SO"/>
    <s v="SO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7"/>
    <x v="8"/>
    <n v="1462.0666666666666"/>
    <s v="0"/>
    <n v="16"/>
    <n v="19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1-06-01T00:00:00"/>
    <d v="2021-09-01T00:00:00"/>
    <n v="3.0666666666666669"/>
    <d v="1901-12-31T00:00:00"/>
    <m/>
    <m/>
    <d v="2021-09-16T00:00:00"/>
    <m/>
    <d v="2021-07-01T00:00:00"/>
    <x v="64"/>
    <x v="6"/>
    <n v="3.5666666666666669"/>
    <m/>
    <n v="0"/>
    <m/>
    <m/>
    <n v="0"/>
    <m/>
    <m/>
    <m/>
    <e v="#DIV/0!"/>
    <m/>
    <m/>
    <m/>
    <m/>
    <m/>
    <m/>
    <m/>
    <m/>
    <m/>
    <m/>
    <d v="2022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RPA MERCURY (Terrain DAMOUR)"/>
    <x v="2"/>
    <x v="1"/>
    <x v="9"/>
    <s v="PRLC 0204"/>
    <s v="APU"/>
    <m/>
    <x v="9"/>
    <m/>
    <s v="CH 483 / 102"/>
    <s v="CPV CH 102 à signer hors QPV - en stand by / portage demandé à commune_x000a_topo à compléter_x000a_CH 483 : prorogation à fin 2019 refusée par vendeur / Mairie sollicitée pour portage"/>
    <m/>
    <m/>
    <s v="CPV DAMOUR OK_x000a_manque CPV sur CH 102"/>
    <n v="1597"/>
    <n v="450000"/>
    <m/>
    <e v="#DIV/0!"/>
    <n v="281.77833437695682"/>
    <n v="0"/>
    <e v="#DIV/0!"/>
    <e v="#DIV/0!"/>
    <e v="#DIV/0!"/>
    <m/>
    <n v="0"/>
    <m/>
    <m/>
    <m/>
    <x v="2"/>
    <n v="0"/>
    <n v="0"/>
    <x v="0"/>
    <x v="2"/>
    <x v="4"/>
    <x v="0"/>
    <m/>
    <n v="2237"/>
    <m/>
    <m/>
    <e v="#DIV/0!"/>
    <m/>
    <m/>
    <m/>
    <m/>
    <m/>
    <m/>
    <m/>
    <m/>
    <m/>
    <m/>
    <m/>
    <m/>
    <m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d v="2018-02-19T00:00:00"/>
    <d v="2018-02-20T00:00:00"/>
    <m/>
    <s v="0"/>
    <d v="2018-06-15T00:00:00"/>
    <d v="2018-06-15T00:00:00"/>
    <n v="0"/>
    <d v="2018-05-25T00:00:00"/>
    <d v="2018-09-05T00:00:00"/>
    <n v="103"/>
    <d v="2018-08-14T00:00:00"/>
    <d v="2018-09-05T00:00:00"/>
    <n v="22"/>
    <d v="2018-10-15T00:00:00"/>
    <d v="2018-10-15T00:00:00"/>
    <n v="0"/>
    <m/>
    <m/>
    <d v="2019-07-30T00:00:00"/>
    <d v="2019-07-30T00:00:00"/>
    <n v="0"/>
    <d v="2019-08-14T00:00:00"/>
    <x v="58"/>
    <x v="8"/>
    <n v="1464.2"/>
    <n v="235"/>
    <n v="16"/>
    <n v="19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1-08-05T00:00:00"/>
    <d v="2021-11-05T00:00:00"/>
    <n v="3.0666666666666669"/>
    <d v="1901-12-31T00:00:00"/>
    <m/>
    <m/>
    <d v="2021-12-05T00:00:00"/>
    <m/>
    <d v="2021-09-05T00:00:00"/>
    <x v="65"/>
    <x v="6"/>
    <n v="4.0666666666666664"/>
    <m/>
    <n v="0"/>
    <m/>
    <n v="0"/>
    <n v="0"/>
    <m/>
    <m/>
    <m/>
    <e v="#DIV/0!"/>
    <m/>
    <m/>
    <s v="analyse MOE à faire par FBR / faire mail à ASI"/>
    <m/>
    <m/>
    <m/>
    <m/>
    <m/>
    <m/>
    <m/>
    <d v="2022-11-05T00:00:00"/>
    <m/>
    <m/>
    <m/>
    <m/>
    <m/>
    <m/>
    <m/>
    <m/>
    <m/>
    <m/>
    <m/>
    <m/>
    <m/>
    <m/>
    <m/>
    <m/>
    <n v="5276624"/>
    <n v="0"/>
    <n v="-5276624"/>
    <n v="2358.7948144836837"/>
    <e v="#DIV/0!"/>
    <m/>
    <m/>
    <n v="0"/>
    <e v="#DIV/0!"/>
    <n v="0.4"/>
    <n v="1821843"/>
    <m/>
    <m/>
    <e v="#DIV/0!"/>
    <m/>
    <n v="3454781"/>
    <n v="0"/>
    <m/>
    <m/>
    <n v="-3454781"/>
    <e v="#DIV/0!"/>
    <m/>
    <m/>
    <m/>
    <m/>
    <e v="#DIV/0!"/>
    <m/>
    <m/>
    <n v="0"/>
    <e v="#DIV/0!"/>
    <e v="#DIV/0!"/>
    <e v="#DIV/0!"/>
    <n v="6.31"/>
    <m/>
    <m/>
    <m/>
    <e v="#DIV/0!"/>
    <m/>
    <e v="#DIV/0!"/>
    <n v="0.34526678421657486"/>
    <m/>
    <m/>
    <n v="0"/>
    <n v="5276624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Miami"/>
    <x v="13"/>
    <x v="2"/>
    <x v="9"/>
    <m/>
    <m/>
    <s v="MMA"/>
    <x v="10"/>
    <m/>
    <m/>
    <m/>
    <m/>
    <m/>
    <m/>
    <n v="6860"/>
    <n v="1500000"/>
    <m/>
    <n v="25000"/>
    <n v="218.65889212827989"/>
    <n v="0"/>
    <n v="0"/>
    <n v="0"/>
    <n v="114.33333333333333"/>
    <m/>
    <n v="0.76187317784256559"/>
    <m/>
    <m/>
    <m/>
    <x v="2"/>
    <n v="60"/>
    <n v="60"/>
    <x v="0"/>
    <x v="2"/>
    <x v="5"/>
    <x v="0"/>
    <n v="4451.04"/>
    <n v="5226.45"/>
    <n v="5226.45"/>
    <n v="5226.45"/>
    <n v="87.107500000000002"/>
    <m/>
    <m/>
    <m/>
    <m/>
    <m/>
    <m/>
    <m/>
    <m/>
    <m/>
    <m/>
    <m/>
    <n v="10724849"/>
    <d v="2018-06-26T00:00:00"/>
    <d v="2018-04-18T00:00:00"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e v="#NUM!"/>
    <m/>
    <m/>
    <m/>
    <s v="0"/>
    <m/>
    <m/>
    <s v="0"/>
    <m/>
    <m/>
    <s v="0"/>
    <m/>
    <m/>
    <s v="0"/>
    <m/>
    <m/>
    <s v="0"/>
    <m/>
    <m/>
    <m/>
    <m/>
    <s v="0"/>
    <m/>
    <x v="59"/>
    <x v="8"/>
    <n v="1467.1"/>
    <s v="0"/>
    <n v="18"/>
    <n v="18"/>
    <m/>
    <d v="2018-09-05T00:00:00"/>
    <s v="0"/>
    <m/>
    <d v="2018-09-05T00:00:00"/>
    <s v="0"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2-01-01T00:00:00"/>
    <d v="2022-01-01T00:00:00"/>
    <n v="0"/>
    <d v="1901-12-31T00:00:00"/>
    <m/>
    <m/>
    <d v="2022-02-01T00:00:00"/>
    <m/>
    <d v="2022-02-01T00:00:00"/>
    <x v="66"/>
    <x v="6"/>
    <n v="0"/>
    <m/>
    <n v="0"/>
    <m/>
    <m/>
    <n v="0"/>
    <m/>
    <m/>
    <m/>
    <e v="#DIV/0!"/>
    <m/>
    <m/>
    <m/>
    <m/>
    <m/>
    <m/>
    <m/>
    <m/>
    <m/>
    <m/>
    <d v="2023-01-01T00:00:00"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0"/>
    <m/>
    <m/>
    <m/>
    <m/>
    <m/>
    <m/>
    <n v="0"/>
    <m/>
    <m/>
    <m/>
    <m/>
    <e v="#DIV/0!"/>
    <m/>
    <m/>
    <m/>
    <n v="0"/>
    <n v="0"/>
    <m/>
    <m/>
    <m/>
    <m/>
    <m/>
    <m/>
    <m/>
    <m/>
    <m/>
    <m/>
    <m/>
    <n v="0"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GORBATCHEV"/>
    <x v="2"/>
    <x v="1"/>
    <x v="9"/>
    <m/>
    <s v="YFR"/>
    <s v="SRI"/>
    <x v="9"/>
    <m/>
    <s v="BY 284"/>
    <s v="courrier à faire à la Mairie pour un portage / CPV signé achevé 31/03/18 / attente décision CM sur achat terrain"/>
    <m/>
    <m/>
    <m/>
    <m/>
    <m/>
    <m/>
    <n v="0"/>
    <e v="#DIV/0!"/>
    <e v="#DIV/0!"/>
    <e v="#DIV/0!"/>
    <n v="0"/>
    <n v="0"/>
    <m/>
    <e v="#DIV/0!"/>
    <m/>
    <m/>
    <m/>
    <x v="2"/>
    <n v="30"/>
    <n v="30"/>
    <x v="0"/>
    <x v="2"/>
    <x v="4"/>
    <x v="0"/>
    <m/>
    <m/>
    <m/>
    <m/>
    <n v="0"/>
    <m/>
    <m/>
    <m/>
    <m/>
    <m/>
    <m/>
    <m/>
    <m/>
    <m/>
    <m/>
    <m/>
    <m/>
    <d v="2018-05-09T00:00:00"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x v="59"/>
    <x v="8"/>
    <n v="1467.1"/>
    <s v="0"/>
    <n v="16"/>
    <n v="19"/>
    <m/>
    <d v="2018-09-05T00:00:00"/>
    <s v="0"/>
    <m/>
    <d v="2018-09-05T00:00:00"/>
    <s v="0"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1-11-01T00:00:00"/>
    <d v="2022-02-01T00:00:00"/>
    <n v="3.0666666666666669"/>
    <d v="1901-12-31T00:00:00"/>
    <m/>
    <m/>
    <d v="2022-03-01T00:00:00"/>
    <m/>
    <d v="2021-12-01T00:00:00"/>
    <x v="67"/>
    <x v="6"/>
    <n v="4.0333333333333332"/>
    <m/>
    <n v="0"/>
    <m/>
    <m/>
    <n v="0"/>
    <m/>
    <m/>
    <m/>
    <e v="#DIV/0!"/>
    <m/>
    <m/>
    <m/>
    <m/>
    <m/>
    <m/>
    <m/>
    <m/>
    <m/>
    <m/>
    <d v="2023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AJP PIHOUEE"/>
    <x v="2"/>
    <x v="1"/>
    <x v="9"/>
    <m/>
    <m/>
    <m/>
    <x v="9"/>
    <m/>
    <s v="EK 204"/>
    <m/>
    <m/>
    <m/>
    <m/>
    <m/>
    <m/>
    <m/>
    <m/>
    <m/>
    <m/>
    <m/>
    <m/>
    <m/>
    <m/>
    <m/>
    <m/>
    <m/>
    <m/>
    <x v="4"/>
    <n v="59"/>
    <n v="59"/>
    <x v="0"/>
    <x v="36"/>
    <x v="0"/>
    <x v="0"/>
    <n v="3590.09"/>
    <m/>
    <m/>
    <m/>
    <n v="0"/>
    <m/>
    <m/>
    <m/>
    <m/>
    <m/>
    <m/>
    <m/>
    <m/>
    <m/>
    <s v="collectif"/>
    <s v="oui"/>
    <m/>
    <m/>
    <m/>
    <m/>
    <s v="SO"/>
    <s v="SO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7"/>
    <x v="8"/>
    <n v="1462.0666666666666"/>
    <s v="0"/>
    <n v="20"/>
    <n v="23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1-10-01T00:00:00"/>
    <d v="2022-01-01T00:00:00"/>
    <n v="3.0666666666666669"/>
    <d v="1901-12-31T00:00:00"/>
    <m/>
    <m/>
    <d v="2022-02-01T00:00:00"/>
    <m/>
    <d v="2021-11-01T00:00:00"/>
    <x v="68"/>
    <x v="6"/>
    <n v="4"/>
    <m/>
    <n v="0"/>
    <m/>
    <m/>
    <n v="0"/>
    <m/>
    <m/>
    <m/>
    <e v="#DIV/0!"/>
    <m/>
    <m/>
    <m/>
    <m/>
    <m/>
    <m/>
    <m/>
    <m/>
    <m/>
    <m/>
    <d v="2023-01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Casabianca"/>
    <x v="7"/>
    <x v="1"/>
    <x v="10"/>
    <m/>
    <s v="JER"/>
    <s v="NLE"/>
    <x v="9"/>
    <m/>
    <s v="AP 1535"/>
    <s v="bail à construction sur AP 1558 qui concerne Foyer Casabianca"/>
    <s v="Entre-Deux"/>
    <s v="LE GOFF"/>
    <d v="2008-12-16T00:00:00"/>
    <m/>
    <m/>
    <m/>
    <m/>
    <m/>
    <m/>
    <m/>
    <m/>
    <m/>
    <m/>
    <e v="#DIV/0!"/>
    <m/>
    <m/>
    <m/>
    <x v="3"/>
    <n v="16"/>
    <n v="0"/>
    <x v="0"/>
    <x v="2"/>
    <x v="0"/>
    <x v="11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oui"/>
    <n v="3"/>
    <n v="0"/>
    <n v="0"/>
    <m/>
    <m/>
    <m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m/>
    <m/>
    <s v="0"/>
    <m/>
    <x v="60"/>
    <x v="8"/>
    <n v="1459.4666666666667"/>
    <s v="0"/>
    <n v="12"/>
    <n v="13"/>
    <m/>
    <d v="2018-09-05T00:00:00"/>
    <s v="0"/>
    <m/>
    <m/>
    <s v="0"/>
    <m/>
    <m/>
    <s v="0"/>
    <m/>
    <m/>
    <s v="0"/>
    <m/>
    <m/>
    <s v="0"/>
    <m/>
    <m/>
    <s v="0"/>
    <m/>
    <d v="2018-09-05T00:00:00"/>
    <s v="0"/>
    <m/>
    <m/>
    <m/>
    <d v="2020-11-15T00:00:00"/>
    <d v="2020-12-15T00:00:00"/>
    <n v="1"/>
    <m/>
    <m/>
    <m/>
    <d v="2021-01-15T00:00:00"/>
    <m/>
    <d v="2020-12-15T00:00:00"/>
    <x v="46"/>
    <x v="6"/>
    <n v="2.0666666666666669"/>
    <m/>
    <n v="0"/>
    <m/>
    <m/>
    <n v="0"/>
    <m/>
    <m/>
    <m/>
    <m/>
    <m/>
    <m/>
    <m/>
    <m/>
    <m/>
    <m/>
    <m/>
    <m/>
    <m/>
    <m/>
    <d v="2021-1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117689.6875"/>
    <m/>
    <n v="3389915"/>
    <m/>
    <m/>
    <m/>
    <n v="-3389915"/>
    <n v="0"/>
    <m/>
    <n v="250000"/>
    <m/>
    <m/>
    <e v="#DIV/0!"/>
    <m/>
    <m/>
    <n v="-250000"/>
    <n v="0"/>
    <n v="0"/>
    <n v="-15625"/>
    <n v="6.31"/>
    <m/>
    <m/>
    <m/>
    <n v="133314.6875"/>
    <m/>
    <n v="0"/>
    <n v="0.38621298400311427"/>
    <m/>
    <m/>
    <n v="0"/>
    <n v="552295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Chapelle"/>
    <x v="2"/>
    <x v="1"/>
    <x v="10"/>
    <m/>
    <s v="JER"/>
    <s v="NLE"/>
    <x v="9"/>
    <m/>
    <s v="CN 286"/>
    <s v="RAS"/>
    <s v="SODEGIS"/>
    <s v="MOUTIEN"/>
    <d v="1997-05-21T00:00:00"/>
    <m/>
    <m/>
    <m/>
    <m/>
    <m/>
    <m/>
    <m/>
    <m/>
    <m/>
    <m/>
    <e v="#DIV/0!"/>
    <m/>
    <m/>
    <m/>
    <x v="3"/>
    <n v="38"/>
    <n v="0"/>
    <x v="0"/>
    <x v="2"/>
    <x v="0"/>
    <x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1"/>
    <x v="8"/>
    <n v="1461.5"/>
    <s v="0"/>
    <n v="12"/>
    <n v="13"/>
    <m/>
    <d v="2018-09-05T00:00:00"/>
    <s v="0"/>
    <m/>
    <m/>
    <s v="0"/>
    <m/>
    <m/>
    <s v="0"/>
    <m/>
    <m/>
    <s v="0"/>
    <m/>
    <m/>
    <s v="0"/>
    <m/>
    <m/>
    <s v="0"/>
    <m/>
    <d v="2018-09-05T00:00:00"/>
    <s v="0"/>
    <m/>
    <m/>
    <m/>
    <d v="2021-01-15T00:00:00"/>
    <d v="2021-02-15T00:00:00"/>
    <n v="1.0333333333333334"/>
    <m/>
    <m/>
    <m/>
    <d v="2021-03-15T00:00:00"/>
    <m/>
    <d v="2021-02-15T00:00:00"/>
    <x v="69"/>
    <x v="6"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49553.552631578947"/>
    <m/>
    <n v="3389915"/>
    <n v="0"/>
    <m/>
    <m/>
    <n v="-3389915"/>
    <n v="0"/>
    <m/>
    <n v="250000"/>
    <m/>
    <m/>
    <e v="#DIV/0!"/>
    <m/>
    <m/>
    <n v="-250000"/>
    <n v="0"/>
    <n v="0"/>
    <n v="-6578.9473684210525"/>
    <n v="6.31"/>
    <m/>
    <m/>
    <m/>
    <n v="56132.5"/>
    <m/>
    <n v="0"/>
    <n v="0.38621298400311427"/>
    <m/>
    <m/>
    <n v="0"/>
    <n v="552295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Chemin Galet 1"/>
    <x v="6"/>
    <x v="1"/>
    <x v="10"/>
    <m/>
    <s v="JER"/>
    <s v="NLE"/>
    <x v="9"/>
    <m/>
    <s v="BY 1389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3"/>
    <n v="30"/>
    <n v="0"/>
    <x v="0"/>
    <x v="2"/>
    <x v="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1"/>
    <x v="8"/>
    <n v="1461.5"/>
    <s v="0"/>
    <n v="12"/>
    <n v="13"/>
    <m/>
    <d v="2018-09-05T00:00:00"/>
    <s v="0"/>
    <m/>
    <m/>
    <s v="0"/>
    <m/>
    <m/>
    <s v="0"/>
    <m/>
    <m/>
    <s v="0"/>
    <m/>
    <m/>
    <s v="0"/>
    <m/>
    <m/>
    <s v="0"/>
    <m/>
    <d v="2018-09-05T00:00:00"/>
    <s v="0"/>
    <m/>
    <m/>
    <m/>
    <d v="2021-01-15T00:00:00"/>
    <d v="2021-02-15T00:00:00"/>
    <n v="1.0333333333333334"/>
    <m/>
    <m/>
    <m/>
    <d v="2021-03-15T00:00:00"/>
    <m/>
    <d v="2021-02-15T00:00:00"/>
    <x v="69"/>
    <x v="6"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62767.833333333336"/>
    <m/>
    <n v="3389915"/>
    <n v="0"/>
    <m/>
    <m/>
    <n v="-3389915"/>
    <n v="0"/>
    <m/>
    <n v="250000"/>
    <m/>
    <m/>
    <e v="#DIV/0!"/>
    <m/>
    <m/>
    <n v="-250000"/>
    <n v="0"/>
    <n v="0"/>
    <n v="-8333.3333333333339"/>
    <n v="6.31"/>
    <m/>
    <m/>
    <m/>
    <n v="71101.166666666672"/>
    <m/>
    <n v="0"/>
    <n v="0.38621298400311427"/>
    <m/>
    <m/>
    <n v="0"/>
    <n v="552295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Chemin Galet 2"/>
    <x v="6"/>
    <x v="1"/>
    <x v="10"/>
    <m/>
    <s v="JER"/>
    <m/>
    <x v="9"/>
    <m/>
    <s v="BY 1385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3"/>
    <n v="32"/>
    <n v="0"/>
    <x v="0"/>
    <x v="2"/>
    <x v="0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1"/>
    <x v="8"/>
    <n v="1461.5"/>
    <s v="0"/>
    <n v="12"/>
    <n v="13"/>
    <m/>
    <d v="2018-09-05T00:00:00"/>
    <s v="0"/>
    <m/>
    <m/>
    <s v="0"/>
    <m/>
    <m/>
    <s v="0"/>
    <m/>
    <m/>
    <s v="0"/>
    <m/>
    <m/>
    <s v="0"/>
    <m/>
    <m/>
    <s v="0"/>
    <m/>
    <d v="2018-09-05T00:00:00"/>
    <s v="0"/>
    <m/>
    <m/>
    <m/>
    <d v="2021-01-15T00:00:00"/>
    <d v="2021-02-15T00:00:00"/>
    <n v="1.0333333333333334"/>
    <m/>
    <m/>
    <m/>
    <d v="2021-03-15T00:00:00"/>
    <m/>
    <d v="2021-02-15T00:00:00"/>
    <x v="69"/>
    <x v="6"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58844.84375"/>
    <m/>
    <n v="3389915"/>
    <n v="0"/>
    <m/>
    <m/>
    <n v="-3389915"/>
    <n v="0"/>
    <m/>
    <n v="250000"/>
    <m/>
    <m/>
    <e v="#DIV/0!"/>
    <m/>
    <m/>
    <n v="-250000"/>
    <n v="0"/>
    <n v="0"/>
    <n v="-7812.5"/>
    <n v="6.31"/>
    <m/>
    <m/>
    <m/>
    <n v="66657.34375"/>
    <m/>
    <n v="0"/>
    <n v="0.38621298400311427"/>
    <m/>
    <m/>
    <n v="0"/>
    <n v="552295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Les Orchidées"/>
    <x v="2"/>
    <x v="1"/>
    <x v="10"/>
    <m/>
    <s v="JER"/>
    <m/>
    <x v="9"/>
    <m/>
    <s v="?"/>
    <s v="pas de justificatif"/>
    <m/>
    <m/>
    <m/>
    <m/>
    <m/>
    <m/>
    <m/>
    <m/>
    <m/>
    <m/>
    <m/>
    <m/>
    <m/>
    <e v="#DIV/0!"/>
    <m/>
    <m/>
    <m/>
    <x v="3"/>
    <n v="83"/>
    <n v="0"/>
    <x v="0"/>
    <x v="2"/>
    <x v="0"/>
    <x v="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1"/>
    <x v="8"/>
    <n v="1461.5"/>
    <s v="0"/>
    <n v="12"/>
    <n v="13"/>
    <m/>
    <d v="2018-09-05T00:00:00"/>
    <s v="0"/>
    <m/>
    <m/>
    <s v="0"/>
    <m/>
    <n v="43348"/>
    <s v="0"/>
    <m/>
    <m/>
    <s v="0"/>
    <m/>
    <m/>
    <s v="0"/>
    <m/>
    <m/>
    <s v="0"/>
    <m/>
    <d v="2018-09-05T00:00:00"/>
    <s v="0"/>
    <m/>
    <m/>
    <m/>
    <d v="2021-01-15T00:00:00"/>
    <d v="2021-02-15T00:00:00"/>
    <n v="1.0333333333333334"/>
    <m/>
    <m/>
    <m/>
    <d v="2021-03-15T00:00:00"/>
    <m/>
    <d v="2021-02-15T00:00:00"/>
    <x v="69"/>
    <x v="6"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La Cure 2"/>
    <x v="6"/>
    <x v="1"/>
    <x v="10"/>
    <m/>
    <s v="JER"/>
    <m/>
    <x v="9"/>
    <m/>
    <m/>
    <s v="dépôt de pièces divisant BN 419/420/421/422/423/782/783/825_x000a_manque titre de propriété des parcelles divisées"/>
    <s v="SODEGIS"/>
    <s v="BASTI"/>
    <d v="2001-08-22T00:00:00"/>
    <m/>
    <m/>
    <m/>
    <m/>
    <m/>
    <m/>
    <m/>
    <m/>
    <m/>
    <m/>
    <e v="#DIV/0!"/>
    <m/>
    <m/>
    <m/>
    <x v="3"/>
    <n v="18"/>
    <n v="0"/>
    <x v="0"/>
    <x v="2"/>
    <x v="0"/>
    <x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1"/>
    <x v="8"/>
    <n v="1461.5"/>
    <s v="0"/>
    <n v="12"/>
    <n v="13"/>
    <m/>
    <d v="2018-09-05T00:00:00"/>
    <s v="0"/>
    <m/>
    <m/>
    <s v="0"/>
    <m/>
    <m/>
    <s v="0"/>
    <m/>
    <m/>
    <s v="0"/>
    <m/>
    <m/>
    <s v="0"/>
    <m/>
    <m/>
    <s v="0"/>
    <m/>
    <d v="2018-09-05T00:00:00"/>
    <s v="0"/>
    <m/>
    <m/>
    <m/>
    <d v="2021-01-15T00:00:00"/>
    <d v="2021-02-15T00:00:00"/>
    <n v="1.0333333333333334"/>
    <m/>
    <m/>
    <m/>
    <d v="2021-03-15T00:00:00"/>
    <m/>
    <d v="2021-02-15T00:00:00"/>
    <x v="69"/>
    <x v="6"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Le Choka Bleu"/>
    <x v="6"/>
    <x v="1"/>
    <x v="10"/>
    <m/>
    <s v="JER"/>
    <m/>
    <x v="9"/>
    <m/>
    <s v="BN 813 / 812"/>
    <s v="manque justificatif BN 812"/>
    <s v="SODEGIS"/>
    <s v="Esparon"/>
    <d v="1996-11-27T00:00:00"/>
    <m/>
    <m/>
    <m/>
    <m/>
    <m/>
    <m/>
    <m/>
    <m/>
    <m/>
    <m/>
    <e v="#DIV/0!"/>
    <m/>
    <m/>
    <m/>
    <x v="3"/>
    <n v="26"/>
    <n v="0"/>
    <x v="0"/>
    <x v="2"/>
    <x v="0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1"/>
    <x v="8"/>
    <n v="1461.5"/>
    <s v="0"/>
    <n v="12"/>
    <n v="13"/>
    <m/>
    <d v="2018-09-05T00:00:00"/>
    <s v="0"/>
    <m/>
    <m/>
    <s v="0"/>
    <m/>
    <n v="43348"/>
    <s v="0"/>
    <m/>
    <m/>
    <s v="0"/>
    <m/>
    <m/>
    <s v="0"/>
    <m/>
    <m/>
    <s v="0"/>
    <m/>
    <d v="2018-09-05T00:00:00"/>
    <s v="0"/>
    <m/>
    <m/>
    <m/>
    <d v="2021-01-15T00:00:00"/>
    <d v="2021-02-15T00:00:00"/>
    <n v="1.0333333333333334"/>
    <m/>
    <m/>
    <m/>
    <d v="2021-03-15T00:00:00"/>
    <m/>
    <d v="2021-02-15T00:00:00"/>
    <x v="69"/>
    <x v="6"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AV 120"/>
    <x v="4"/>
    <x v="0"/>
    <x v="10"/>
    <m/>
    <m/>
    <m/>
    <x v="9"/>
    <m/>
    <s v="AV 120"/>
    <s v="négo en cours_x000a_en attente jugement succession puis signer un CPV_x000a_courrier Mairie sur portage EPFR fait_x000a_Programme mixte voulu : LLS  LLTS / MDV / Lots libres = en attente typologie GL"/>
    <m/>
    <m/>
    <m/>
    <m/>
    <m/>
    <m/>
    <n v="0"/>
    <e v="#DIV/0!"/>
    <e v="#DIV/0!"/>
    <e v="#DIV/0!"/>
    <n v="0"/>
    <n v="0"/>
    <m/>
    <e v="#DIV/0!"/>
    <m/>
    <m/>
    <m/>
    <x v="0"/>
    <n v="70"/>
    <n v="70"/>
    <x v="0"/>
    <x v="37"/>
    <x v="0"/>
    <x v="0"/>
    <m/>
    <m/>
    <m/>
    <m/>
    <n v="0"/>
    <m/>
    <m/>
    <m/>
    <m/>
    <m/>
    <m/>
    <m/>
    <m/>
    <m/>
    <m/>
    <m/>
    <m/>
    <d v="2018-04-18T00:00:00"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9"/>
    <x v="8"/>
    <n v="1467.1"/>
    <s v="0"/>
    <n v="20"/>
    <n v="20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2-03-01T00:00:00"/>
    <d v="2022-03-01T00:00:00"/>
    <n v="0"/>
    <d v="1901-12-31T00:00:00"/>
    <m/>
    <m/>
    <d v="2022-04-01T00:00:00"/>
    <m/>
    <d v="2022-04-01T00:00:00"/>
    <x v="67"/>
    <x v="6"/>
    <n v="0"/>
    <m/>
    <n v="0"/>
    <m/>
    <m/>
    <n v="0"/>
    <m/>
    <m/>
    <m/>
    <e v="#DIV/0!"/>
    <m/>
    <m/>
    <m/>
    <m/>
    <m/>
    <m/>
    <m/>
    <m/>
    <m/>
    <m/>
    <d v="2023-03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DE SIGOYER"/>
    <x v="2"/>
    <x v="1"/>
    <x v="10"/>
    <m/>
    <m/>
    <m/>
    <x v="9"/>
    <m/>
    <s v="EN 303-305"/>
    <m/>
    <m/>
    <m/>
    <m/>
    <m/>
    <m/>
    <m/>
    <n v="0"/>
    <e v="#DIV/0!"/>
    <e v="#DIV/0!"/>
    <e v="#DIV/0!"/>
    <n v="0"/>
    <n v="0"/>
    <m/>
    <e v="#DIV/0!"/>
    <m/>
    <m/>
    <m/>
    <x v="0"/>
    <n v="55"/>
    <n v="55"/>
    <x v="0"/>
    <x v="27"/>
    <x v="0"/>
    <x v="0"/>
    <m/>
    <m/>
    <m/>
    <m/>
    <n v="0"/>
    <m/>
    <m/>
    <m/>
    <m/>
    <m/>
    <m/>
    <m/>
    <m/>
    <m/>
    <m/>
    <m/>
    <m/>
    <m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62"/>
    <x v="8"/>
    <n v="1474.2666666666667"/>
    <s v="0"/>
    <n v="16"/>
    <n v="19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2-06-01T00:00:00"/>
    <d v="2022-09-01T00:00:00"/>
    <n v="3.0666666666666669"/>
    <d v="1901-12-31T00:00:00"/>
    <m/>
    <m/>
    <d v="2022-09-16T00:00:00"/>
    <m/>
    <d v="2022-07-01T00:00:00"/>
    <x v="70"/>
    <x v="6"/>
    <n v="3.5666666666666669"/>
    <m/>
    <n v="0"/>
    <m/>
    <m/>
    <n v="0"/>
    <m/>
    <m/>
    <m/>
    <e v="#DIV/0!"/>
    <m/>
    <m/>
    <m/>
    <m/>
    <m/>
    <m/>
    <m/>
    <m/>
    <m/>
    <m/>
    <d v="2023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OCTAVIE LLS"/>
    <x v="2"/>
    <x v="1"/>
    <x v="10"/>
    <m/>
    <m/>
    <m/>
    <x v="10"/>
    <m/>
    <s v="CH 162"/>
    <s v="topo complémentaire en cours sur riverains_x000a_bornage à fournir par le propriétaire_x000a_CPV signé - prend fin au 31/12/18_x000a_Mairie fait un courrier  à Préfecture sur QPV"/>
    <s v="SITA"/>
    <m/>
    <m/>
    <n v="5498"/>
    <n v="924932"/>
    <m/>
    <n v="22022.190476190477"/>
    <n v="168.23062931975264"/>
    <n v="0"/>
    <e v="#DIV/0!"/>
    <n v="0"/>
    <n v="130.9047619047619"/>
    <m/>
    <n v="0"/>
    <s v="UB"/>
    <n v="580"/>
    <n v="0.1"/>
    <x v="1"/>
    <n v="42"/>
    <n v="42"/>
    <x v="18"/>
    <x v="2"/>
    <x v="0"/>
    <x v="0"/>
    <m/>
    <m/>
    <m/>
    <m/>
    <n v="0"/>
    <m/>
    <m/>
    <m/>
    <m/>
    <m/>
    <m/>
    <m/>
    <m/>
    <m/>
    <m/>
    <m/>
    <m/>
    <m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x v="59"/>
    <x v="8"/>
    <n v="1467.1"/>
    <s v="0"/>
    <n v="24"/>
    <n v="27"/>
    <m/>
    <d v="2018-09-05T00:00:00"/>
    <s v="0"/>
    <m/>
    <d v="2018-09-05T00:00:00"/>
    <s v="0"/>
    <m/>
    <n v="43348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2-07-01T00:00:00"/>
    <d v="2022-10-01T00:00:00"/>
    <n v="3.0666666666666669"/>
    <d v="1901-12-31T00:00:00"/>
    <m/>
    <m/>
    <d v="2022-11-01T00:00:00"/>
    <m/>
    <d v="2022-08-01T00:00:00"/>
    <x v="71"/>
    <x v="6"/>
    <n v="4.0666666666666664"/>
    <m/>
    <n v="0"/>
    <m/>
    <m/>
    <n v="0"/>
    <m/>
    <m/>
    <m/>
    <e v="#DIV/0!"/>
    <m/>
    <m/>
    <m/>
    <m/>
    <m/>
    <m/>
    <m/>
    <m/>
    <m/>
    <m/>
    <d v="2023-10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n v="417427"/>
    <n v="41743"/>
    <d v="2017-10-18T00:00:00"/>
    <n v="417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OCTAVIE LLTS"/>
    <x v="2"/>
    <x v="1"/>
    <x v="10"/>
    <m/>
    <m/>
    <m/>
    <x v="10"/>
    <m/>
    <s v="CH 162"/>
    <s v="topo complémentaire en cours sur riverains_x000a_bornage à fournir par le propriétaire_x000a_CPV en cours"/>
    <s v="SITA"/>
    <m/>
    <m/>
    <n v="5498"/>
    <n v="1219167"/>
    <m/>
    <n v="23003.150943396227"/>
    <n v="221.74736267733721"/>
    <n v="0"/>
    <e v="#DIV/0!"/>
    <n v="0"/>
    <n v="103.73584905660377"/>
    <m/>
    <n v="0"/>
    <s v="UB"/>
    <n v="580"/>
    <n v="0.1"/>
    <x v="0"/>
    <n v="53"/>
    <n v="53"/>
    <x v="0"/>
    <x v="38"/>
    <x v="0"/>
    <x v="0"/>
    <m/>
    <m/>
    <m/>
    <m/>
    <n v="0"/>
    <m/>
    <m/>
    <m/>
    <m/>
    <m/>
    <m/>
    <m/>
    <m/>
    <m/>
    <m/>
    <m/>
    <m/>
    <m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x v="59"/>
    <x v="8"/>
    <n v="1467.1"/>
    <s v="0"/>
    <n v="24"/>
    <n v="27"/>
    <m/>
    <d v="2018-09-05T00:00:00"/>
    <s v="0"/>
    <m/>
    <d v="2018-09-05T00:00:00"/>
    <s v="0"/>
    <m/>
    <n v="43348"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2-07-01T00:00:00"/>
    <d v="2022-10-01T00:00:00"/>
    <n v="3.0666666666666669"/>
    <d v="1901-12-31T00:00:00"/>
    <m/>
    <m/>
    <d v="2022-11-01T00:00:00"/>
    <m/>
    <d v="2022-08-01T00:00:00"/>
    <x v="71"/>
    <x v="6"/>
    <n v="4.0666666666666664"/>
    <m/>
    <n v="0"/>
    <m/>
    <m/>
    <n v="0"/>
    <m/>
    <m/>
    <m/>
    <e v="#DIV/0!"/>
    <m/>
    <m/>
    <m/>
    <m/>
    <m/>
    <m/>
    <m/>
    <m/>
    <m/>
    <m/>
    <d v="2023-10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n v="325108"/>
    <n v="32511"/>
    <d v="2017-10-18T00:00:00"/>
    <n v="32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BX 420"/>
    <x v="2"/>
    <x v="1"/>
    <x v="10"/>
    <m/>
    <m/>
    <m/>
    <x v="9"/>
    <m/>
    <s v="BX 420"/>
    <s v="BJE voit si foncier toujours dispo_x000a_Programme Mairie / DEAL :_x000a_- RDC commercial_x000a_- 50 % PLS_x000a_- 50 % LLS/LLTS"/>
    <m/>
    <m/>
    <m/>
    <m/>
    <m/>
    <m/>
    <m/>
    <m/>
    <m/>
    <m/>
    <m/>
    <m/>
    <m/>
    <m/>
    <m/>
    <m/>
    <m/>
    <x v="1"/>
    <n v="35"/>
    <n v="35"/>
    <x v="0"/>
    <x v="29"/>
    <x v="0"/>
    <x v="0"/>
    <m/>
    <m/>
    <m/>
    <m/>
    <n v="0"/>
    <m/>
    <m/>
    <m/>
    <m/>
    <m/>
    <m/>
    <m/>
    <m/>
    <m/>
    <m/>
    <m/>
    <m/>
    <d v="2018-05-09T00:00:00"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63"/>
    <x v="8"/>
    <n v="1479.2666666666667"/>
    <s v="0"/>
    <n v="16"/>
    <n v="19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2-11-01T00:00:00"/>
    <d v="2023-02-01T00:00:00"/>
    <n v="3.0666666666666669"/>
    <d v="1901-12-31T00:00:00"/>
    <m/>
    <m/>
    <d v="2023-02-16T00:00:00"/>
    <m/>
    <d v="2022-12-01T00:00:00"/>
    <x v="72"/>
    <x v="6"/>
    <n v="3.5"/>
    <m/>
    <n v="0"/>
    <m/>
    <m/>
    <n v="0"/>
    <m/>
    <m/>
    <m/>
    <e v="#DIV/0!"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PAPAYE"/>
    <x v="1"/>
    <x v="0"/>
    <x v="10"/>
    <m/>
    <m/>
    <m/>
    <x v="11"/>
    <m/>
    <s v="IL 194-195"/>
    <s v="faire proposition au promoteur de T1 étudiants LLTS si GL OK_x000a_demander dérogation préfet"/>
    <m/>
    <m/>
    <m/>
    <m/>
    <m/>
    <m/>
    <n v="0"/>
    <e v="#DIV/0!"/>
    <e v="#DIV/0!"/>
    <e v="#DIV/0!"/>
    <n v="0"/>
    <n v="0"/>
    <m/>
    <e v="#DIV/0!"/>
    <m/>
    <m/>
    <m/>
    <x v="0"/>
    <n v="40"/>
    <n v="40"/>
    <x v="0"/>
    <x v="7"/>
    <x v="0"/>
    <x v="0"/>
    <m/>
    <m/>
    <m/>
    <m/>
    <n v="0"/>
    <m/>
    <m/>
    <m/>
    <m/>
    <m/>
    <m/>
    <m/>
    <m/>
    <m/>
    <s v="collectif"/>
    <m/>
    <m/>
    <d v="2018-04-17T00:00:00"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63"/>
    <x v="8"/>
    <n v="1479.2666666666667"/>
    <s v="0"/>
    <n v="16"/>
    <n v="19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2-11-01T00:00:00"/>
    <d v="2023-02-01T00:00:00"/>
    <n v="3.0666666666666669"/>
    <d v="1901-12-31T00:00:00"/>
    <m/>
    <m/>
    <d v="2023-02-16T00:00:00"/>
    <m/>
    <d v="2022-12-01T00:00:00"/>
    <x v="72"/>
    <x v="6"/>
    <n v="3.5"/>
    <m/>
    <n v="0"/>
    <m/>
    <m/>
    <n v="0"/>
    <m/>
    <m/>
    <m/>
    <e v="#DIV/0!"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BY 759 SITA"/>
    <x v="2"/>
    <x v="1"/>
    <x v="10"/>
    <m/>
    <m/>
    <m/>
    <x v="9"/>
    <m/>
    <s v="BY 759-760"/>
    <m/>
    <s v="SITA"/>
    <m/>
    <m/>
    <m/>
    <m/>
    <m/>
    <n v="0"/>
    <e v="#DIV/0!"/>
    <e v="#DIV/0!"/>
    <e v="#DIV/0!"/>
    <n v="0"/>
    <n v="0"/>
    <m/>
    <e v="#DIV/0!"/>
    <m/>
    <m/>
    <m/>
    <x v="2"/>
    <n v="19"/>
    <n v="19"/>
    <x v="0"/>
    <x v="2"/>
    <x v="6"/>
    <x v="0"/>
    <m/>
    <m/>
    <m/>
    <m/>
    <n v="0"/>
    <m/>
    <m/>
    <m/>
    <m/>
    <m/>
    <m/>
    <m/>
    <m/>
    <m/>
    <m/>
    <m/>
    <m/>
    <m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63"/>
    <x v="8"/>
    <n v="1479.2666666666667"/>
    <s v="0"/>
    <n v="16"/>
    <n v="19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2-11-01T00:00:00"/>
    <d v="2023-02-01T00:00:00"/>
    <n v="3.0666666666666669"/>
    <d v="1901-12-31T00:00:00"/>
    <m/>
    <m/>
    <d v="2023-03-01T00:00:00"/>
    <m/>
    <d v="2022-12-01T00:00:00"/>
    <x v="73"/>
    <x v="6"/>
    <n v="4.0333333333333332"/>
    <m/>
    <n v="0"/>
    <m/>
    <m/>
    <n v="0"/>
    <m/>
    <m/>
    <m/>
    <e v="#DIV/0!"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CESARIA"/>
    <x v="2"/>
    <x v="1"/>
    <x v="10"/>
    <m/>
    <m/>
    <m/>
    <x v="10"/>
    <m/>
    <s v="BD 2997"/>
    <s v="réétudier opé avec FRAFU à la demande de la DEAL_x000a_voir si PLU a évolué_x000a_faire simul FRAFU"/>
    <m/>
    <m/>
    <m/>
    <m/>
    <m/>
    <m/>
    <n v="0"/>
    <e v="#DIV/0!"/>
    <e v="#DIV/0!"/>
    <e v="#DIV/0!"/>
    <n v="0"/>
    <n v="0"/>
    <m/>
    <e v="#DIV/0!"/>
    <m/>
    <m/>
    <m/>
    <x v="0"/>
    <n v="37"/>
    <n v="37"/>
    <x v="0"/>
    <x v="32"/>
    <x v="0"/>
    <x v="0"/>
    <m/>
    <m/>
    <m/>
    <m/>
    <n v="0"/>
    <m/>
    <m/>
    <m/>
    <m/>
    <m/>
    <m/>
    <m/>
    <m/>
    <m/>
    <s v="collectif"/>
    <m/>
    <m/>
    <m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x v="63"/>
    <x v="8"/>
    <n v="1479.2666666666667"/>
    <s v="0"/>
    <n v="16"/>
    <n v="19"/>
    <m/>
    <d v="2018-09-05T00:00:00"/>
    <s v="0"/>
    <m/>
    <d v="2018-09-05T00:00:00"/>
    <s v="0"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2-11-01T00:00:00"/>
    <d v="2023-02-01T00:00:00"/>
    <n v="3.0666666666666669"/>
    <d v="1901-12-31T00:00:00"/>
    <m/>
    <m/>
    <d v="2023-03-01T00:00:00"/>
    <m/>
    <d v="2022-12-01T00:00:00"/>
    <x v="73"/>
    <x v="6"/>
    <n v="4.0333333333333332"/>
    <m/>
    <n v="0"/>
    <m/>
    <m/>
    <n v="0"/>
    <m/>
    <m/>
    <m/>
    <e v="#DIV/0!"/>
    <m/>
    <m/>
    <m/>
    <m/>
    <m/>
    <m/>
    <m/>
    <m/>
    <m/>
    <m/>
    <d v="2024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Arizona"/>
    <x v="2"/>
    <x v="1"/>
    <x v="10"/>
    <m/>
    <s v="FVA"/>
    <m/>
    <x v="10"/>
    <m/>
    <s v="CX 759 p"/>
    <s v="courrier envoyé à la Mairie sur prix du foncier : pas de réponse_x000a_étendre réflexion à CX 191, propriété EPFR "/>
    <m/>
    <m/>
    <m/>
    <n v="12700"/>
    <n v="787400"/>
    <m/>
    <n v="15748"/>
    <n v="62"/>
    <n v="0"/>
    <e v="#DIV/0!"/>
    <n v="0"/>
    <n v="254"/>
    <m/>
    <n v="0"/>
    <m/>
    <m/>
    <m/>
    <x v="0"/>
    <n v="50"/>
    <n v="50"/>
    <x v="0"/>
    <x v="39"/>
    <x v="0"/>
    <x v="0"/>
    <m/>
    <n v="2492.9699999999998"/>
    <m/>
    <m/>
    <n v="0"/>
    <m/>
    <m/>
    <m/>
    <m/>
    <m/>
    <m/>
    <m/>
    <m/>
    <m/>
    <m/>
    <m/>
    <m/>
    <d v="2018-05-09T00:00:00"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m/>
    <m/>
    <m/>
    <s v="0"/>
    <m/>
    <m/>
    <s v="0"/>
    <m/>
    <m/>
    <s v="0"/>
    <m/>
    <m/>
    <s v="0"/>
    <m/>
    <m/>
    <m/>
    <m/>
    <s v="0"/>
    <m/>
    <x v="63"/>
    <x v="8"/>
    <n v="1479.2666666666667"/>
    <s v="0"/>
    <n v="18"/>
    <n v="21"/>
    <m/>
    <d v="2018-09-05T00:00:00"/>
    <s v="0"/>
    <m/>
    <d v="2018-09-05T00:00:00"/>
    <s v="0"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3-01-01T00:00:00"/>
    <d v="2023-04-01T00:00:00"/>
    <n v="3"/>
    <d v="1901-12-31T00:00:00"/>
    <m/>
    <m/>
    <d v="2023-05-01T00:00:00"/>
    <m/>
    <d v="2023-02-01T00:00:00"/>
    <x v="74"/>
    <x v="6"/>
    <n v="4"/>
    <m/>
    <n v="0"/>
    <m/>
    <m/>
    <n v="0"/>
    <m/>
    <m/>
    <m/>
    <e v="#DIV/0!"/>
    <m/>
    <m/>
    <m/>
    <m/>
    <m/>
    <m/>
    <m/>
    <m/>
    <m/>
    <m/>
    <d v="2024-04-01T00:00:00"/>
    <m/>
    <m/>
    <m/>
    <m/>
    <m/>
    <m/>
    <m/>
    <m/>
    <m/>
    <m/>
    <m/>
    <m/>
    <m/>
    <m/>
    <m/>
    <m/>
    <n v="0"/>
    <n v="0"/>
    <n v="0"/>
    <n v="0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n v="192726"/>
    <n v="67454.500000000015"/>
    <d v="2016-07-28T00:00:00"/>
    <n v="19273"/>
    <m/>
    <m/>
    <m/>
    <n v="9636.3000000000011"/>
    <m/>
    <n v="19272.600000000002"/>
    <m/>
    <n v="19272.600000000002"/>
    <m/>
    <n v="0"/>
    <m/>
    <m/>
    <m/>
    <m/>
    <m/>
    <m/>
    <m/>
    <m/>
    <m/>
    <m/>
    <m/>
    <m/>
    <m/>
    <m/>
    <m/>
    <m/>
    <e v="#VALUE!"/>
    <m/>
    <m/>
    <m/>
    <m/>
    <m/>
  </r>
  <r>
    <s v="SAFER"/>
    <x v="8"/>
    <x v="2"/>
    <x v="10"/>
    <s v="PRLC 0201"/>
    <m/>
    <m/>
    <x v="10"/>
    <m/>
    <s v="AH 893 / AH 975"/>
    <s v="regrouper pièces pour lancer consultation MOE - topo en cours_x000a_étudier scénario raccordement EU / ANC_x000a_CPV en cours de rédaction_x000a_manque évaluation domaines TCO_x000a_terrain SAFER défriché / manque terrain TCO à défricher"/>
    <m/>
    <m/>
    <m/>
    <m/>
    <m/>
    <m/>
    <n v="0"/>
    <e v="#DIV/0!"/>
    <e v="#DIV/0!"/>
    <e v="#DIV/0!"/>
    <n v="0"/>
    <n v="0"/>
    <m/>
    <e v="#DIV/0!"/>
    <m/>
    <m/>
    <m/>
    <x v="0"/>
    <n v="60"/>
    <n v="60"/>
    <x v="0"/>
    <x v="40"/>
    <x v="0"/>
    <x v="0"/>
    <m/>
    <m/>
    <m/>
    <m/>
    <n v="0"/>
    <m/>
    <m/>
    <m/>
    <m/>
    <m/>
    <m/>
    <m/>
    <m/>
    <m/>
    <m/>
    <m/>
    <m/>
    <m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x v="63"/>
    <x v="8"/>
    <n v="1479.2666666666667"/>
    <s v="0"/>
    <n v="18"/>
    <n v="21"/>
    <m/>
    <d v="2018-09-05T00:00:00"/>
    <s v="0"/>
    <m/>
    <d v="2018-09-05T00:00:00"/>
    <s v="0"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3-01-01T00:00:00"/>
    <d v="2023-04-01T00:00:00"/>
    <n v="3"/>
    <d v="1901-12-31T00:00:00"/>
    <m/>
    <m/>
    <d v="2023-05-01T00:00:00"/>
    <m/>
    <d v="2023-02-01T00:00:00"/>
    <x v="74"/>
    <x v="6"/>
    <n v="4"/>
    <m/>
    <n v="0"/>
    <m/>
    <m/>
    <n v="0"/>
    <m/>
    <m/>
    <m/>
    <e v="#DIV/0!"/>
    <m/>
    <m/>
    <m/>
    <m/>
    <m/>
    <m/>
    <m/>
    <m/>
    <m/>
    <m/>
    <d v="2024-04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BENJAMIN HOAREAU"/>
    <x v="2"/>
    <x v="1"/>
    <x v="11"/>
    <m/>
    <m/>
    <m/>
    <x v="9"/>
    <m/>
    <s v="BX 1057,1055"/>
    <s v="attente rendu étude Mairie sur voie qui doit fixer les emprises"/>
    <m/>
    <m/>
    <m/>
    <m/>
    <m/>
    <m/>
    <n v="0"/>
    <e v="#DIV/0!"/>
    <e v="#DIV/0!"/>
    <e v="#DIV/0!"/>
    <n v="0"/>
    <n v="0"/>
    <m/>
    <e v="#DIV/0!"/>
    <m/>
    <m/>
    <m/>
    <x v="0"/>
    <n v="40"/>
    <n v="40"/>
    <x v="0"/>
    <x v="7"/>
    <x v="0"/>
    <x v="0"/>
    <m/>
    <m/>
    <m/>
    <m/>
    <n v="0"/>
    <m/>
    <m/>
    <m/>
    <m/>
    <m/>
    <m/>
    <m/>
    <m/>
    <m/>
    <m/>
    <m/>
    <m/>
    <d v="2018-05-09T00:00:00"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64"/>
    <x v="8"/>
    <m/>
    <s v="0"/>
    <n v="16"/>
    <n v="19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3-11-01T00:00:00"/>
    <d v="2024-02-01T00:00:00"/>
    <n v="3.0666666666666669"/>
    <d v="1901-12-31T00:00:00"/>
    <m/>
    <m/>
    <d v="2024-02-16T00:00:00"/>
    <m/>
    <d v="2023-12-01T00:00:00"/>
    <x v="75"/>
    <x v="6"/>
    <n v="3.5333333333333332"/>
    <m/>
    <n v="0"/>
    <m/>
    <m/>
    <n v="0"/>
    <m/>
    <m/>
    <m/>
    <e v="#DIV/0!"/>
    <m/>
    <m/>
    <m/>
    <m/>
    <m/>
    <m/>
    <m/>
    <m/>
    <m/>
    <m/>
    <d v="2025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GEORGER"/>
    <x v="2"/>
    <x v="1"/>
    <x v="11"/>
    <m/>
    <m/>
    <m/>
    <x v="9"/>
    <m/>
    <s v="BX 176"/>
    <s v="compromise existant entre Mme BERTAUD et le promoteur ==&gt; relancer vendeur pour voir ce qu'il en est"/>
    <m/>
    <m/>
    <m/>
    <m/>
    <m/>
    <m/>
    <n v="0"/>
    <m/>
    <m/>
    <m/>
    <n v="0"/>
    <n v="0"/>
    <m/>
    <m/>
    <m/>
    <m/>
    <m/>
    <x v="0"/>
    <n v="60"/>
    <n v="60"/>
    <x v="0"/>
    <x v="40"/>
    <x v="0"/>
    <x v="0"/>
    <m/>
    <m/>
    <m/>
    <m/>
    <n v="0"/>
    <m/>
    <m/>
    <m/>
    <m/>
    <m/>
    <m/>
    <m/>
    <m/>
    <m/>
    <m/>
    <m/>
    <m/>
    <d v="2018-05-09T00:00:00"/>
    <m/>
    <m/>
    <s v="SO"/>
    <s v="SO"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64"/>
    <x v="8"/>
    <m/>
    <s v="0"/>
    <n v="16"/>
    <n v="19"/>
    <m/>
    <d v="2018-09-05T00:00:00"/>
    <s v="0"/>
    <m/>
    <d v="2018-09-05T00:00:00"/>
    <m/>
    <m/>
    <m/>
    <s v="0"/>
    <m/>
    <d v="2018-09-05T00:00:00"/>
    <s v="0"/>
    <m/>
    <d v="2018-09-05T00:00:00"/>
    <s v="0"/>
    <m/>
    <d v="2018-09-05T00:00:00"/>
    <s v="0"/>
    <m/>
    <d v="2018-09-05T00:00:00"/>
    <s v="0"/>
    <m/>
    <m/>
    <m/>
    <d v="2023-11-01T00:00:00"/>
    <d v="2024-02-01T00:00:00"/>
    <n v="3.0666666666666669"/>
    <d v="1901-12-31T00:00:00"/>
    <m/>
    <m/>
    <d v="2024-02-16T00:00:00"/>
    <m/>
    <d v="2023-12-01T00:00:00"/>
    <x v="75"/>
    <x v="6"/>
    <n v="3.5333333333333332"/>
    <m/>
    <n v="0"/>
    <m/>
    <m/>
    <n v="0"/>
    <m/>
    <m/>
    <m/>
    <e v="#DIV/0!"/>
    <m/>
    <m/>
    <m/>
    <m/>
    <m/>
    <m/>
    <m/>
    <m/>
    <m/>
    <m/>
    <d v="2025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N20" firstHeaderRow="1" firstDataRow="2" firstDataCol="1"/>
  <pivotFields count="270">
    <pivotField showAll="0"/>
    <pivotField showAll="0"/>
    <pivotField axis="axisRow" showAll="0">
      <items count="4">
        <item x="1"/>
        <item x="0"/>
        <item x="2"/>
        <item t="default"/>
      </items>
    </pivotField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x="4"/>
        <item t="default"/>
      </items>
    </pivotField>
    <pivotField dataField="1" numFmtI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numFmtI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showAll="0"/>
    <pivotField showAll="0"/>
    <pivotField showAll="0"/>
    <pivotField numFmtId="3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28"/>
  </rowFields>
  <rowItems count="16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t="grand">
      <x/>
    </i>
  </rowItems>
  <colFields count="1">
    <field x="3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omme de N" fld="2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8E61D"/>
    <pageSetUpPr fitToPage="1"/>
  </sheetPr>
  <dimension ref="A1:JZ238"/>
  <sheetViews>
    <sheetView tabSelected="1" view="pageBreakPreview" zoomScale="70" zoomScaleNormal="70" zoomScaleSheetLayoutView="70" workbookViewId="0">
      <pane xSplit="1" ySplit="1" topLeftCell="JN123" activePane="bottomRight" state="frozen"/>
      <selection pane="topRight" activeCell="B1" sqref="B1"/>
      <selection pane="bottomLeft" activeCell="A2" sqref="A2"/>
      <selection pane="bottomRight" activeCell="JZ127" sqref="A1:JZ127"/>
    </sheetView>
  </sheetViews>
  <sheetFormatPr baseColWidth="10" defaultColWidth="11.42578125" defaultRowHeight="15" outlineLevelCol="1"/>
  <cols>
    <col min="1" max="1" width="27.85546875" style="843" customWidth="1"/>
    <col min="2" max="2" width="19.42578125" style="843" customWidth="1"/>
    <col min="3" max="3" width="17" style="14" customWidth="1"/>
    <col min="4" max="4" width="16.42578125" style="14" customWidth="1"/>
    <col min="5" max="5" width="15.85546875" style="14" customWidth="1"/>
    <col min="6" max="6" width="12.85546875" style="14" customWidth="1"/>
    <col min="7" max="7" width="12.5703125" style="14" customWidth="1"/>
    <col min="8" max="8" width="13.5703125" style="14" customWidth="1"/>
    <col min="9" max="9" width="18.7109375" style="14" customWidth="1"/>
    <col min="10" max="10" width="20.7109375" style="14" customWidth="1"/>
    <col min="11" max="11" width="22.7109375" style="14" customWidth="1"/>
    <col min="12" max="12" width="70.5703125" style="311" hidden="1" customWidth="1" outlineLevel="1"/>
    <col min="13" max="13" width="18.5703125" style="197" hidden="1" customWidth="1" outlineLevel="1"/>
    <col min="14" max="14" width="13.28515625" style="197" hidden="1" customWidth="1" outlineLevel="1"/>
    <col min="15" max="15" width="21.5703125" style="197" hidden="1" customWidth="1" outlineLevel="1"/>
    <col min="16" max="28" width="17.85546875" style="14" hidden="1" customWidth="1" outlineLevel="1"/>
    <col min="29" max="29" width="22" style="14" hidden="1" customWidth="1" outlineLevel="1"/>
    <col min="30" max="30" width="10" style="14" customWidth="1" collapsed="1"/>
    <col min="31" max="32" width="11.42578125" style="14" customWidth="1" collapsed="1"/>
    <col min="33" max="33" width="29.140625" style="14" customWidth="1"/>
    <col min="34" max="34" width="11.85546875" style="14" customWidth="1" collapsed="1"/>
    <col min="35" max="36" width="11.85546875" style="14" customWidth="1"/>
    <col min="37" max="37" width="13.42578125" style="739" customWidth="1"/>
    <col min="38" max="38" width="16.7109375" style="14" customWidth="1" outlineLevel="1"/>
    <col min="39" max="39" width="14.7109375" style="14" customWidth="1" outlineLevel="1"/>
    <col min="40" max="40" width="16.28515625" style="14" customWidth="1" outlineLevel="1"/>
    <col min="41" max="41" width="10.5703125" style="14" customWidth="1" outlineLevel="1"/>
    <col min="42" max="47" width="15.5703125" style="14" customWidth="1" outlineLevel="1"/>
    <col min="48" max="48" width="15.5703125" style="142" customWidth="1" outlineLevel="1"/>
    <col min="49" max="49" width="15.5703125" style="32" customWidth="1" outlineLevel="1"/>
    <col min="50" max="55" width="15.5703125" style="14" customWidth="1" outlineLevel="1"/>
    <col min="56" max="57" width="15.5703125" style="14" customWidth="1"/>
    <col min="58" max="58" width="17.85546875" style="178" customWidth="1" outlineLevel="1"/>
    <col min="59" max="59" width="15.5703125" style="178" customWidth="1" outlineLevel="1"/>
    <col min="60" max="60" width="19.42578125" style="178" customWidth="1"/>
    <col min="61" max="62" width="21.5703125" style="178" customWidth="1"/>
    <col min="63" max="63" width="19.42578125" style="178" customWidth="1"/>
    <col min="64" max="65" width="21" style="178" customWidth="1"/>
    <col min="66" max="66" width="20.5703125" style="178" customWidth="1" outlineLevel="1"/>
    <col min="67" max="68" width="18.42578125" style="178" customWidth="1" outlineLevel="1"/>
    <col min="69" max="77" width="21.42578125" style="178" customWidth="1" outlineLevel="1"/>
    <col min="78" max="78" width="18.42578125" style="178" customWidth="1" outlineLevel="1"/>
    <col min="79" max="79" width="29.5703125" style="178" customWidth="1" outlineLevel="1"/>
    <col min="80" max="83" width="15.5703125" style="178" customWidth="1" outlineLevel="1"/>
    <col min="84" max="90" width="20.42578125" style="178" customWidth="1" outlineLevel="1"/>
    <col min="91" max="91" width="25.42578125" style="178" customWidth="1" outlineLevel="1"/>
    <col min="92" max="96" width="26" style="179" customWidth="1" outlineLevel="1"/>
    <col min="97" max="97" width="19.140625" style="178" customWidth="1"/>
    <col min="98" max="98" width="27.28515625" style="222" customWidth="1"/>
    <col min="99" max="99" width="18" style="222" customWidth="1"/>
    <col min="100" max="104" width="18" style="178" customWidth="1"/>
    <col min="105" max="105" width="18" style="595" customWidth="1"/>
    <col min="106" max="106" width="30.7109375" style="14" customWidth="1" outlineLevel="1"/>
    <col min="107" max="108" width="30.7109375" style="561" customWidth="1" outlineLevel="1"/>
    <col min="109" max="109" width="30.7109375" style="33" customWidth="1" outlineLevel="1"/>
    <col min="110" max="110" width="30.7109375" style="14" customWidth="1" outlineLevel="1"/>
    <col min="111" max="111" width="30.7109375" style="561" customWidth="1" outlineLevel="1"/>
    <col min="112" max="112" width="30.7109375" style="14" customWidth="1" outlineLevel="1"/>
    <col min="113" max="113" width="30.7109375" style="561" customWidth="1" outlineLevel="1"/>
    <col min="114" max="118" width="30.7109375" style="14" customWidth="1" outlineLevel="1"/>
    <col min="119" max="120" width="30.7109375" style="561" customWidth="1" outlineLevel="1"/>
    <col min="121" max="121" width="30.7109375" style="14" customWidth="1" outlineLevel="1"/>
    <col min="122" max="122" width="23.7109375" style="14" customWidth="1" outlineLevel="1"/>
    <col min="123" max="123" width="30.7109375" style="561" customWidth="1" outlineLevel="1"/>
    <col min="124" max="125" width="30.7109375" style="561" customWidth="1"/>
    <col min="126" max="126" width="30.7109375" style="14" customWidth="1"/>
    <col min="127" max="127" width="30.7109375" style="561" customWidth="1"/>
    <col min="128" max="128" width="24.5703125" style="14" customWidth="1"/>
    <col min="129" max="129" width="25" style="14" customWidth="1"/>
    <col min="130" max="130" width="21.28515625" style="14" customWidth="1"/>
    <col min="131" max="131" width="30.7109375" style="14" customWidth="1"/>
    <col min="132" max="132" width="15.5703125" style="229" customWidth="1"/>
    <col min="133" max="133" width="21.28515625" style="14" customWidth="1"/>
    <col min="134" max="135" width="30.7109375" style="561" customWidth="1"/>
    <col min="136" max="136" width="30.7109375" style="33" customWidth="1"/>
    <col min="137" max="138" width="30.7109375" style="561" customWidth="1"/>
    <col min="139" max="139" width="30.7109375" style="14" customWidth="1"/>
    <col min="140" max="141" width="30.7109375" style="561" customWidth="1"/>
    <col min="142" max="142" width="30.7109375" style="14" customWidth="1"/>
    <col min="143" max="144" width="30.7109375" style="561" customWidth="1"/>
    <col min="145" max="145" width="30.7109375" style="14" customWidth="1"/>
    <col min="146" max="147" width="30.7109375" style="561" customWidth="1"/>
    <col min="148" max="148" width="30.7109375" style="14" customWidth="1"/>
    <col min="149" max="150" width="30.7109375" style="561" customWidth="1"/>
    <col min="151" max="151" width="30.7109375" style="14" customWidth="1"/>
    <col min="152" max="153" width="30.7109375" style="565" customWidth="1"/>
    <col min="154" max="154" width="30.7109375" style="16" customWidth="1"/>
    <col min="155" max="157" width="30.7109375" style="565" customWidth="1"/>
    <col min="158" max="158" width="19.42578125" style="14" customWidth="1"/>
    <col min="159" max="159" width="16.7109375" style="14" customWidth="1"/>
    <col min="160" max="160" width="15.85546875" style="14" customWidth="1"/>
    <col min="161" max="161" width="20" style="14" customWidth="1"/>
    <col min="162" max="162" width="15.5703125" style="14" customWidth="1"/>
    <col min="163" max="163" width="23.28515625" style="14" customWidth="1"/>
    <col min="164" max="164" width="18.28515625" style="14" customWidth="1"/>
    <col min="165" max="165" width="19.5703125" style="14" bestFit="1" customWidth="1"/>
    <col min="166" max="166" width="21.140625" style="14" customWidth="1"/>
    <col min="167" max="167" width="19" style="14" customWidth="1"/>
    <col min="168" max="168" width="30.7109375" style="338" bestFit="1" customWidth="1"/>
    <col min="169" max="169" width="21.85546875" style="14" customWidth="1"/>
    <col min="170" max="170" width="15.85546875" style="14" customWidth="1"/>
    <col min="171" max="171" width="18.7109375" style="14" customWidth="1"/>
    <col min="172" max="172" width="19" style="14" customWidth="1"/>
    <col min="173" max="178" width="30.7109375" style="585" customWidth="1"/>
    <col min="179" max="179" width="30.7109375" style="16" customWidth="1"/>
    <col min="180" max="180" width="20.5703125" style="16" customWidth="1"/>
    <col min="181" max="181" width="37" style="16" customWidth="1"/>
    <col min="182" max="182" width="40.7109375" style="16" customWidth="1"/>
    <col min="183" max="185" width="9.42578125" style="14" customWidth="1" outlineLevel="1"/>
    <col min="186" max="186" width="13.28515625" style="14" customWidth="1" outlineLevel="1"/>
    <col min="187" max="187" width="9.42578125" style="14" customWidth="1" outlineLevel="1"/>
    <col min="188" max="188" width="11.28515625" style="14" customWidth="1" outlineLevel="1"/>
    <col min="189" max="190" width="14" style="14" customWidth="1" outlineLevel="1"/>
    <col min="191" max="191" width="11.7109375" style="14" customWidth="1"/>
    <col min="192" max="192" width="13.42578125" style="14" customWidth="1"/>
    <col min="193" max="193" width="11.7109375" style="14" customWidth="1"/>
    <col min="194" max="194" width="12.85546875" style="14" customWidth="1"/>
    <col min="195" max="195" width="12.42578125" style="14" customWidth="1"/>
    <col min="196" max="196" width="9.42578125" style="14" customWidth="1"/>
    <col min="197" max="197" width="13.42578125" style="14" customWidth="1"/>
    <col min="198" max="198" width="20.85546875" style="14" customWidth="1"/>
    <col min="199" max="199" width="21.140625" style="14" customWidth="1"/>
    <col min="200" max="200" width="12.140625" style="14" customWidth="1"/>
    <col min="201" max="203" width="9.42578125" style="14" customWidth="1"/>
    <col min="204" max="204" width="18" style="178" customWidth="1" outlineLevel="1"/>
    <col min="205" max="205" width="27" style="609" customWidth="1" outlineLevel="1"/>
    <col min="206" max="206" width="18.7109375" style="14" customWidth="1" outlineLevel="1"/>
    <col min="207" max="209" width="18" style="14" customWidth="1" outlineLevel="1"/>
    <col min="210" max="210" width="11.42578125" style="14" customWidth="1" outlineLevel="1"/>
    <col min="211" max="211" width="12" style="14" customWidth="1" outlineLevel="1"/>
    <col min="212" max="214" width="15.5703125" style="14" customWidth="1" outlineLevel="1"/>
    <col min="215" max="215" width="9.5703125" style="14" customWidth="1" outlineLevel="1"/>
    <col min="216" max="216" width="19.85546875" style="14" customWidth="1" outlineLevel="1"/>
    <col min="217" max="217" width="15.5703125" style="14" customWidth="1" outlineLevel="1"/>
    <col min="218" max="219" width="17" style="14" customWidth="1" outlineLevel="1"/>
    <col min="220" max="220" width="12.5703125" style="14" customWidth="1" outlineLevel="1"/>
    <col min="221" max="221" width="15.5703125" style="14" customWidth="1" outlineLevel="1"/>
    <col min="222" max="222" width="19" style="14" customWidth="1" outlineLevel="1"/>
    <col min="223" max="224" width="15.5703125" style="14" customWidth="1" outlineLevel="1"/>
    <col min="225" max="225" width="18.5703125" style="14" customWidth="1" outlineLevel="1"/>
    <col min="226" max="226" width="19.85546875" style="14" customWidth="1" outlineLevel="1"/>
    <col min="227" max="227" width="12.42578125" style="634" customWidth="1" outlineLevel="1"/>
    <col min="228" max="228" width="19.5703125" style="14" customWidth="1" outlineLevel="1"/>
    <col min="229" max="229" width="15.42578125" style="14" customWidth="1" outlineLevel="1"/>
    <col min="230" max="231" width="15.5703125" style="62" customWidth="1" outlineLevel="1"/>
    <col min="232" max="232" width="11" style="62" customWidth="1" outlineLevel="1"/>
    <col min="233" max="233" width="15.28515625" style="62" customWidth="1" outlineLevel="1"/>
    <col min="234" max="234" width="16.5703125" style="62" customWidth="1" outlineLevel="1"/>
    <col min="235" max="235" width="14" style="62" customWidth="1" outlineLevel="1"/>
    <col min="236" max="236" width="14.140625" style="62" customWidth="1" outlineLevel="1"/>
    <col min="237" max="237" width="17.140625" style="62" customWidth="1" outlineLevel="1"/>
    <col min="238" max="238" width="15.5703125" style="14" customWidth="1" outlineLevel="1"/>
    <col min="239" max="239" width="9.5703125" style="14" customWidth="1" outlineLevel="1"/>
    <col min="240" max="240" width="10.5703125" style="14" customWidth="1" outlineLevel="1"/>
    <col min="241" max="241" width="15" style="14" customWidth="1" outlineLevel="1"/>
    <col min="242" max="242" width="18" style="14" customWidth="1" outlineLevel="1"/>
    <col min="243" max="243" width="15.5703125" style="14" customWidth="1" outlineLevel="1"/>
    <col min="244" max="244" width="13.140625" style="14" customWidth="1" outlineLevel="1"/>
    <col min="245" max="247" width="15.5703125" style="14" customWidth="1" outlineLevel="1"/>
    <col min="248" max="248" width="24.7109375" style="14" customWidth="1" outlineLevel="1"/>
    <col min="249" max="249" width="20.140625" style="14" customWidth="1" outlineLevel="1"/>
    <col min="250" max="250" width="28" style="14" customWidth="1" outlineLevel="1"/>
    <col min="251" max="252" width="19.28515625" style="14" customWidth="1"/>
    <col min="253" max="253" width="25.140625" style="14" customWidth="1"/>
    <col min="254" max="255" width="28.7109375" style="14" customWidth="1"/>
    <col min="256" max="256" width="15.140625" style="14" customWidth="1"/>
    <col min="257" max="257" width="13.28515625" style="14" customWidth="1"/>
    <col min="258" max="258" width="17" style="14" customWidth="1"/>
    <col min="259" max="259" width="14.42578125" style="14" customWidth="1"/>
    <col min="260" max="260" width="20.140625" style="14" customWidth="1"/>
    <col min="261" max="266" width="15.85546875" style="14" customWidth="1"/>
    <col min="267" max="267" width="15.5703125" style="14" customWidth="1"/>
    <col min="268" max="268" width="15.28515625" style="14" customWidth="1"/>
    <col min="269" max="269" width="14.7109375" style="14" customWidth="1"/>
    <col min="270" max="270" width="14.85546875" style="14" customWidth="1"/>
    <col min="271" max="271" width="15.42578125" style="14" customWidth="1"/>
    <col min="272" max="272" width="23.85546875" style="14" customWidth="1"/>
    <col min="273" max="275" width="18.85546875" style="14" customWidth="1"/>
    <col min="276" max="276" width="16.140625" style="14" customWidth="1"/>
    <col min="277" max="277" width="15.28515625" style="14" customWidth="1"/>
    <col min="278" max="278" width="18.7109375" style="14" customWidth="1"/>
    <col min="279" max="279" width="13.7109375" style="14" customWidth="1"/>
    <col min="280" max="280" width="21.42578125" style="14" customWidth="1"/>
    <col min="281" max="281" width="15.85546875" style="14" customWidth="1"/>
    <col min="282" max="282" width="18.42578125" style="14" customWidth="1"/>
    <col min="283" max="283" width="20" style="14" customWidth="1"/>
    <col min="284" max="284" width="15.5703125" style="14" customWidth="1"/>
    <col min="285" max="285" width="14.7109375" style="14" customWidth="1"/>
    <col min="286" max="286" width="17.140625" style="14" customWidth="1"/>
    <col min="287" max="16384" width="11.42578125" style="16"/>
  </cols>
  <sheetData>
    <row r="1" spans="1:286" s="522" customFormat="1" ht="49.5" customHeight="1">
      <c r="A1" s="462" t="s">
        <v>0</v>
      </c>
      <c r="B1" s="463" t="s">
        <v>964</v>
      </c>
      <c r="C1" s="462" t="s">
        <v>1</v>
      </c>
      <c r="D1" s="462" t="s">
        <v>111</v>
      </c>
      <c r="E1" s="462" t="s">
        <v>71</v>
      </c>
      <c r="F1" s="462" t="s">
        <v>2</v>
      </c>
      <c r="G1" s="463" t="s">
        <v>10</v>
      </c>
      <c r="H1" s="463" t="s">
        <v>333</v>
      </c>
      <c r="I1" s="463" t="s">
        <v>332</v>
      </c>
      <c r="J1" s="463" t="s">
        <v>322</v>
      </c>
      <c r="K1" s="463" t="s">
        <v>323</v>
      </c>
      <c r="L1" s="464" t="s">
        <v>22</v>
      </c>
      <c r="M1" s="465" t="s">
        <v>58</v>
      </c>
      <c r="N1" s="465" t="s">
        <v>13</v>
      </c>
      <c r="O1" s="465" t="s">
        <v>14</v>
      </c>
      <c r="P1" s="464" t="s">
        <v>189</v>
      </c>
      <c r="Q1" s="464" t="s">
        <v>214</v>
      </c>
      <c r="R1" s="464" t="s">
        <v>213</v>
      </c>
      <c r="S1" s="464" t="s">
        <v>265</v>
      </c>
      <c r="T1" s="464" t="s">
        <v>216</v>
      </c>
      <c r="U1" s="464" t="s">
        <v>215</v>
      </c>
      <c r="V1" s="464" t="s">
        <v>205</v>
      </c>
      <c r="W1" s="464" t="s">
        <v>241</v>
      </c>
      <c r="X1" s="464" t="s">
        <v>222</v>
      </c>
      <c r="Y1" s="464" t="s">
        <v>191</v>
      </c>
      <c r="Z1" s="464" t="s">
        <v>970</v>
      </c>
      <c r="AA1" s="464" t="s">
        <v>187</v>
      </c>
      <c r="AB1" s="464" t="s">
        <v>116</v>
      </c>
      <c r="AC1" s="464" t="s">
        <v>117</v>
      </c>
      <c r="AD1" s="462" t="s">
        <v>124</v>
      </c>
      <c r="AE1" s="770" t="s">
        <v>3</v>
      </c>
      <c r="AF1" s="770" t="s">
        <v>842</v>
      </c>
      <c r="AG1" s="462" t="s">
        <v>15</v>
      </c>
      <c r="AH1" s="462" t="s">
        <v>16</v>
      </c>
      <c r="AI1" s="463" t="s">
        <v>425</v>
      </c>
      <c r="AJ1" s="463" t="s">
        <v>636</v>
      </c>
      <c r="AK1" s="805" t="s">
        <v>854</v>
      </c>
      <c r="AL1" s="462" t="s">
        <v>69</v>
      </c>
      <c r="AM1" s="463" t="s">
        <v>800</v>
      </c>
      <c r="AN1" s="466" t="s">
        <v>125</v>
      </c>
      <c r="AO1" s="462" t="s">
        <v>118</v>
      </c>
      <c r="AP1" s="463" t="s">
        <v>217</v>
      </c>
      <c r="AQ1" s="463" t="s">
        <v>218</v>
      </c>
      <c r="AR1" s="463" t="s">
        <v>219</v>
      </c>
      <c r="AS1" s="463" t="s">
        <v>220</v>
      </c>
      <c r="AT1" s="463" t="s">
        <v>221</v>
      </c>
      <c r="AU1" s="462" t="s">
        <v>157</v>
      </c>
      <c r="AV1" s="467" t="s">
        <v>190</v>
      </c>
      <c r="AW1" s="468" t="s">
        <v>212</v>
      </c>
      <c r="AX1" s="463" t="s">
        <v>192</v>
      </c>
      <c r="AY1" s="463" t="s">
        <v>547</v>
      </c>
      <c r="AZ1" s="462" t="s">
        <v>119</v>
      </c>
      <c r="BA1" s="674" t="s">
        <v>799</v>
      </c>
      <c r="BB1" s="674" t="s">
        <v>847</v>
      </c>
      <c r="BC1" s="469" t="s">
        <v>785</v>
      </c>
      <c r="BD1" s="469" t="s">
        <v>299</v>
      </c>
      <c r="BE1" s="469" t="s">
        <v>300</v>
      </c>
      <c r="BF1" s="470" t="s">
        <v>5</v>
      </c>
      <c r="BG1" s="470" t="s">
        <v>4</v>
      </c>
      <c r="BH1" s="471" t="s">
        <v>6</v>
      </c>
      <c r="BI1" s="472" t="s">
        <v>7</v>
      </c>
      <c r="BJ1" s="473" t="s">
        <v>306</v>
      </c>
      <c r="BK1" s="471" t="s">
        <v>8</v>
      </c>
      <c r="BL1" s="472" t="s">
        <v>759</v>
      </c>
      <c r="BM1" s="473" t="s">
        <v>306</v>
      </c>
      <c r="BN1" s="474" t="s">
        <v>151</v>
      </c>
      <c r="BO1" s="475" t="s">
        <v>170</v>
      </c>
      <c r="BP1" s="476" t="s">
        <v>270</v>
      </c>
      <c r="BQ1" s="476" t="s">
        <v>284</v>
      </c>
      <c r="BR1" s="477" t="s">
        <v>791</v>
      </c>
      <c r="BS1" s="477" t="s">
        <v>790</v>
      </c>
      <c r="BT1" s="477" t="s">
        <v>794</v>
      </c>
      <c r="BU1" s="477" t="s">
        <v>795</v>
      </c>
      <c r="BV1" s="477" t="s">
        <v>500</v>
      </c>
      <c r="BW1" s="477" t="s">
        <v>793</v>
      </c>
      <c r="BX1" s="477" t="s">
        <v>796</v>
      </c>
      <c r="BY1" s="477" t="s">
        <v>797</v>
      </c>
      <c r="BZ1" s="476" t="s">
        <v>256</v>
      </c>
      <c r="CA1" s="474" t="s">
        <v>177</v>
      </c>
      <c r="CB1" s="476"/>
      <c r="CC1" s="476" t="s">
        <v>934</v>
      </c>
      <c r="CD1" s="476" t="s">
        <v>932</v>
      </c>
      <c r="CE1" s="476" t="s">
        <v>933</v>
      </c>
      <c r="CF1" s="476" t="s">
        <v>739</v>
      </c>
      <c r="CG1" s="476" t="s">
        <v>935</v>
      </c>
      <c r="CH1" s="476" t="s">
        <v>936</v>
      </c>
      <c r="CI1" s="476" t="s">
        <v>937</v>
      </c>
      <c r="CJ1" s="476" t="s">
        <v>738</v>
      </c>
      <c r="CK1" s="476" t="s">
        <v>938</v>
      </c>
      <c r="CL1" s="476" t="s">
        <v>939</v>
      </c>
      <c r="CM1" s="476" t="s">
        <v>940</v>
      </c>
      <c r="CN1" s="476" t="s">
        <v>737</v>
      </c>
      <c r="CO1" s="476" t="s">
        <v>941</v>
      </c>
      <c r="CP1" s="476" t="s">
        <v>942</v>
      </c>
      <c r="CQ1" s="476" t="s">
        <v>943</v>
      </c>
      <c r="CR1" s="476" t="s">
        <v>740</v>
      </c>
      <c r="CS1" s="478" t="s">
        <v>137</v>
      </c>
      <c r="CT1" s="479" t="s">
        <v>257</v>
      </c>
      <c r="CU1" s="480" t="s">
        <v>360</v>
      </c>
      <c r="CV1" s="479" t="s">
        <v>240</v>
      </c>
      <c r="CW1" s="479" t="s">
        <v>311</v>
      </c>
      <c r="CX1" s="480" t="s">
        <v>542</v>
      </c>
      <c r="CY1" s="480" t="s">
        <v>357</v>
      </c>
      <c r="CZ1" s="480" t="s">
        <v>543</v>
      </c>
      <c r="DA1" s="591" t="s">
        <v>755</v>
      </c>
      <c r="DB1" s="660" t="s">
        <v>651</v>
      </c>
      <c r="DC1" s="661" t="s">
        <v>662</v>
      </c>
      <c r="DD1" s="662" t="s">
        <v>663</v>
      </c>
      <c r="DE1" s="663" t="s">
        <v>664</v>
      </c>
      <c r="DF1" s="664" t="s">
        <v>652</v>
      </c>
      <c r="DG1" s="662" t="s">
        <v>653</v>
      </c>
      <c r="DH1" s="660" t="s">
        <v>654</v>
      </c>
      <c r="DI1" s="661" t="s">
        <v>655</v>
      </c>
      <c r="DJ1" s="660" t="s">
        <v>656</v>
      </c>
      <c r="DK1" s="660" t="s">
        <v>657</v>
      </c>
      <c r="DL1" s="519" t="s">
        <v>665</v>
      </c>
      <c r="DM1" s="518" t="s">
        <v>666</v>
      </c>
      <c r="DN1" s="518" t="s">
        <v>657</v>
      </c>
      <c r="DO1" s="665" t="s">
        <v>667</v>
      </c>
      <c r="DP1" s="666" t="s">
        <v>668</v>
      </c>
      <c r="DQ1" s="518" t="s">
        <v>657</v>
      </c>
      <c r="DR1" s="691" t="s">
        <v>650</v>
      </c>
      <c r="DS1" s="691" t="s">
        <v>9</v>
      </c>
      <c r="DT1" s="667" t="s">
        <v>669</v>
      </c>
      <c r="DU1" s="668" t="s">
        <v>670</v>
      </c>
      <c r="DV1" s="669" t="s">
        <v>657</v>
      </c>
      <c r="DW1" s="667" t="s">
        <v>671</v>
      </c>
      <c r="DX1" s="759" t="s">
        <v>287</v>
      </c>
      <c r="DY1" s="482" t="s">
        <v>640</v>
      </c>
      <c r="DZ1" s="482" t="s">
        <v>639</v>
      </c>
      <c r="EA1" s="669" t="s">
        <v>672</v>
      </c>
      <c r="EB1" s="483" t="s">
        <v>342</v>
      </c>
      <c r="EC1" s="481" t="s">
        <v>341</v>
      </c>
      <c r="ED1" s="563" t="s">
        <v>673</v>
      </c>
      <c r="EE1" s="562" t="s">
        <v>674</v>
      </c>
      <c r="EF1" s="520" t="s">
        <v>657</v>
      </c>
      <c r="EG1" s="563" t="s">
        <v>675</v>
      </c>
      <c r="EH1" s="562" t="s">
        <v>676</v>
      </c>
      <c r="EI1" s="520" t="s">
        <v>657</v>
      </c>
      <c r="EJ1" s="563" t="s">
        <v>677</v>
      </c>
      <c r="EK1" s="562" t="s">
        <v>678</v>
      </c>
      <c r="EL1" s="520" t="s">
        <v>657</v>
      </c>
      <c r="EM1" s="563" t="s">
        <v>679</v>
      </c>
      <c r="EN1" s="562" t="s">
        <v>680</v>
      </c>
      <c r="EO1" s="520" t="s">
        <v>657</v>
      </c>
      <c r="EP1" s="563" t="s">
        <v>681</v>
      </c>
      <c r="EQ1" s="562" t="s">
        <v>682</v>
      </c>
      <c r="ER1" s="520" t="s">
        <v>657</v>
      </c>
      <c r="ES1" s="563" t="s">
        <v>683</v>
      </c>
      <c r="ET1" s="562" t="s">
        <v>684</v>
      </c>
      <c r="EU1" s="520" t="s">
        <v>657</v>
      </c>
      <c r="EV1" s="563" t="s">
        <v>685</v>
      </c>
      <c r="EW1" s="562" t="s">
        <v>686</v>
      </c>
      <c r="EX1" s="520" t="s">
        <v>657</v>
      </c>
      <c r="EY1" s="562" t="s">
        <v>687</v>
      </c>
      <c r="EZ1" s="562" t="s">
        <v>688</v>
      </c>
      <c r="FA1" s="562" t="s">
        <v>689</v>
      </c>
      <c r="FB1" s="562" t="s">
        <v>756</v>
      </c>
      <c r="FC1" s="764" t="s">
        <v>807</v>
      </c>
      <c r="FD1" s="728" t="s">
        <v>808</v>
      </c>
      <c r="FE1" s="481" t="s">
        <v>768</v>
      </c>
      <c r="FF1" s="481" t="s">
        <v>302</v>
      </c>
      <c r="FG1" s="481" t="s">
        <v>336</v>
      </c>
      <c r="FH1" s="481" t="s">
        <v>763</v>
      </c>
      <c r="FI1" s="762" t="s">
        <v>824</v>
      </c>
      <c r="FJ1" s="761" t="s">
        <v>803</v>
      </c>
      <c r="FK1" s="763" t="s">
        <v>804</v>
      </c>
      <c r="FL1" s="482" t="s">
        <v>535</v>
      </c>
      <c r="FM1" s="722" t="s">
        <v>805</v>
      </c>
      <c r="FN1" s="482" t="s">
        <v>335</v>
      </c>
      <c r="FO1" s="481" t="s">
        <v>343</v>
      </c>
      <c r="FP1" s="481" t="s">
        <v>411</v>
      </c>
      <c r="FQ1" s="582" t="s">
        <v>690</v>
      </c>
      <c r="FR1" s="582" t="s">
        <v>691</v>
      </c>
      <c r="FS1" s="582" t="s">
        <v>536</v>
      </c>
      <c r="FT1" s="582" t="s">
        <v>754</v>
      </c>
      <c r="FU1" s="582" t="s">
        <v>821</v>
      </c>
      <c r="FV1" s="582" t="s">
        <v>822</v>
      </c>
      <c r="FW1" s="521" t="s">
        <v>692</v>
      </c>
      <c r="FX1" s="521" t="s">
        <v>396</v>
      </c>
      <c r="FY1" s="521" t="s">
        <v>693</v>
      </c>
      <c r="FZ1" s="521" t="s">
        <v>694</v>
      </c>
      <c r="GA1" s="481" t="s">
        <v>330</v>
      </c>
      <c r="GB1" s="481" t="s">
        <v>562</v>
      </c>
      <c r="GC1" s="481" t="s">
        <v>310</v>
      </c>
      <c r="GD1" s="481" t="s">
        <v>318</v>
      </c>
      <c r="GE1" s="481" t="s">
        <v>334</v>
      </c>
      <c r="GF1" s="481" t="s">
        <v>301</v>
      </c>
      <c r="GG1" s="481" t="s">
        <v>288</v>
      </c>
      <c r="GH1" s="484" t="s">
        <v>801</v>
      </c>
      <c r="GI1" s="484" t="s">
        <v>289</v>
      </c>
      <c r="GJ1" s="484" t="s">
        <v>290</v>
      </c>
      <c r="GK1" s="484" t="s">
        <v>291</v>
      </c>
      <c r="GL1" s="484" t="s">
        <v>292</v>
      </c>
      <c r="GM1" s="484" t="s">
        <v>777</v>
      </c>
      <c r="GN1" s="484" t="s">
        <v>303</v>
      </c>
      <c r="GO1" s="484" t="s">
        <v>362</v>
      </c>
      <c r="GP1" s="484" t="s">
        <v>593</v>
      </c>
      <c r="GQ1" s="485" t="s">
        <v>760</v>
      </c>
      <c r="GR1" s="484" t="s">
        <v>504</v>
      </c>
      <c r="GS1" s="484" t="s">
        <v>588</v>
      </c>
      <c r="GT1" s="484" t="s">
        <v>314</v>
      </c>
      <c r="GU1" s="484" t="s">
        <v>372</v>
      </c>
      <c r="GV1" s="486" t="s">
        <v>129</v>
      </c>
      <c r="GW1" s="605" t="s">
        <v>757</v>
      </c>
      <c r="GX1" s="487" t="s">
        <v>96</v>
      </c>
      <c r="GY1" s="488" t="s">
        <v>186</v>
      </c>
      <c r="GZ1" s="796" t="s">
        <v>843</v>
      </c>
      <c r="HA1" s="489" t="s">
        <v>17</v>
      </c>
      <c r="HB1" s="490" t="s">
        <v>70</v>
      </c>
      <c r="HC1" s="490" t="s">
        <v>130</v>
      </c>
      <c r="HD1" s="491" t="s">
        <v>97</v>
      </c>
      <c r="HE1" s="492" t="s">
        <v>19</v>
      </c>
      <c r="HF1" s="493" t="s">
        <v>20</v>
      </c>
      <c r="HG1" s="492" t="s">
        <v>21</v>
      </c>
      <c r="HH1" s="494" t="s">
        <v>267</v>
      </c>
      <c r="HI1" s="491" t="s">
        <v>649</v>
      </c>
      <c r="HJ1" s="637" t="s">
        <v>649</v>
      </c>
      <c r="HK1" s="641" t="s">
        <v>769</v>
      </c>
      <c r="HL1" s="639" t="s">
        <v>131</v>
      </c>
      <c r="HM1" s="493" t="s">
        <v>18</v>
      </c>
      <c r="HN1" s="487" t="s">
        <v>98</v>
      </c>
      <c r="HO1" s="488" t="s">
        <v>98</v>
      </c>
      <c r="HP1" s="488" t="s">
        <v>22</v>
      </c>
      <c r="HQ1" s="488" t="s">
        <v>23</v>
      </c>
      <c r="HR1" s="489" t="s">
        <v>24</v>
      </c>
      <c r="HS1" s="628" t="s">
        <v>132</v>
      </c>
      <c r="HT1" s="488" t="s">
        <v>860</v>
      </c>
      <c r="HU1" s="491" t="s">
        <v>99</v>
      </c>
      <c r="HV1" s="492" t="s">
        <v>204</v>
      </c>
      <c r="HW1" s="496" t="s">
        <v>201</v>
      </c>
      <c r="HX1" s="492" t="s">
        <v>167</v>
      </c>
      <c r="HY1" s="487" t="s">
        <v>514</v>
      </c>
      <c r="HZ1" s="492" t="s">
        <v>158</v>
      </c>
      <c r="IA1" s="493" t="s">
        <v>25</v>
      </c>
      <c r="IB1" s="495" t="s">
        <v>100</v>
      </c>
      <c r="IC1" s="497" t="s">
        <v>223</v>
      </c>
      <c r="ID1" s="493" t="s">
        <v>26</v>
      </c>
      <c r="IE1" s="498" t="s">
        <v>183</v>
      </c>
      <c r="IF1" s="498" t="s">
        <v>184</v>
      </c>
      <c r="IG1" s="499" t="s">
        <v>155</v>
      </c>
      <c r="IH1" s="499" t="s">
        <v>122</v>
      </c>
      <c r="II1" s="495" t="s">
        <v>123</v>
      </c>
      <c r="IJ1" s="499" t="s">
        <v>133</v>
      </c>
      <c r="IK1" s="495" t="s">
        <v>135</v>
      </c>
      <c r="IL1" s="497" t="s">
        <v>185</v>
      </c>
      <c r="IM1" s="499" t="s">
        <v>169</v>
      </c>
      <c r="IN1" s="499" t="s">
        <v>134</v>
      </c>
      <c r="IO1" s="492" t="s">
        <v>140</v>
      </c>
      <c r="IP1" s="492" t="s">
        <v>166</v>
      </c>
      <c r="IQ1" s="500" t="s">
        <v>390</v>
      </c>
      <c r="IR1" s="500" t="s">
        <v>419</v>
      </c>
      <c r="IS1" s="500" t="s">
        <v>391</v>
      </c>
      <c r="IT1" s="501">
        <v>0.1</v>
      </c>
      <c r="IU1" s="500" t="s">
        <v>633</v>
      </c>
      <c r="IV1" s="502">
        <v>0.05</v>
      </c>
      <c r="IW1" s="500" t="s">
        <v>392</v>
      </c>
      <c r="IX1" s="503">
        <v>0.05</v>
      </c>
      <c r="IY1" s="500" t="s">
        <v>393</v>
      </c>
      <c r="IZ1" s="504">
        <v>0.1</v>
      </c>
      <c r="JA1" s="500" t="s">
        <v>394</v>
      </c>
      <c r="JB1" s="505">
        <v>0.1</v>
      </c>
      <c r="JC1" s="500" t="s">
        <v>395</v>
      </c>
      <c r="JD1" s="506">
        <v>0.1</v>
      </c>
      <c r="JE1" s="500" t="s">
        <v>658</v>
      </c>
      <c r="JF1" s="507">
        <v>0.05</v>
      </c>
      <c r="JG1" s="500" t="s">
        <v>501</v>
      </c>
      <c r="JH1" s="508">
        <v>0.05</v>
      </c>
      <c r="JI1" s="500" t="s">
        <v>502</v>
      </c>
      <c r="JJ1" s="509">
        <v>0.1</v>
      </c>
      <c r="JK1" s="500" t="s">
        <v>505</v>
      </c>
      <c r="JL1" s="510">
        <v>0.05</v>
      </c>
      <c r="JM1" s="500" t="s">
        <v>506</v>
      </c>
      <c r="JN1" s="511">
        <v>0.05</v>
      </c>
      <c r="JO1" s="500" t="s">
        <v>538</v>
      </c>
      <c r="JP1" s="512">
        <v>0.05</v>
      </c>
      <c r="JQ1" s="500" t="s">
        <v>564</v>
      </c>
      <c r="JR1" s="513">
        <v>0.05</v>
      </c>
      <c r="JS1" s="500" t="s">
        <v>576</v>
      </c>
      <c r="JT1" s="514">
        <v>0.05</v>
      </c>
      <c r="JU1" s="504" t="s">
        <v>659</v>
      </c>
      <c r="JV1" s="515">
        <v>0.03</v>
      </c>
      <c r="JW1" s="504" t="s">
        <v>660</v>
      </c>
      <c r="JX1" s="516">
        <v>0.02</v>
      </c>
      <c r="JY1" s="504" t="s">
        <v>661</v>
      </c>
      <c r="JZ1" s="517">
        <v>0.05</v>
      </c>
    </row>
    <row r="2" spans="1:286" ht="24.95" customHeight="1">
      <c r="A2" s="7" t="s">
        <v>153</v>
      </c>
      <c r="B2" s="53"/>
      <c r="C2" s="7" t="s">
        <v>77</v>
      </c>
      <c r="D2" s="7" t="s">
        <v>114</v>
      </c>
      <c r="E2" s="7">
        <v>2010</v>
      </c>
      <c r="F2" s="7" t="s">
        <v>154</v>
      </c>
      <c r="G2" s="7" t="s">
        <v>30</v>
      </c>
      <c r="H2" s="765"/>
      <c r="I2" s="7" t="s">
        <v>250</v>
      </c>
      <c r="J2" s="53" t="s">
        <v>120</v>
      </c>
      <c r="K2" s="53"/>
      <c r="L2" s="395" t="s">
        <v>630</v>
      </c>
      <c r="M2" s="411"/>
      <c r="N2" s="411"/>
      <c r="O2" s="411"/>
      <c r="P2" s="207">
        <v>9556</v>
      </c>
      <c r="Q2" s="207">
        <v>407560.68000000005</v>
      </c>
      <c r="R2" s="207">
        <v>222180</v>
      </c>
      <c r="S2" s="207">
        <f>Q2/AE2</f>
        <v>15094.840000000002</v>
      </c>
      <c r="T2" s="207">
        <f>Q2/P2</f>
        <v>42.649715362076186</v>
      </c>
      <c r="U2" s="207">
        <f>R2/P2</f>
        <v>23.250313938886563</v>
      </c>
      <c r="V2" s="207">
        <f>R2/AN2</f>
        <v>100.51347010789659</v>
      </c>
      <c r="W2" s="207">
        <f>R2/AE2</f>
        <v>8228.8888888888887</v>
      </c>
      <c r="X2" s="207">
        <f>P2/AE2</f>
        <v>353.92592592592592</v>
      </c>
      <c r="Y2" s="208"/>
      <c r="Z2" s="904">
        <f>10000*AE2/P2</f>
        <v>28.25449979070741</v>
      </c>
      <c r="AA2" s="208" t="s">
        <v>206</v>
      </c>
      <c r="AB2" s="210"/>
      <c r="AC2" s="210"/>
      <c r="AD2" s="7" t="s">
        <v>16</v>
      </c>
      <c r="AE2" s="771">
        <f t="shared" ref="AE2:AE33" si="0">SUM(AG2:AJ2)</f>
        <v>27</v>
      </c>
      <c r="AF2" s="771">
        <f t="shared" ref="AF2:AF33" si="1">AE2-AJ2</f>
        <v>27</v>
      </c>
      <c r="AG2" s="414"/>
      <c r="AH2" s="415">
        <v>27</v>
      </c>
      <c r="AI2" s="603"/>
      <c r="AJ2" s="603"/>
      <c r="AK2" s="57"/>
      <c r="AL2" s="9">
        <v>2110.92</v>
      </c>
      <c r="AM2" s="57"/>
      <c r="AN2" s="82">
        <v>2210.4499999999998</v>
      </c>
      <c r="AO2" s="9">
        <f t="shared" ref="AO2:AO35" si="2">AN2/AE2</f>
        <v>81.868518518518513</v>
      </c>
      <c r="AP2" s="78"/>
      <c r="AQ2" s="78">
        <v>0.22</v>
      </c>
      <c r="AR2" s="78">
        <v>0.3</v>
      </c>
      <c r="AS2" s="78">
        <v>0.3</v>
      </c>
      <c r="AT2" s="78">
        <v>0.19</v>
      </c>
      <c r="AU2" s="9">
        <v>1400</v>
      </c>
      <c r="AV2" s="76"/>
      <c r="AW2" s="78">
        <f>AV2/P2</f>
        <v>0</v>
      </c>
      <c r="AX2" s="57">
        <v>3</v>
      </c>
      <c r="AY2" s="56" t="s">
        <v>549</v>
      </c>
      <c r="AZ2" s="415" t="s">
        <v>121</v>
      </c>
      <c r="BA2" s="56"/>
      <c r="BB2" s="56"/>
      <c r="BC2" s="56"/>
      <c r="BD2" s="114"/>
      <c r="BE2" s="184">
        <v>40816</v>
      </c>
      <c r="BF2" s="191" t="s">
        <v>168</v>
      </c>
      <c r="BG2" s="191" t="s">
        <v>168</v>
      </c>
      <c r="BH2" s="419"/>
      <c r="BI2" s="204">
        <v>40491</v>
      </c>
      <c r="BJ2" s="99"/>
      <c r="BK2" s="99"/>
      <c r="BL2" s="204"/>
      <c r="BM2" s="99"/>
      <c r="BN2" s="36"/>
      <c r="BO2" s="423"/>
      <c r="BP2" s="111"/>
      <c r="BQ2" s="111"/>
      <c r="BR2" s="188"/>
      <c r="BS2" s="188">
        <f t="shared" ref="BS2:BS33" si="3">DATE(YEAR(BR2),MONTH(BR2)+24,DAY(BR2))</f>
        <v>731</v>
      </c>
      <c r="BT2" s="188">
        <f t="shared" ref="BT2:BT33" si="4">DATE(YEAR(BR2),MONTH(BR2)+36,DAY(BR2))</f>
        <v>1096</v>
      </c>
      <c r="BU2" s="188"/>
      <c r="BV2" s="188"/>
      <c r="BW2" s="672" t="e">
        <f t="shared" ref="BW2:BW33" si="5">DATEDIF(FK2,BT2,"M")</f>
        <v>#NUM!</v>
      </c>
      <c r="BX2" s="672" t="e">
        <f t="shared" ref="BX2:BX33" si="6">BW2*FN2</f>
        <v>#NUM!</v>
      </c>
      <c r="BY2" s="672" t="e">
        <f t="shared" ref="BY2:BY33" si="7">IF((BX2-BU2&gt;0),0,(BX2-BU2))</f>
        <v>#NUM!</v>
      </c>
      <c r="BZ2" s="816"/>
      <c r="CA2" s="817"/>
      <c r="CB2" s="816"/>
      <c r="CC2" s="816"/>
      <c r="CD2" s="816"/>
      <c r="CE2" s="816"/>
      <c r="CF2" s="818"/>
      <c r="CG2" s="818"/>
      <c r="CH2" s="818"/>
      <c r="CI2" s="818"/>
      <c r="CJ2" s="818"/>
      <c r="CK2" s="818"/>
      <c r="CL2" s="818"/>
      <c r="CM2" s="818"/>
      <c r="CN2" s="818"/>
      <c r="CO2" s="818"/>
      <c r="CP2" s="818"/>
      <c r="CQ2" s="818"/>
      <c r="CR2" s="818"/>
      <c r="CS2" s="712"/>
      <c r="CT2" s="307" t="s">
        <v>168</v>
      </c>
      <c r="CU2" s="405"/>
      <c r="CV2" s="580" t="s">
        <v>168</v>
      </c>
      <c r="CW2" s="581" t="s">
        <v>168</v>
      </c>
      <c r="CX2" s="405"/>
      <c r="CY2" s="405"/>
      <c r="CZ2" s="405" t="s">
        <v>168</v>
      </c>
      <c r="DA2" s="598"/>
      <c r="DB2" s="122"/>
      <c r="DC2" s="114"/>
      <c r="DD2" s="114"/>
      <c r="DE2" s="523" t="str">
        <f t="shared" ref="DE2:DE33" si="8">IF(AND(DC2&gt;0,DD2&gt;0),DD2-DC2,"0")</f>
        <v>0</v>
      </c>
      <c r="DF2" s="122"/>
      <c r="DG2" s="122"/>
      <c r="DH2" s="523" t="str">
        <f t="shared" ref="DH2:DH33" si="9">IF(AND(DF2&gt;0,DG2&gt;0),DG2-DF2,"0")</f>
        <v>0</v>
      </c>
      <c r="DI2" s="125"/>
      <c r="DJ2" s="122"/>
      <c r="DK2" s="523" t="str">
        <f t="shared" ref="DK2:DK33" si="10">IF(AND(DI2&gt;0,DJ2&gt;0),DJ2-DI2,"0")</f>
        <v>0</v>
      </c>
      <c r="DL2" s="125"/>
      <c r="DM2" s="122"/>
      <c r="DN2" s="523" t="str">
        <f t="shared" ref="DN2:DN33" si="11">IF(AND(DL2&gt;0,DM2&gt;0),DM2-DL2,"0")</f>
        <v>0</v>
      </c>
      <c r="DO2" s="125"/>
      <c r="DP2" s="569"/>
      <c r="DQ2" s="523" t="str">
        <f t="shared" ref="DQ2:DQ33" si="12">IF(AND(DO2&gt;0,DP2&gt;0),DP2-DO2,"0")</f>
        <v>0</v>
      </c>
      <c r="DR2" s="453"/>
      <c r="DS2" s="231"/>
      <c r="DT2" s="533"/>
      <c r="DU2" s="528"/>
      <c r="DV2" s="529" t="str">
        <f t="shared" ref="DV2:DV33" si="13">IF(AND(DT2&gt;0,DU2&gt;0),DU2-DT2,"0")</f>
        <v>0</v>
      </c>
      <c r="DW2" s="533"/>
      <c r="DX2" s="348">
        <v>40721</v>
      </c>
      <c r="DY2" s="341">
        <v>2011</v>
      </c>
      <c r="DZ2" s="443">
        <f t="shared" ref="DZ2:DZ33" si="14">(DATEDIF(BI2,DX2,"d"))/30</f>
        <v>7.666666666666667</v>
      </c>
      <c r="EA2" s="529" t="str">
        <f t="shared" ref="EA2:EA33" si="15">IF(AND(DW2&gt;0,DX2&gt;0),DX2-DW2,"0")</f>
        <v>0</v>
      </c>
      <c r="EB2" s="125">
        <v>15</v>
      </c>
      <c r="EC2" s="125">
        <f t="shared" ref="EC2:EC33" si="16">DATEDIF(DX2,FC2,"M")</f>
        <v>24</v>
      </c>
      <c r="ED2" s="315"/>
      <c r="EE2" s="314"/>
      <c r="EF2" s="685" t="str">
        <f t="shared" ref="EF2:EF33" si="17">IF(AND(ED2&gt;0,EE2&gt;0),EE2-ED2,"0")</f>
        <v>0</v>
      </c>
      <c r="EG2" s="698"/>
      <c r="EH2" s="613"/>
      <c r="EI2" s="614" t="str">
        <f t="shared" ref="EI2:EI33" si="18">IF(AND(EG2&gt;0,EH2&gt;0),EH2-EG2,"0")</f>
        <v>0</v>
      </c>
      <c r="EJ2" s="254"/>
      <c r="EK2" s="315"/>
      <c r="EL2" s="685" t="str">
        <f t="shared" ref="EL2:EL33" si="19">IF(AND(EJ2&gt;0,EK2&gt;0),EK2-EJ2,"0")</f>
        <v>0</v>
      </c>
      <c r="EM2" s="314"/>
      <c r="EN2" s="315"/>
      <c r="EO2" s="685" t="str">
        <f t="shared" ref="EO2:EO33" si="20">IF(AND(EM2&gt;0,EN2&gt;0),EN2-EM2,"0")</f>
        <v>0</v>
      </c>
      <c r="EP2" s="322"/>
      <c r="EQ2" s="322"/>
      <c r="ER2" s="685" t="str">
        <f t="shared" ref="ER2:ER33" si="21">IF(AND(EP2&gt;0,EQ2&gt;0),EQ2-EP2,"0")</f>
        <v>0</v>
      </c>
      <c r="ES2" s="322"/>
      <c r="ET2" s="315"/>
      <c r="EU2" s="685" t="str">
        <f t="shared" ref="EU2:EU33" si="22">IF(AND(ES2&gt;0,ET2&gt;0),ET2-ES2,"0")</f>
        <v>0</v>
      </c>
      <c r="EV2" s="323"/>
      <c r="EW2" s="323"/>
      <c r="EX2" s="685" t="str">
        <f t="shared" ref="EX2:EX33" si="23">IF(AND(EV2&gt;0,EW2&gt;0),EW2-EV2,"0")</f>
        <v>0</v>
      </c>
      <c r="EY2" s="323"/>
      <c r="EZ2" s="323"/>
      <c r="FA2" s="323"/>
      <c r="FB2" s="601">
        <f t="shared" ref="FB2:FB33" si="24">DATE(YEAR(DX2),MONTH(DX2)+EB2,DAY(DX2))</f>
        <v>41179</v>
      </c>
      <c r="FC2" s="351">
        <v>41464</v>
      </c>
      <c r="FD2" s="708">
        <f t="shared" ref="FD2:FD33" si="25">(DATEDIF(FB2,FC2,"d"))/30</f>
        <v>9.5</v>
      </c>
      <c r="FE2" s="600"/>
      <c r="FF2" s="113">
        <v>41606</v>
      </c>
      <c r="FG2" s="122" t="s">
        <v>128</v>
      </c>
      <c r="FH2" s="115">
        <v>41481</v>
      </c>
      <c r="FI2" s="455"/>
      <c r="FJ2" s="455">
        <f t="shared" ref="FJ2:FJ34" si="26">DATE(YEAR(FB2),MONTH(FB2)+1,DAY(FB2))</f>
        <v>41209</v>
      </c>
      <c r="FK2" s="351">
        <v>41481</v>
      </c>
      <c r="FL2" s="456">
        <v>2013</v>
      </c>
      <c r="FM2" s="706">
        <f t="shared" ref="FM2:FM33" si="27">(DATEDIF(FJ2,FK2,"d"))/30</f>
        <v>9.0666666666666664</v>
      </c>
      <c r="FN2" s="697">
        <v>11101</v>
      </c>
      <c r="FO2" s="231">
        <f t="shared" ref="FO2:FO33" si="28">FN2*FM2</f>
        <v>100649.06666666667</v>
      </c>
      <c r="FP2" s="126"/>
      <c r="FQ2" s="552"/>
      <c r="FR2" s="692">
        <f t="shared" ref="FR2:FR22" si="29">IO2</f>
        <v>1409</v>
      </c>
      <c r="FS2" s="556"/>
      <c r="FT2" s="556"/>
      <c r="FU2" s="556"/>
      <c r="FV2" s="556"/>
      <c r="FW2" s="553"/>
      <c r="FX2" s="566" t="s">
        <v>720</v>
      </c>
      <c r="FY2" s="553"/>
      <c r="FZ2" s="553"/>
      <c r="GA2" s="122"/>
      <c r="GB2" s="122"/>
      <c r="GC2" s="122"/>
      <c r="GD2" s="122"/>
      <c r="GE2" s="122"/>
      <c r="GF2" s="114"/>
      <c r="GG2" s="113">
        <f t="shared" ref="GG2:GG10" si="30">DATE(YEAR(FC2)+1,MONTH(FC2),DAY(FC2))</f>
        <v>41829</v>
      </c>
      <c r="GH2" s="677">
        <v>51423</v>
      </c>
      <c r="GI2" s="113" t="s">
        <v>128</v>
      </c>
      <c r="GJ2" s="113"/>
      <c r="GK2" s="113">
        <v>41926</v>
      </c>
      <c r="GL2" s="113" t="s">
        <v>293</v>
      </c>
      <c r="GM2" s="113"/>
      <c r="GN2" s="113" t="s">
        <v>168</v>
      </c>
      <c r="GO2" s="113"/>
      <c r="GP2" s="113" t="s">
        <v>168</v>
      </c>
      <c r="GQ2" s="113"/>
      <c r="GR2" s="113"/>
      <c r="GS2" s="113"/>
      <c r="GT2" s="194">
        <v>42114</v>
      </c>
      <c r="GU2" s="194">
        <v>42424</v>
      </c>
      <c r="GV2" s="425"/>
      <c r="GW2" s="402"/>
      <c r="GX2" s="10">
        <v>3574937</v>
      </c>
      <c r="GY2" s="426">
        <f>HJ2+HO2+HV2+IO2+HT2+HZ2</f>
        <v>3574937</v>
      </c>
      <c r="GZ2" s="797">
        <f t="shared" ref="GZ2:GZ33" si="31">GY2</f>
        <v>3574937</v>
      </c>
      <c r="HA2" s="12">
        <f t="shared" ref="HA2:HA35" si="32">GY2-GX2</f>
        <v>0</v>
      </c>
      <c r="HB2" s="49">
        <f t="shared" ref="HB2:HB33" si="33">GY2/AL2</f>
        <v>1693.5445208724157</v>
      </c>
      <c r="HC2" s="49">
        <f t="shared" ref="HC2:HC33" si="34">GY2/AE2</f>
        <v>132405.07407407407</v>
      </c>
      <c r="HD2" s="449"/>
      <c r="HE2" s="11">
        <v>0</v>
      </c>
      <c r="HF2" s="12">
        <f t="shared" ref="HF2:HF33" si="35">HE2-HD2</f>
        <v>0</v>
      </c>
      <c r="HG2" s="127">
        <f t="shared" ref="HG2:HG34" si="36">HD2*1.021/GX2</f>
        <v>0</v>
      </c>
      <c r="HH2" s="128"/>
      <c r="HI2" s="428">
        <v>0</v>
      </c>
      <c r="HJ2" s="15">
        <v>0</v>
      </c>
      <c r="HK2" s="717"/>
      <c r="HL2" s="23">
        <f t="shared" ref="HL2:HL33" si="37">HJ2/AE2</f>
        <v>0</v>
      </c>
      <c r="HM2" s="37">
        <f t="shared" ref="HM2:HM35" si="38">HJ2-HI2</f>
        <v>0</v>
      </c>
      <c r="HN2" s="10">
        <v>2306000</v>
      </c>
      <c r="HO2" s="11">
        <f t="shared" ref="HO2:HO35" si="39">+HP2+HQ2</f>
        <v>2306000</v>
      </c>
      <c r="HP2" s="13">
        <v>511146</v>
      </c>
      <c r="HQ2" s="13">
        <v>1794854</v>
      </c>
      <c r="HR2" s="37">
        <f t="shared" ref="HR2:HR35" si="40">HO2-HN2</f>
        <v>0</v>
      </c>
      <c r="HS2" s="629">
        <f t="shared" ref="HS2:HS33" si="41">HO2/AE2</f>
        <v>85407.407407407401</v>
      </c>
      <c r="HT2" s="11"/>
      <c r="HU2" s="428">
        <f>HV2+HW2</f>
        <v>1362028</v>
      </c>
      <c r="HV2" s="15">
        <v>1267528</v>
      </c>
      <c r="HW2" s="66">
        <v>94500</v>
      </c>
      <c r="HX2" s="40">
        <f t="shared" ref="HX2:HX33" si="42">HV2/GY2</f>
        <v>0.35455953489530023</v>
      </c>
      <c r="HY2" s="303"/>
      <c r="HZ2" s="15"/>
      <c r="IA2" s="24">
        <f>HV2-HU2+HW2</f>
        <v>0</v>
      </c>
      <c r="IB2" s="23">
        <f t="shared" ref="IB2:IB33" si="43">HV2/AE2</f>
        <v>46945.481481481482</v>
      </c>
      <c r="IC2" s="49">
        <f t="shared" ref="IC2:IC33" si="44">(HJ2+HV2)/AE2</f>
        <v>46945.481481481482</v>
      </c>
      <c r="ID2" s="24">
        <f t="shared" ref="ID2:ID35" si="45">IA2/AE2</f>
        <v>0</v>
      </c>
      <c r="IE2" s="48"/>
      <c r="IF2" s="48"/>
      <c r="IG2" s="39">
        <v>1734704.6581725003</v>
      </c>
      <c r="IH2" s="39">
        <v>660000</v>
      </c>
      <c r="II2" s="23">
        <f t="shared" ref="II2:II35" si="46">(HJ2+HV2+IH2)/AE2</f>
        <v>71389.925925925927</v>
      </c>
      <c r="IJ2" s="39">
        <v>767026.95965000009</v>
      </c>
      <c r="IK2" s="23">
        <f t="shared" ref="IK2:IK35" si="47">(HJ2+HV2+IH2+IJ2)/AE2</f>
        <v>99798.331838888887</v>
      </c>
      <c r="IL2" s="50">
        <f t="shared" ref="IL2:IL35" si="48">(HJ2+HV2+IH2+IJ2)/(IG2+GY2-IM2)</f>
        <v>0.52964624417787332</v>
      </c>
      <c r="IM2" s="39">
        <v>222180</v>
      </c>
      <c r="IN2" s="39"/>
      <c r="IO2" s="11">
        <v>1409</v>
      </c>
      <c r="IP2" s="41">
        <f t="shared" ref="IP2:IP35" si="49">GY2+IG2</f>
        <v>5309641.6581725003</v>
      </c>
      <c r="IQ2" s="231"/>
      <c r="IR2" s="231">
        <f t="shared" ref="IR2:IR35" si="50">IT2+IV2+IX2+IZ2+JB2+JD2+JF2+JH2+JJ2+JL2+JN2+JP2+JR2+JT2+JV2+JX2+JZ2</f>
        <v>0</v>
      </c>
      <c r="IS2" s="113"/>
      <c r="IT2" s="231"/>
      <c r="IU2" s="231"/>
      <c r="IV2" s="113"/>
      <c r="IW2" s="113"/>
      <c r="IX2" s="231"/>
      <c r="IY2" s="113"/>
      <c r="IZ2" s="231"/>
      <c r="JA2" s="113"/>
      <c r="JB2" s="231"/>
      <c r="JC2" s="114"/>
      <c r="JD2" s="321"/>
      <c r="JE2" s="313"/>
      <c r="JF2" s="313"/>
      <c r="JG2" s="122"/>
      <c r="JH2" s="231"/>
      <c r="JI2" s="122"/>
      <c r="JJ2" s="231"/>
      <c r="JK2" s="322"/>
      <c r="JL2" s="322"/>
      <c r="JM2" s="322"/>
      <c r="JN2" s="322"/>
      <c r="JO2" s="122"/>
      <c r="JP2" s="231"/>
      <c r="JQ2" s="269"/>
      <c r="JR2" s="269"/>
      <c r="JS2" s="269"/>
      <c r="JT2" s="269"/>
      <c r="JU2" s="231"/>
      <c r="JV2" s="122"/>
      <c r="JW2" s="114"/>
      <c r="JX2" s="122"/>
      <c r="JY2" s="122"/>
      <c r="JZ2" s="114"/>
    </row>
    <row r="3" spans="1:286" ht="54.75" customHeight="1">
      <c r="A3" s="7" t="s">
        <v>152</v>
      </c>
      <c r="B3" s="53"/>
      <c r="C3" s="7" t="s">
        <v>77</v>
      </c>
      <c r="D3" s="7" t="s">
        <v>114</v>
      </c>
      <c r="E3" s="7">
        <v>2010</v>
      </c>
      <c r="F3" s="7" t="s">
        <v>156</v>
      </c>
      <c r="G3" s="53" t="s">
        <v>37</v>
      </c>
      <c r="H3" s="7" t="s">
        <v>179</v>
      </c>
      <c r="I3" s="53" t="s">
        <v>250</v>
      </c>
      <c r="J3" s="53"/>
      <c r="K3" s="53"/>
      <c r="L3" s="395" t="s">
        <v>550</v>
      </c>
      <c r="M3" s="304"/>
      <c r="N3" s="304"/>
      <c r="O3" s="304"/>
      <c r="P3" s="207">
        <v>9462</v>
      </c>
      <c r="Q3" s="207">
        <v>874165.66</v>
      </c>
      <c r="R3" s="207">
        <v>262890</v>
      </c>
      <c r="S3" s="207">
        <f>Q3/AE3</f>
        <v>29138.855333333333</v>
      </c>
      <c r="T3" s="207">
        <f>Q3/P3</f>
        <v>92.386985838089203</v>
      </c>
      <c r="U3" s="207">
        <f>R3/P3</f>
        <v>27.783766645529486</v>
      </c>
      <c r="V3" s="207">
        <f>R3/AN3</f>
        <v>117.46438848277958</v>
      </c>
      <c r="W3" s="207">
        <f>R3/AE3</f>
        <v>8763</v>
      </c>
      <c r="X3" s="207">
        <f>P3/AE3</f>
        <v>315.39999999999998</v>
      </c>
      <c r="Y3" s="208">
        <v>379.2</v>
      </c>
      <c r="Z3" s="904">
        <f t="shared" ref="Z3:Z66" si="51">10000*AE3/P3</f>
        <v>31.705770450221941</v>
      </c>
      <c r="AA3" s="208" t="s">
        <v>206</v>
      </c>
      <c r="AB3" s="208"/>
      <c r="AC3" s="208"/>
      <c r="AD3" s="53" t="s">
        <v>16</v>
      </c>
      <c r="AE3" s="771">
        <f t="shared" si="0"/>
        <v>30</v>
      </c>
      <c r="AF3" s="771">
        <f t="shared" si="1"/>
        <v>30</v>
      </c>
      <c r="AG3" s="399"/>
      <c r="AH3" s="59">
        <v>30</v>
      </c>
      <c r="AI3" s="59"/>
      <c r="AJ3" s="59"/>
      <c r="AK3" s="57"/>
      <c r="AL3" s="57">
        <v>2238.04</v>
      </c>
      <c r="AM3" s="57"/>
      <c r="AN3" s="400">
        <v>2238.04</v>
      </c>
      <c r="AO3" s="57">
        <f t="shared" si="2"/>
        <v>74.601333333333329</v>
      </c>
      <c r="AP3" s="78"/>
      <c r="AQ3" s="78">
        <v>0.17</v>
      </c>
      <c r="AR3" s="78">
        <v>0.37</v>
      </c>
      <c r="AS3" s="78">
        <v>0.33</v>
      </c>
      <c r="AT3" s="78">
        <v>0.13</v>
      </c>
      <c r="AU3" s="57">
        <v>1419.56</v>
      </c>
      <c r="AV3" s="76">
        <v>664</v>
      </c>
      <c r="AW3" s="78">
        <f>AV3/P3</f>
        <v>7.0175438596491224E-2</v>
      </c>
      <c r="AX3" s="57"/>
      <c r="AY3" s="56" t="s">
        <v>549</v>
      </c>
      <c r="AZ3" s="56" t="s">
        <v>121</v>
      </c>
      <c r="BA3" s="56"/>
      <c r="BB3" s="56"/>
      <c r="BC3" s="56"/>
      <c r="BD3" s="53"/>
      <c r="BE3" s="184">
        <v>40816</v>
      </c>
      <c r="BF3" s="191" t="s">
        <v>168</v>
      </c>
      <c r="BG3" s="191" t="s">
        <v>168</v>
      </c>
      <c r="BH3" s="786"/>
      <c r="BI3" s="204">
        <v>40491</v>
      </c>
      <c r="BJ3" s="99"/>
      <c r="BK3" s="99"/>
      <c r="BL3" s="204"/>
      <c r="BM3" s="99"/>
      <c r="BN3" s="111"/>
      <c r="BO3" s="787"/>
      <c r="BP3" s="111"/>
      <c r="BQ3" s="111"/>
      <c r="BR3" s="188"/>
      <c r="BS3" s="188">
        <f t="shared" si="3"/>
        <v>731</v>
      </c>
      <c r="BT3" s="188">
        <f t="shared" si="4"/>
        <v>1096</v>
      </c>
      <c r="BU3" s="188"/>
      <c r="BV3" s="188"/>
      <c r="BW3" s="672" t="e">
        <f t="shared" si="5"/>
        <v>#NUM!</v>
      </c>
      <c r="BX3" s="672" t="e">
        <f t="shared" si="6"/>
        <v>#NUM!</v>
      </c>
      <c r="BY3" s="672" t="e">
        <f t="shared" si="7"/>
        <v>#NUM!</v>
      </c>
      <c r="BZ3" s="816"/>
      <c r="CA3" s="816"/>
      <c r="CB3" s="816"/>
      <c r="CC3" s="816"/>
      <c r="CD3" s="816"/>
      <c r="CE3" s="816"/>
      <c r="CF3" s="818"/>
      <c r="CG3" s="818"/>
      <c r="CH3" s="818"/>
      <c r="CI3" s="818"/>
      <c r="CJ3" s="818"/>
      <c r="CK3" s="818"/>
      <c r="CL3" s="818"/>
      <c r="CM3" s="818"/>
      <c r="CN3" s="818"/>
      <c r="CO3" s="818"/>
      <c r="CP3" s="818"/>
      <c r="CQ3" s="818"/>
      <c r="CR3" s="818"/>
      <c r="CS3" s="156"/>
      <c r="CT3" s="307" t="s">
        <v>168</v>
      </c>
      <c r="CU3" s="250"/>
      <c r="CV3" s="158" t="s">
        <v>168</v>
      </c>
      <c r="CW3" s="581" t="s">
        <v>168</v>
      </c>
      <c r="CX3" s="405"/>
      <c r="CY3" s="405" t="s">
        <v>168</v>
      </c>
      <c r="CZ3" s="250" t="s">
        <v>168</v>
      </c>
      <c r="DA3" s="598"/>
      <c r="DB3" s="122"/>
      <c r="DC3" s="122"/>
      <c r="DD3" s="122"/>
      <c r="DE3" s="523" t="str">
        <f t="shared" si="8"/>
        <v>0</v>
      </c>
      <c r="DF3" s="122"/>
      <c r="DG3" s="122"/>
      <c r="DH3" s="523" t="str">
        <f t="shared" si="9"/>
        <v>0</v>
      </c>
      <c r="DI3" s="122"/>
      <c r="DJ3" s="122"/>
      <c r="DK3" s="523" t="str">
        <f t="shared" si="10"/>
        <v>0</v>
      </c>
      <c r="DL3" s="122"/>
      <c r="DM3" s="122"/>
      <c r="DN3" s="523" t="str">
        <f t="shared" si="11"/>
        <v>0</v>
      </c>
      <c r="DO3" s="125"/>
      <c r="DP3" s="569"/>
      <c r="DQ3" s="523" t="str">
        <f t="shared" si="12"/>
        <v>0</v>
      </c>
      <c r="DR3" s="453"/>
      <c r="DS3" s="231"/>
      <c r="DT3" s="533"/>
      <c r="DU3" s="528"/>
      <c r="DV3" s="529" t="str">
        <f t="shared" si="13"/>
        <v>0</v>
      </c>
      <c r="DW3" s="533"/>
      <c r="DX3" s="348">
        <v>40945</v>
      </c>
      <c r="DY3" s="341">
        <v>2012</v>
      </c>
      <c r="DZ3" s="443">
        <f t="shared" si="14"/>
        <v>15.133333333333333</v>
      </c>
      <c r="EA3" s="529" t="str">
        <f t="shared" si="15"/>
        <v>0</v>
      </c>
      <c r="EB3" s="125">
        <v>15</v>
      </c>
      <c r="EC3" s="125">
        <f t="shared" si="16"/>
        <v>21</v>
      </c>
      <c r="ED3" s="315"/>
      <c r="EE3" s="314"/>
      <c r="EF3" s="685" t="str">
        <f t="shared" si="17"/>
        <v>0</v>
      </c>
      <c r="EG3" s="698"/>
      <c r="EH3" s="613"/>
      <c r="EI3" s="614" t="str">
        <f t="shared" si="18"/>
        <v>0</v>
      </c>
      <c r="EJ3" s="254"/>
      <c r="EK3" s="315"/>
      <c r="EL3" s="685" t="str">
        <f t="shared" si="19"/>
        <v>0</v>
      </c>
      <c r="EM3" s="314"/>
      <c r="EN3" s="315"/>
      <c r="EO3" s="685" t="str">
        <f t="shared" si="20"/>
        <v>0</v>
      </c>
      <c r="EP3" s="322"/>
      <c r="EQ3" s="322"/>
      <c r="ER3" s="685" t="str">
        <f t="shared" si="21"/>
        <v>0</v>
      </c>
      <c r="ES3" s="322"/>
      <c r="ET3" s="323"/>
      <c r="EU3" s="685" t="str">
        <f t="shared" si="22"/>
        <v>0</v>
      </c>
      <c r="EV3" s="315"/>
      <c r="EW3" s="315"/>
      <c r="EX3" s="685" t="str">
        <f t="shared" si="23"/>
        <v>0</v>
      </c>
      <c r="EY3" s="323"/>
      <c r="EZ3" s="323"/>
      <c r="FA3" s="323"/>
      <c r="FB3" s="601">
        <f t="shared" si="24"/>
        <v>41400</v>
      </c>
      <c r="FC3" s="351">
        <v>41601</v>
      </c>
      <c r="FD3" s="708">
        <f t="shared" si="25"/>
        <v>6.7</v>
      </c>
      <c r="FE3" s="600"/>
      <c r="FF3" s="126">
        <v>41669</v>
      </c>
      <c r="FG3" s="122" t="s">
        <v>128</v>
      </c>
      <c r="FH3" s="185">
        <v>41663</v>
      </c>
      <c r="FI3" s="734"/>
      <c r="FJ3" s="455">
        <f t="shared" si="26"/>
        <v>41431</v>
      </c>
      <c r="FK3" s="602">
        <v>41663</v>
      </c>
      <c r="FL3" s="590">
        <v>2014</v>
      </c>
      <c r="FM3" s="703">
        <f t="shared" si="27"/>
        <v>7.7333333333333334</v>
      </c>
      <c r="FN3" s="697">
        <v>11928</v>
      </c>
      <c r="FO3" s="231">
        <f t="shared" si="28"/>
        <v>92243.199999999997</v>
      </c>
      <c r="FP3" s="185"/>
      <c r="FQ3" s="552"/>
      <c r="FR3" s="692">
        <f t="shared" si="29"/>
        <v>70784</v>
      </c>
      <c r="FS3" s="556"/>
      <c r="FT3" s="556"/>
      <c r="FU3" s="556"/>
      <c r="FV3" s="556"/>
      <c r="FW3" s="553"/>
      <c r="FX3" s="566" t="s">
        <v>726</v>
      </c>
      <c r="FY3" s="553"/>
      <c r="FZ3" s="553"/>
      <c r="GA3" s="122"/>
      <c r="GB3" s="122"/>
      <c r="GC3" s="122" t="s">
        <v>128</v>
      </c>
      <c r="GD3" s="122" t="s">
        <v>128</v>
      </c>
      <c r="GE3" s="122"/>
      <c r="GF3" s="113">
        <v>42697</v>
      </c>
      <c r="GG3" s="113">
        <f t="shared" si="30"/>
        <v>41966</v>
      </c>
      <c r="GH3" s="677">
        <v>59348.24</v>
      </c>
      <c r="GI3" s="113" t="s">
        <v>128</v>
      </c>
      <c r="GJ3" s="113"/>
      <c r="GK3" s="113">
        <v>41925</v>
      </c>
      <c r="GL3" s="113">
        <v>41928</v>
      </c>
      <c r="GM3" s="113"/>
      <c r="GN3" s="113"/>
      <c r="GO3" s="113"/>
      <c r="GP3" s="113" t="s">
        <v>168</v>
      </c>
      <c r="GQ3" s="113"/>
      <c r="GR3" s="113"/>
      <c r="GS3" s="113"/>
      <c r="GT3" s="113"/>
      <c r="GU3" s="113"/>
      <c r="GV3" s="402"/>
      <c r="GW3" s="402"/>
      <c r="GX3" s="10">
        <v>3911389</v>
      </c>
      <c r="GY3" s="426">
        <f>HJ3+HO3+HV3+IO3+HT3+HZ3</f>
        <v>3911389</v>
      </c>
      <c r="GZ3" s="797">
        <f t="shared" si="31"/>
        <v>3911389</v>
      </c>
      <c r="HA3" s="94">
        <f t="shared" si="32"/>
        <v>0</v>
      </c>
      <c r="HB3" s="49">
        <f t="shared" si="33"/>
        <v>1747.6850279709031</v>
      </c>
      <c r="HC3" s="49">
        <f t="shared" si="34"/>
        <v>130379.63333333333</v>
      </c>
      <c r="HD3" s="631"/>
      <c r="HE3" s="67"/>
      <c r="HF3" s="94">
        <f t="shared" si="35"/>
        <v>0</v>
      </c>
      <c r="HG3" s="128">
        <f t="shared" si="36"/>
        <v>0</v>
      </c>
      <c r="HH3" s="128"/>
      <c r="HI3" s="403">
        <v>0</v>
      </c>
      <c r="HJ3" s="15">
        <v>0</v>
      </c>
      <c r="HK3" s="66"/>
      <c r="HL3" s="49">
        <f t="shared" si="37"/>
        <v>0</v>
      </c>
      <c r="HM3" s="95">
        <f t="shared" si="38"/>
        <v>0</v>
      </c>
      <c r="HN3" s="93">
        <v>2481000</v>
      </c>
      <c r="HO3" s="67">
        <f t="shared" si="39"/>
        <v>2481000</v>
      </c>
      <c r="HP3" s="87">
        <v>486094</v>
      </c>
      <c r="HQ3" s="87">
        <v>1994906</v>
      </c>
      <c r="HR3" s="95">
        <f t="shared" si="40"/>
        <v>0</v>
      </c>
      <c r="HS3" s="630">
        <f t="shared" si="41"/>
        <v>82700</v>
      </c>
      <c r="HT3" s="67"/>
      <c r="HU3" s="403">
        <f>HV3</f>
        <v>1359605</v>
      </c>
      <c r="HV3" s="66">
        <v>1359605</v>
      </c>
      <c r="HW3" s="66"/>
      <c r="HX3" s="88">
        <f t="shared" si="42"/>
        <v>0.34760158092176463</v>
      </c>
      <c r="HY3" s="303"/>
      <c r="HZ3" s="66"/>
      <c r="IA3" s="89">
        <f t="shared" ref="IA3:IA10" si="52">HV3-HU3</f>
        <v>0</v>
      </c>
      <c r="IB3" s="49">
        <f t="shared" si="43"/>
        <v>45320.166666666664</v>
      </c>
      <c r="IC3" s="49">
        <f t="shared" si="44"/>
        <v>45320.166666666664</v>
      </c>
      <c r="ID3" s="89">
        <f t="shared" si="45"/>
        <v>0</v>
      </c>
      <c r="IE3" s="48"/>
      <c r="IF3" s="48"/>
      <c r="IG3" s="91">
        <v>2106869</v>
      </c>
      <c r="IH3" s="91">
        <v>550000</v>
      </c>
      <c r="II3" s="49">
        <f t="shared" si="46"/>
        <v>63653.5</v>
      </c>
      <c r="IJ3" s="91">
        <v>1220907.39295</v>
      </c>
      <c r="IK3" s="49">
        <f t="shared" si="47"/>
        <v>104350.41309833335</v>
      </c>
      <c r="IL3" s="50">
        <f t="shared" si="48"/>
        <v>0.5439291445742479</v>
      </c>
      <c r="IM3" s="91">
        <v>262890</v>
      </c>
      <c r="IN3" s="91"/>
      <c r="IO3" s="67">
        <v>70784</v>
      </c>
      <c r="IP3" s="96">
        <f t="shared" si="49"/>
        <v>6018258</v>
      </c>
      <c r="IQ3" s="231"/>
      <c r="IR3" s="231">
        <f t="shared" si="50"/>
        <v>0</v>
      </c>
      <c r="IS3" s="113"/>
      <c r="IT3" s="231"/>
      <c r="IU3" s="231"/>
      <c r="IV3" s="113"/>
      <c r="IW3" s="113"/>
      <c r="IX3" s="231"/>
      <c r="IY3" s="113"/>
      <c r="IZ3" s="231"/>
      <c r="JA3" s="113"/>
      <c r="JB3" s="231"/>
      <c r="JC3" s="114"/>
      <c r="JD3" s="321"/>
      <c r="JE3" s="313"/>
      <c r="JF3" s="313"/>
      <c r="JG3" s="122"/>
      <c r="JH3" s="231"/>
      <c r="JI3" s="122"/>
      <c r="JJ3" s="231"/>
      <c r="JK3" s="322"/>
      <c r="JL3" s="322"/>
      <c r="JM3" s="322"/>
      <c r="JN3" s="322"/>
      <c r="JO3" s="269"/>
      <c r="JP3" s="269"/>
      <c r="JQ3" s="269"/>
      <c r="JR3" s="269"/>
      <c r="JS3" s="269"/>
      <c r="JT3" s="269"/>
      <c r="JU3" s="231"/>
      <c r="JV3" s="122"/>
      <c r="JW3" s="114"/>
      <c r="JX3" s="122"/>
      <c r="JY3" s="122"/>
      <c r="JZ3" s="114"/>
    </row>
    <row r="4" spans="1:286" ht="34.5" customHeight="1">
      <c r="A4" s="7" t="s">
        <v>101</v>
      </c>
      <c r="B4" s="53"/>
      <c r="C4" s="7" t="s">
        <v>34</v>
      </c>
      <c r="D4" s="7" t="s">
        <v>113</v>
      </c>
      <c r="E4" s="7">
        <v>2011</v>
      </c>
      <c r="F4" s="7" t="s">
        <v>104</v>
      </c>
      <c r="G4" s="7" t="s">
        <v>54</v>
      </c>
      <c r="H4" s="7" t="s">
        <v>180</v>
      </c>
      <c r="I4" s="53" t="s">
        <v>250</v>
      </c>
      <c r="J4" s="53"/>
      <c r="K4" s="53"/>
      <c r="L4" s="255"/>
      <c r="M4" s="411"/>
      <c r="N4" s="411"/>
      <c r="O4" s="411"/>
      <c r="P4" s="207">
        <f>2009+396</f>
        <v>2405</v>
      </c>
      <c r="Q4" s="207">
        <v>133800</v>
      </c>
      <c r="R4" s="207">
        <v>120788</v>
      </c>
      <c r="S4" s="207">
        <f>Q4/AE4</f>
        <v>9557.1428571428569</v>
      </c>
      <c r="T4" s="207">
        <f>Q4/P4</f>
        <v>55.634095634095637</v>
      </c>
      <c r="U4" s="207">
        <f>R4/P4</f>
        <v>50.223700623700623</v>
      </c>
      <c r="V4" s="207">
        <f>R4/AN4</f>
        <v>115.00004760408635</v>
      </c>
      <c r="W4" s="207">
        <f>R4/AE4</f>
        <v>8627.7142857142862</v>
      </c>
      <c r="X4" s="207">
        <f>P4/AE4</f>
        <v>171.78571428571428</v>
      </c>
      <c r="Y4" s="208"/>
      <c r="Z4" s="904">
        <f t="shared" si="51"/>
        <v>58.21205821205821</v>
      </c>
      <c r="AA4" s="208" t="s">
        <v>206</v>
      </c>
      <c r="AB4" s="210"/>
      <c r="AC4" s="210"/>
      <c r="AD4" s="7" t="s">
        <v>16</v>
      </c>
      <c r="AE4" s="771">
        <f t="shared" si="0"/>
        <v>14</v>
      </c>
      <c r="AF4" s="771">
        <f t="shared" si="1"/>
        <v>14</v>
      </c>
      <c r="AG4" s="414"/>
      <c r="AH4" s="7">
        <v>14</v>
      </c>
      <c r="AI4" s="53"/>
      <c r="AJ4" s="53"/>
      <c r="AK4" s="57"/>
      <c r="AL4" s="9">
        <v>1050.33</v>
      </c>
      <c r="AM4" s="57"/>
      <c r="AN4" s="82">
        <v>1050.33</v>
      </c>
      <c r="AO4" s="9">
        <f t="shared" si="2"/>
        <v>75.023571428571429</v>
      </c>
      <c r="AP4" s="57"/>
      <c r="AQ4" s="57"/>
      <c r="AR4" s="57"/>
      <c r="AS4" s="57"/>
      <c r="AT4" s="57"/>
      <c r="AU4" s="9">
        <v>600</v>
      </c>
      <c r="AV4" s="76" t="s">
        <v>320</v>
      </c>
      <c r="AW4" s="78" t="e">
        <f>AV4/P4</f>
        <v>#VALUE!</v>
      </c>
      <c r="AX4" s="57">
        <v>2</v>
      </c>
      <c r="AY4" s="56" t="s">
        <v>549</v>
      </c>
      <c r="AZ4" s="415" t="s">
        <v>120</v>
      </c>
      <c r="BA4" s="56"/>
      <c r="BB4" s="56"/>
      <c r="BC4" s="56"/>
      <c r="BD4" s="53"/>
      <c r="BE4" s="184">
        <v>40816</v>
      </c>
      <c r="BF4" s="418" t="s">
        <v>168</v>
      </c>
      <c r="BG4" s="418" t="s">
        <v>168</v>
      </c>
      <c r="BH4" s="419"/>
      <c r="BI4" s="204">
        <v>40884</v>
      </c>
      <c r="BJ4" s="99"/>
      <c r="BK4" s="99"/>
      <c r="BL4" s="204"/>
      <c r="BM4" s="99"/>
      <c r="BN4" s="36"/>
      <c r="BO4" s="423"/>
      <c r="BP4" s="111"/>
      <c r="BQ4" s="111"/>
      <c r="BR4" s="188"/>
      <c r="BS4" s="188">
        <f t="shared" si="3"/>
        <v>731</v>
      </c>
      <c r="BT4" s="188">
        <f t="shared" si="4"/>
        <v>1096</v>
      </c>
      <c r="BU4" s="188"/>
      <c r="BV4" s="188"/>
      <c r="BW4" s="672" t="e">
        <f t="shared" si="5"/>
        <v>#NUM!</v>
      </c>
      <c r="BX4" s="672" t="e">
        <f t="shared" si="6"/>
        <v>#NUM!</v>
      </c>
      <c r="BY4" s="672" t="e">
        <f t="shared" si="7"/>
        <v>#NUM!</v>
      </c>
      <c r="BZ4" s="816"/>
      <c r="CA4" s="817"/>
      <c r="CB4" s="816"/>
      <c r="CC4" s="816"/>
      <c r="CD4" s="816"/>
      <c r="CE4" s="816"/>
      <c r="CF4" s="818"/>
      <c r="CG4" s="818"/>
      <c r="CH4" s="818"/>
      <c r="CI4" s="818"/>
      <c r="CJ4" s="818"/>
      <c r="CK4" s="818"/>
      <c r="CL4" s="818"/>
      <c r="CM4" s="818"/>
      <c r="CN4" s="819"/>
      <c r="CO4" s="819"/>
      <c r="CP4" s="819"/>
      <c r="CQ4" s="819"/>
      <c r="CR4" s="819"/>
      <c r="CS4" s="156"/>
      <c r="CT4" s="307" t="s">
        <v>168</v>
      </c>
      <c r="CU4" s="250"/>
      <c r="CV4" s="157" t="s">
        <v>168</v>
      </c>
      <c r="CW4" s="581" t="s">
        <v>168</v>
      </c>
      <c r="CX4" s="405"/>
      <c r="CY4" s="405"/>
      <c r="CZ4" s="250" t="s">
        <v>168</v>
      </c>
      <c r="DA4" s="598"/>
      <c r="DB4" s="122"/>
      <c r="DC4" s="122"/>
      <c r="DD4" s="122"/>
      <c r="DE4" s="523" t="str">
        <f t="shared" si="8"/>
        <v>0</v>
      </c>
      <c r="DF4" s="122"/>
      <c r="DG4" s="122"/>
      <c r="DH4" s="523" t="str">
        <f t="shared" si="9"/>
        <v>0</v>
      </c>
      <c r="DI4" s="122"/>
      <c r="DJ4" s="122"/>
      <c r="DK4" s="523" t="str">
        <f t="shared" si="10"/>
        <v>0</v>
      </c>
      <c r="DL4" s="122"/>
      <c r="DM4" s="122"/>
      <c r="DN4" s="523" t="str">
        <f t="shared" si="11"/>
        <v>0</v>
      </c>
      <c r="DO4" s="125"/>
      <c r="DP4" s="569"/>
      <c r="DQ4" s="523" t="str">
        <f t="shared" si="12"/>
        <v>0</v>
      </c>
      <c r="DR4" s="453"/>
      <c r="DS4" s="231"/>
      <c r="DT4" s="533"/>
      <c r="DU4" s="528"/>
      <c r="DV4" s="529" t="str">
        <f t="shared" si="13"/>
        <v>0</v>
      </c>
      <c r="DW4" s="533"/>
      <c r="DX4" s="348">
        <v>40970</v>
      </c>
      <c r="DY4" s="341">
        <v>2012</v>
      </c>
      <c r="DZ4" s="443">
        <f t="shared" si="14"/>
        <v>2.8666666666666667</v>
      </c>
      <c r="EA4" s="529" t="str">
        <f t="shared" si="15"/>
        <v>0</v>
      </c>
      <c r="EB4" s="125">
        <v>12</v>
      </c>
      <c r="EC4" s="125">
        <f t="shared" si="16"/>
        <v>20</v>
      </c>
      <c r="ED4" s="315"/>
      <c r="EE4" s="314"/>
      <c r="EF4" s="685" t="str">
        <f t="shared" si="17"/>
        <v>0</v>
      </c>
      <c r="EG4" s="698"/>
      <c r="EH4" s="613"/>
      <c r="EI4" s="614" t="str">
        <f t="shared" si="18"/>
        <v>0</v>
      </c>
      <c r="EJ4" s="254"/>
      <c r="EK4" s="315">
        <f ca="1">IF(EJ4&lt;TODAY(),TODAY(),EJ4)</f>
        <v>43423</v>
      </c>
      <c r="EL4" s="685" t="str">
        <f t="shared" ca="1" si="19"/>
        <v>0</v>
      </c>
      <c r="EM4" s="314"/>
      <c r="EN4" s="315"/>
      <c r="EO4" s="685" t="str">
        <f t="shared" si="20"/>
        <v>0</v>
      </c>
      <c r="EP4" s="322"/>
      <c r="EQ4" s="322"/>
      <c r="ER4" s="685" t="str">
        <f t="shared" si="21"/>
        <v>0</v>
      </c>
      <c r="ES4" s="322"/>
      <c r="ET4" s="323"/>
      <c r="EU4" s="685" t="str">
        <f t="shared" si="22"/>
        <v>0</v>
      </c>
      <c r="EV4" s="315"/>
      <c r="EW4" s="315"/>
      <c r="EX4" s="685" t="str">
        <f t="shared" si="23"/>
        <v>0</v>
      </c>
      <c r="EY4" s="323"/>
      <c r="EZ4" s="323"/>
      <c r="FA4" s="323"/>
      <c r="FB4" s="455">
        <f t="shared" si="24"/>
        <v>41335</v>
      </c>
      <c r="FC4" s="351">
        <v>41583</v>
      </c>
      <c r="FD4" s="708">
        <f t="shared" si="25"/>
        <v>8.2666666666666675</v>
      </c>
      <c r="FE4" s="600"/>
      <c r="FF4" s="126">
        <v>41627</v>
      </c>
      <c r="FG4" s="126" t="s">
        <v>128</v>
      </c>
      <c r="FH4" s="126">
        <v>41774</v>
      </c>
      <c r="FI4" s="600"/>
      <c r="FJ4" s="455">
        <f t="shared" si="26"/>
        <v>41366</v>
      </c>
      <c r="FK4" s="351">
        <v>41774</v>
      </c>
      <c r="FL4" s="590">
        <v>2014</v>
      </c>
      <c r="FM4" s="702">
        <f t="shared" si="27"/>
        <v>13.6</v>
      </c>
      <c r="FN4" s="697">
        <v>5964</v>
      </c>
      <c r="FO4" s="231">
        <f t="shared" si="28"/>
        <v>81110.399999999994</v>
      </c>
      <c r="FP4" s="126"/>
      <c r="FQ4" s="552"/>
      <c r="FR4" s="692">
        <f t="shared" si="29"/>
        <v>253357.88</v>
      </c>
      <c r="FS4" s="556"/>
      <c r="FT4" s="556"/>
      <c r="FU4" s="556"/>
      <c r="FV4" s="556"/>
      <c r="FW4" s="553"/>
      <c r="FX4" s="566" t="s">
        <v>728</v>
      </c>
      <c r="FY4" s="553"/>
      <c r="FZ4" s="553"/>
      <c r="GA4" s="122"/>
      <c r="GB4" s="122"/>
      <c r="GC4" s="122"/>
      <c r="GD4" s="122"/>
      <c r="GE4" s="122">
        <v>41661</v>
      </c>
      <c r="GF4" s="114" t="s">
        <v>128</v>
      </c>
      <c r="GG4" s="122">
        <f t="shared" si="30"/>
        <v>41948</v>
      </c>
      <c r="GH4" s="677">
        <v>31451.360000000001</v>
      </c>
      <c r="GI4" s="122" t="s">
        <v>128</v>
      </c>
      <c r="GJ4" s="122"/>
      <c r="GK4" s="122">
        <v>41919</v>
      </c>
      <c r="GL4" s="122">
        <v>41925</v>
      </c>
      <c r="GM4" s="122"/>
      <c r="GN4" s="122"/>
      <c r="GO4" s="122"/>
      <c r="GP4" s="122" t="s">
        <v>168</v>
      </c>
      <c r="GQ4" s="122"/>
      <c r="GR4" s="122"/>
      <c r="GS4" s="122"/>
      <c r="GT4" s="122"/>
      <c r="GU4" s="122"/>
      <c r="GV4" s="425"/>
      <c r="GW4" s="402"/>
      <c r="GX4" s="10">
        <v>2230353.88</v>
      </c>
      <c r="GY4" s="426">
        <f>HJ4+HO4+HV4+IO4+HT4+HZ4+HW4</f>
        <v>2230353.88</v>
      </c>
      <c r="GZ4" s="797">
        <f t="shared" si="31"/>
        <v>2230353.88</v>
      </c>
      <c r="HA4" s="12">
        <f t="shared" si="32"/>
        <v>0</v>
      </c>
      <c r="HB4" s="49">
        <f t="shared" si="33"/>
        <v>2123.4791732122285</v>
      </c>
      <c r="HC4" s="49">
        <f t="shared" si="34"/>
        <v>159310.99142857143</v>
      </c>
      <c r="HD4" s="716"/>
      <c r="HE4" s="11">
        <v>0</v>
      </c>
      <c r="HF4" s="12">
        <f t="shared" si="35"/>
        <v>0</v>
      </c>
      <c r="HG4" s="127">
        <f t="shared" si="36"/>
        <v>0</v>
      </c>
      <c r="HH4" s="128"/>
      <c r="HI4" s="428">
        <v>0</v>
      </c>
      <c r="HJ4" s="15">
        <v>0</v>
      </c>
      <c r="HK4" s="66"/>
      <c r="HL4" s="23">
        <f t="shared" si="37"/>
        <v>0</v>
      </c>
      <c r="HM4" s="37">
        <f t="shared" si="38"/>
        <v>0</v>
      </c>
      <c r="HN4" s="10">
        <v>1285412</v>
      </c>
      <c r="HO4" s="11">
        <f t="shared" si="39"/>
        <v>1285412</v>
      </c>
      <c r="HP4" s="13">
        <v>305730</v>
      </c>
      <c r="HQ4" s="13">
        <v>979682</v>
      </c>
      <c r="HR4" s="37">
        <f t="shared" si="40"/>
        <v>0</v>
      </c>
      <c r="HS4" s="629">
        <f t="shared" si="41"/>
        <v>91815.142857142855</v>
      </c>
      <c r="HT4" s="11"/>
      <c r="HU4" s="428">
        <f>HV4</f>
        <v>620464</v>
      </c>
      <c r="HV4" s="15">
        <v>620464</v>
      </c>
      <c r="HW4" s="66">
        <v>70000</v>
      </c>
      <c r="HX4" s="40">
        <f t="shared" si="42"/>
        <v>0.27819083131328021</v>
      </c>
      <c r="HY4" s="303"/>
      <c r="HZ4" s="15">
        <v>1120</v>
      </c>
      <c r="IA4" s="24">
        <f t="shared" si="52"/>
        <v>0</v>
      </c>
      <c r="IB4" s="23">
        <f t="shared" si="43"/>
        <v>44318.857142857145</v>
      </c>
      <c r="IC4" s="49">
        <f t="shared" si="44"/>
        <v>44318.857142857145</v>
      </c>
      <c r="ID4" s="24">
        <f t="shared" si="45"/>
        <v>0</v>
      </c>
      <c r="IE4" s="48"/>
      <c r="IF4" s="48"/>
      <c r="IG4" s="39">
        <v>715424.22886499984</v>
      </c>
      <c r="IH4" s="39">
        <v>280000</v>
      </c>
      <c r="II4" s="23">
        <f t="shared" si="46"/>
        <v>64318.857142857145</v>
      </c>
      <c r="IJ4" s="39">
        <v>259894.04</v>
      </c>
      <c r="IK4" s="23">
        <f t="shared" si="47"/>
        <v>82882.717142857146</v>
      </c>
      <c r="IL4" s="50">
        <f t="shared" si="48"/>
        <v>0.41111677977683803</v>
      </c>
      <c r="IM4" s="39">
        <v>123324.49695</v>
      </c>
      <c r="IN4" s="39"/>
      <c r="IO4" s="11">
        <v>253357.88</v>
      </c>
      <c r="IP4" s="41">
        <f t="shared" si="49"/>
        <v>2945778.1088649998</v>
      </c>
      <c r="IQ4" s="231"/>
      <c r="IR4" s="231">
        <f t="shared" si="50"/>
        <v>0</v>
      </c>
      <c r="IS4" s="113"/>
      <c r="IT4" s="231"/>
      <c r="IU4" s="231"/>
      <c r="IV4" s="113"/>
      <c r="IW4" s="113"/>
      <c r="IX4" s="231"/>
      <c r="IY4" s="113"/>
      <c r="IZ4" s="231"/>
      <c r="JA4" s="113"/>
      <c r="JB4" s="231"/>
      <c r="JC4" s="114"/>
      <c r="JD4" s="321"/>
      <c r="JE4" s="313"/>
      <c r="JF4" s="313"/>
      <c r="JG4" s="122"/>
      <c r="JH4" s="231"/>
      <c r="JI4" s="122"/>
      <c r="JJ4" s="231"/>
      <c r="JK4" s="322"/>
      <c r="JL4" s="322"/>
      <c r="JM4" s="322"/>
      <c r="JN4" s="322"/>
      <c r="JO4" s="269"/>
      <c r="JP4" s="269"/>
      <c r="JQ4" s="269"/>
      <c r="JR4" s="269"/>
      <c r="JS4" s="269"/>
      <c r="JT4" s="269"/>
      <c r="JU4" s="231"/>
      <c r="JV4" s="122"/>
      <c r="JW4" s="114"/>
      <c r="JX4" s="122"/>
      <c r="JY4" s="122"/>
      <c r="JZ4" s="114"/>
    </row>
    <row r="5" spans="1:286" ht="24.95" customHeight="1">
      <c r="A5" s="7" t="s">
        <v>110</v>
      </c>
      <c r="B5" s="53"/>
      <c r="C5" s="7" t="s">
        <v>34</v>
      </c>
      <c r="D5" s="7" t="s">
        <v>113</v>
      </c>
      <c r="E5" s="7">
        <v>2011</v>
      </c>
      <c r="F5" s="7" t="s">
        <v>106</v>
      </c>
      <c r="G5" s="7"/>
      <c r="H5" s="765"/>
      <c r="I5" s="53" t="s">
        <v>250</v>
      </c>
      <c r="J5" s="53"/>
      <c r="K5" s="53"/>
      <c r="L5" s="395" t="s">
        <v>602</v>
      </c>
      <c r="M5" s="411"/>
      <c r="N5" s="411"/>
      <c r="O5" s="411"/>
      <c r="P5" s="65"/>
      <c r="Q5" s="65"/>
      <c r="R5" s="65"/>
      <c r="S5" s="65"/>
      <c r="T5" s="65"/>
      <c r="U5" s="65"/>
      <c r="V5" s="65"/>
      <c r="W5" s="65"/>
      <c r="X5" s="65"/>
      <c r="Y5" s="65"/>
      <c r="Z5" s="65" t="e">
        <f t="shared" si="51"/>
        <v>#DIV/0!</v>
      </c>
      <c r="AA5" s="65"/>
      <c r="AB5" s="210"/>
      <c r="AC5" s="210"/>
      <c r="AD5" s="7" t="s">
        <v>16</v>
      </c>
      <c r="AE5" s="771">
        <f t="shared" si="0"/>
        <v>16</v>
      </c>
      <c r="AF5" s="771">
        <f t="shared" si="1"/>
        <v>16</v>
      </c>
      <c r="AG5" s="8"/>
      <c r="AH5" s="7">
        <v>16</v>
      </c>
      <c r="AI5" s="53"/>
      <c r="AJ5" s="53"/>
      <c r="AK5" s="806"/>
      <c r="AL5" s="9">
        <v>1432.77</v>
      </c>
      <c r="AM5" s="57"/>
      <c r="AN5" s="82">
        <v>1432.77</v>
      </c>
      <c r="AO5" s="9">
        <f t="shared" si="2"/>
        <v>89.548124999999999</v>
      </c>
      <c r="AP5" s="57"/>
      <c r="AQ5" s="57"/>
      <c r="AR5" s="57"/>
      <c r="AS5" s="57"/>
      <c r="AT5" s="57"/>
      <c r="AU5" s="8"/>
      <c r="AV5" s="182"/>
      <c r="AW5" s="107"/>
      <c r="AX5" s="57">
        <v>2.5</v>
      </c>
      <c r="AY5" s="56" t="s">
        <v>549</v>
      </c>
      <c r="AZ5" s="415" t="s">
        <v>120</v>
      </c>
      <c r="BA5" s="56"/>
      <c r="BB5" s="56"/>
      <c r="BC5" s="56"/>
      <c r="BD5" s="53"/>
      <c r="BE5" s="184">
        <v>40816</v>
      </c>
      <c r="BF5" s="418" t="s">
        <v>12</v>
      </c>
      <c r="BG5" s="418" t="s">
        <v>225</v>
      </c>
      <c r="BH5" s="419"/>
      <c r="BI5" s="204">
        <v>40722</v>
      </c>
      <c r="BJ5" s="99">
        <v>42291</v>
      </c>
      <c r="BK5" s="99"/>
      <c r="BL5" s="204"/>
      <c r="BM5" s="99"/>
      <c r="BN5" s="36"/>
      <c r="BO5" s="423"/>
      <c r="BP5" s="111"/>
      <c r="BQ5" s="111"/>
      <c r="BR5" s="188"/>
      <c r="BS5" s="188">
        <f t="shared" si="3"/>
        <v>731</v>
      </c>
      <c r="BT5" s="188">
        <f t="shared" si="4"/>
        <v>1096</v>
      </c>
      <c r="BU5" s="188"/>
      <c r="BV5" s="188"/>
      <c r="BW5" s="672" t="e">
        <f t="shared" si="5"/>
        <v>#NUM!</v>
      </c>
      <c r="BX5" s="672" t="e">
        <f t="shared" si="6"/>
        <v>#NUM!</v>
      </c>
      <c r="BY5" s="672" t="e">
        <f t="shared" si="7"/>
        <v>#NUM!</v>
      </c>
      <c r="BZ5" s="816"/>
      <c r="CA5" s="817"/>
      <c r="CB5" s="816"/>
      <c r="CC5" s="816"/>
      <c r="CD5" s="816"/>
      <c r="CE5" s="816"/>
      <c r="CF5" s="818"/>
      <c r="CG5" s="818"/>
      <c r="CH5" s="818"/>
      <c r="CI5" s="818"/>
      <c r="CJ5" s="818"/>
      <c r="CK5" s="818"/>
      <c r="CL5" s="818"/>
      <c r="CM5" s="818"/>
      <c r="CN5" s="818"/>
      <c r="CO5" s="818"/>
      <c r="CP5" s="818"/>
      <c r="CQ5" s="818"/>
      <c r="CR5" s="818"/>
      <c r="CS5" s="156"/>
      <c r="CT5" s="307">
        <v>41266</v>
      </c>
      <c r="CU5" s="250"/>
      <c r="CV5" s="157"/>
      <c r="CW5" s="581" t="s">
        <v>168</v>
      </c>
      <c r="CX5" s="405"/>
      <c r="CY5" s="340">
        <v>41137</v>
      </c>
      <c r="CZ5" s="250">
        <v>41631</v>
      </c>
      <c r="DA5" s="597">
        <f>(FK5-CZ5)/30</f>
        <v>2.1666666666666665</v>
      </c>
      <c r="DB5" s="122"/>
      <c r="DC5" s="122"/>
      <c r="DD5" s="122"/>
      <c r="DE5" s="523" t="str">
        <f t="shared" si="8"/>
        <v>0</v>
      </c>
      <c r="DF5" s="122"/>
      <c r="DG5" s="122"/>
      <c r="DH5" s="523" t="str">
        <f t="shared" si="9"/>
        <v>0</v>
      </c>
      <c r="DI5" s="122"/>
      <c r="DJ5" s="122"/>
      <c r="DK5" s="523" t="str">
        <f t="shared" si="10"/>
        <v>0</v>
      </c>
      <c r="DL5" s="122"/>
      <c r="DM5" s="122"/>
      <c r="DN5" s="523" t="str">
        <f t="shared" si="11"/>
        <v>0</v>
      </c>
      <c r="DO5" s="125"/>
      <c r="DP5" s="569"/>
      <c r="DQ5" s="523" t="str">
        <f t="shared" si="12"/>
        <v>0</v>
      </c>
      <c r="DR5" s="453"/>
      <c r="DS5" s="231"/>
      <c r="DT5" s="533"/>
      <c r="DU5" s="528"/>
      <c r="DV5" s="529" t="str">
        <f t="shared" si="13"/>
        <v>0</v>
      </c>
      <c r="DW5" s="533"/>
      <c r="DX5" s="348">
        <v>40940</v>
      </c>
      <c r="DY5" s="341">
        <v>2012</v>
      </c>
      <c r="DZ5" s="443">
        <f t="shared" si="14"/>
        <v>7.2666666666666666</v>
      </c>
      <c r="EA5" s="529" t="str">
        <f t="shared" si="15"/>
        <v>0</v>
      </c>
      <c r="EB5" s="125">
        <v>13</v>
      </c>
      <c r="EC5" s="125">
        <f t="shared" si="16"/>
        <v>24</v>
      </c>
      <c r="ED5" s="315"/>
      <c r="EE5" s="314"/>
      <c r="EF5" s="685" t="str">
        <f t="shared" si="17"/>
        <v>0</v>
      </c>
      <c r="EG5" s="698"/>
      <c r="EH5" s="613"/>
      <c r="EI5" s="614" t="str">
        <f t="shared" si="18"/>
        <v>0</v>
      </c>
      <c r="EJ5" s="254"/>
      <c r="EK5" s="315"/>
      <c r="EL5" s="685" t="str">
        <f t="shared" si="19"/>
        <v>0</v>
      </c>
      <c r="EM5" s="315"/>
      <c r="EN5" s="315"/>
      <c r="EO5" s="685" t="str">
        <f t="shared" si="20"/>
        <v>0</v>
      </c>
      <c r="EP5" s="315"/>
      <c r="EQ5" s="315"/>
      <c r="ER5" s="685" t="str">
        <f t="shared" si="21"/>
        <v>0</v>
      </c>
      <c r="ES5" s="315"/>
      <c r="ET5" s="315"/>
      <c r="EU5" s="685" t="str">
        <f t="shared" si="22"/>
        <v>0</v>
      </c>
      <c r="EV5" s="315"/>
      <c r="EW5" s="315"/>
      <c r="EX5" s="685" t="str">
        <f t="shared" si="23"/>
        <v>0</v>
      </c>
      <c r="EY5" s="315"/>
      <c r="EZ5" s="315"/>
      <c r="FA5" s="315"/>
      <c r="FB5" s="455">
        <f t="shared" si="24"/>
        <v>41334</v>
      </c>
      <c r="FC5" s="351">
        <v>41688</v>
      </c>
      <c r="FD5" s="708">
        <f t="shared" si="25"/>
        <v>11.8</v>
      </c>
      <c r="FE5" s="600"/>
      <c r="FF5" s="126">
        <v>41689</v>
      </c>
      <c r="FG5" s="126" t="s">
        <v>128</v>
      </c>
      <c r="FH5" s="126">
        <v>41696</v>
      </c>
      <c r="FI5" s="600"/>
      <c r="FJ5" s="455">
        <f t="shared" si="26"/>
        <v>41365</v>
      </c>
      <c r="FK5" s="351">
        <v>41696</v>
      </c>
      <c r="FL5" s="590">
        <v>2014</v>
      </c>
      <c r="FM5" s="702">
        <f t="shared" si="27"/>
        <v>11.033333333333333</v>
      </c>
      <c r="FN5" s="697">
        <v>7110</v>
      </c>
      <c r="FO5" s="231">
        <f t="shared" si="28"/>
        <v>78447</v>
      </c>
      <c r="FP5" s="126"/>
      <c r="FQ5" s="552"/>
      <c r="FR5" s="692">
        <f t="shared" si="29"/>
        <v>0</v>
      </c>
      <c r="FS5" s="556"/>
      <c r="FT5" s="556"/>
      <c r="FU5" s="556"/>
      <c r="FV5" s="556"/>
      <c r="FW5" s="553"/>
      <c r="FX5" s="566"/>
      <c r="FY5" s="553"/>
      <c r="FZ5" s="553"/>
      <c r="GA5" s="122"/>
      <c r="GB5" s="122"/>
      <c r="GC5" s="122"/>
      <c r="GD5" s="122"/>
      <c r="GE5" s="122">
        <v>41787</v>
      </c>
      <c r="GF5" s="114"/>
      <c r="GG5" s="122">
        <f t="shared" si="30"/>
        <v>42053</v>
      </c>
      <c r="GH5" s="677">
        <v>35103.575989752957</v>
      </c>
      <c r="GI5" s="122" t="s">
        <v>128</v>
      </c>
      <c r="GJ5" s="122"/>
      <c r="GK5" s="122">
        <v>41919</v>
      </c>
      <c r="GL5" s="122">
        <v>41921</v>
      </c>
      <c r="GM5" s="122"/>
      <c r="GN5" s="122" t="s">
        <v>128</v>
      </c>
      <c r="GO5" s="122"/>
      <c r="GP5" s="113">
        <v>42290</v>
      </c>
      <c r="GQ5" s="113"/>
      <c r="GR5" s="113"/>
      <c r="GS5" s="113"/>
      <c r="GT5" s="194" t="s">
        <v>128</v>
      </c>
      <c r="GU5" s="194" t="s">
        <v>128</v>
      </c>
      <c r="GV5" s="425"/>
      <c r="GW5" s="402"/>
      <c r="GX5" s="10">
        <v>2817333</v>
      </c>
      <c r="GY5" s="426">
        <f>HJ5+HO5+HV5+IO5+HW5+HZ5</f>
        <v>2817333</v>
      </c>
      <c r="GZ5" s="797">
        <f t="shared" si="31"/>
        <v>2817333</v>
      </c>
      <c r="HA5" s="12">
        <f t="shared" si="32"/>
        <v>0</v>
      </c>
      <c r="HB5" s="49">
        <f t="shared" si="33"/>
        <v>1966.3539856362152</v>
      </c>
      <c r="HC5" s="49">
        <f t="shared" si="34"/>
        <v>176083.3125</v>
      </c>
      <c r="HD5" s="10"/>
      <c r="HE5" s="11"/>
      <c r="HF5" s="12">
        <f t="shared" si="35"/>
        <v>0</v>
      </c>
      <c r="HG5" s="127">
        <f t="shared" si="36"/>
        <v>0</v>
      </c>
      <c r="HH5" s="128"/>
      <c r="HI5" s="10">
        <v>853424</v>
      </c>
      <c r="HJ5" s="15">
        <v>853424</v>
      </c>
      <c r="HK5" s="66"/>
      <c r="HL5" s="23">
        <f t="shared" si="37"/>
        <v>53339</v>
      </c>
      <c r="HM5" s="37">
        <f t="shared" si="38"/>
        <v>0</v>
      </c>
      <c r="HN5" s="10">
        <v>1530227</v>
      </c>
      <c r="HO5" s="11">
        <f t="shared" si="39"/>
        <v>1530227</v>
      </c>
      <c r="HP5" s="13">
        <v>304961</v>
      </c>
      <c r="HQ5" s="13">
        <v>1225266</v>
      </c>
      <c r="HR5" s="37">
        <f t="shared" si="40"/>
        <v>0</v>
      </c>
      <c r="HS5" s="629">
        <f t="shared" si="41"/>
        <v>95639.1875</v>
      </c>
      <c r="HT5" s="11">
        <v>0</v>
      </c>
      <c r="HU5" s="428">
        <f>380000+41063</f>
        <v>421063</v>
      </c>
      <c r="HV5" s="15">
        <v>380000</v>
      </c>
      <c r="HW5" s="66"/>
      <c r="HX5" s="40">
        <f t="shared" si="42"/>
        <v>0.13487933446277028</v>
      </c>
      <c r="HY5" s="303"/>
      <c r="HZ5" s="15">
        <v>53682</v>
      </c>
      <c r="IA5" s="24">
        <f t="shared" si="52"/>
        <v>-41063</v>
      </c>
      <c r="IB5" s="23">
        <f t="shared" si="43"/>
        <v>23750</v>
      </c>
      <c r="IC5" s="49">
        <f t="shared" si="44"/>
        <v>77089</v>
      </c>
      <c r="ID5" s="24">
        <f t="shared" si="45"/>
        <v>-2566.4375</v>
      </c>
      <c r="IE5" s="48"/>
      <c r="IF5" s="48"/>
      <c r="IG5" s="39">
        <v>0</v>
      </c>
      <c r="IH5" s="39">
        <v>0</v>
      </c>
      <c r="II5" s="23">
        <f t="shared" si="46"/>
        <v>77089</v>
      </c>
      <c r="IJ5" s="39">
        <v>0</v>
      </c>
      <c r="IK5" s="23">
        <f t="shared" si="47"/>
        <v>77089</v>
      </c>
      <c r="IL5" s="50">
        <f t="shared" si="48"/>
        <v>0.46171877778297693</v>
      </c>
      <c r="IM5" s="39">
        <v>145958</v>
      </c>
      <c r="IN5" s="39"/>
      <c r="IO5" s="11">
        <v>0</v>
      </c>
      <c r="IP5" s="41">
        <f t="shared" si="49"/>
        <v>2817333</v>
      </c>
      <c r="IQ5" s="231"/>
      <c r="IR5" s="231">
        <f t="shared" si="50"/>
        <v>0</v>
      </c>
      <c r="IS5" s="113"/>
      <c r="IT5" s="231"/>
      <c r="IU5" s="231"/>
      <c r="IV5" s="113"/>
      <c r="IW5" s="113"/>
      <c r="IX5" s="231"/>
      <c r="IY5" s="113"/>
      <c r="IZ5" s="231"/>
      <c r="JA5" s="113"/>
      <c r="JB5" s="231"/>
      <c r="JC5" s="114"/>
      <c r="JD5" s="321"/>
      <c r="JE5" s="313"/>
      <c r="JF5" s="313"/>
      <c r="JG5" s="122"/>
      <c r="JH5" s="231"/>
      <c r="JI5" s="122"/>
      <c r="JJ5" s="231"/>
      <c r="JK5" s="322"/>
      <c r="JL5" s="322"/>
      <c r="JM5" s="322"/>
      <c r="JN5" s="322"/>
      <c r="JO5" s="269"/>
      <c r="JP5" s="269"/>
      <c r="JQ5" s="269"/>
      <c r="JR5" s="269"/>
      <c r="JS5" s="269"/>
      <c r="JT5" s="269"/>
      <c r="JU5" s="231"/>
      <c r="JV5" s="122"/>
      <c r="JW5" s="114"/>
      <c r="JX5" s="122"/>
      <c r="JY5" s="122"/>
      <c r="JZ5" s="114"/>
    </row>
    <row r="6" spans="1:286" ht="15" customHeight="1">
      <c r="A6" s="7" t="s">
        <v>109</v>
      </c>
      <c r="B6" s="53"/>
      <c r="C6" s="7" t="s">
        <v>34</v>
      </c>
      <c r="D6" s="7" t="s">
        <v>113</v>
      </c>
      <c r="E6" s="7">
        <v>2011</v>
      </c>
      <c r="F6" s="7" t="s">
        <v>106</v>
      </c>
      <c r="G6" s="7"/>
      <c r="H6" s="765"/>
      <c r="I6" s="53" t="s">
        <v>250</v>
      </c>
      <c r="J6" s="53"/>
      <c r="K6" s="53"/>
      <c r="L6" s="395" t="s">
        <v>602</v>
      </c>
      <c r="M6" s="411"/>
      <c r="N6" s="411"/>
      <c r="O6" s="411"/>
      <c r="P6" s="207">
        <v>8131</v>
      </c>
      <c r="Q6" s="207">
        <v>227747.25</v>
      </c>
      <c r="R6" s="207">
        <v>178042</v>
      </c>
      <c r="S6" s="207" t="e">
        <f>Q6/(AE6+#REF!)</f>
        <v>#REF!</v>
      </c>
      <c r="T6" s="207">
        <f>Q6/P6</f>
        <v>28.009746648628706</v>
      </c>
      <c r="U6" s="207">
        <f>R6/P6</f>
        <v>21.896691673840856</v>
      </c>
      <c r="V6" s="207" t="e">
        <f>R6/(AN6+#REF!)</f>
        <v>#REF!</v>
      </c>
      <c r="W6" s="207" t="e">
        <f>R6/(AE6+#REF!)</f>
        <v>#REF!</v>
      </c>
      <c r="X6" s="207" t="e">
        <f>P6/(AE6+#REF!)</f>
        <v>#REF!</v>
      </c>
      <c r="Y6" s="208">
        <v>1079</v>
      </c>
      <c r="Z6" s="904">
        <f t="shared" si="51"/>
        <v>4.9194441028163816</v>
      </c>
      <c r="AA6" s="208" t="s">
        <v>206</v>
      </c>
      <c r="AB6" s="210"/>
      <c r="AC6" s="210"/>
      <c r="AD6" s="7" t="s">
        <v>15</v>
      </c>
      <c r="AE6" s="771">
        <f t="shared" si="0"/>
        <v>4</v>
      </c>
      <c r="AF6" s="771">
        <f t="shared" si="1"/>
        <v>4</v>
      </c>
      <c r="AG6" s="7">
        <v>4</v>
      </c>
      <c r="AH6" s="414"/>
      <c r="AI6" s="399"/>
      <c r="AJ6" s="399"/>
      <c r="AK6" s="58"/>
      <c r="AL6" s="9">
        <v>317.76</v>
      </c>
      <c r="AM6" s="57"/>
      <c r="AN6" s="82">
        <v>317.76</v>
      </c>
      <c r="AO6" s="9">
        <f t="shared" si="2"/>
        <v>79.44</v>
      </c>
      <c r="AP6" s="57"/>
      <c r="AQ6" s="57"/>
      <c r="AR6" s="57"/>
      <c r="AS6" s="57"/>
      <c r="AT6" s="57"/>
      <c r="AU6" s="9">
        <f>830+889+461</f>
        <v>2180</v>
      </c>
      <c r="AV6" s="76">
        <v>850</v>
      </c>
      <c r="AW6" s="78">
        <f t="shared" ref="AW6:AW20" si="53">AV6/P6</f>
        <v>0.10453818718484811</v>
      </c>
      <c r="AX6" s="57">
        <v>2.5</v>
      </c>
      <c r="AY6" s="56" t="s">
        <v>549</v>
      </c>
      <c r="AZ6" s="415" t="s">
        <v>120</v>
      </c>
      <c r="BA6" s="56"/>
      <c r="BB6" s="56"/>
      <c r="BC6" s="56"/>
      <c r="BD6" s="53"/>
      <c r="BE6" s="184">
        <v>40816</v>
      </c>
      <c r="BF6" s="418" t="s">
        <v>12</v>
      </c>
      <c r="BG6" s="418" t="s">
        <v>225</v>
      </c>
      <c r="BH6" s="419"/>
      <c r="BI6" s="204">
        <v>40730</v>
      </c>
      <c r="BJ6" s="99">
        <v>42291</v>
      </c>
      <c r="BK6" s="99"/>
      <c r="BL6" s="204"/>
      <c r="BM6" s="99"/>
      <c r="BN6" s="36"/>
      <c r="BO6" s="423"/>
      <c r="BP6" s="111"/>
      <c r="BQ6" s="111"/>
      <c r="BR6" s="188"/>
      <c r="BS6" s="188">
        <f t="shared" si="3"/>
        <v>731</v>
      </c>
      <c r="BT6" s="188">
        <f t="shared" si="4"/>
        <v>1096</v>
      </c>
      <c r="BU6" s="188"/>
      <c r="BV6" s="188"/>
      <c r="BW6" s="672" t="e">
        <f t="shared" si="5"/>
        <v>#NUM!</v>
      </c>
      <c r="BX6" s="672" t="e">
        <f t="shared" si="6"/>
        <v>#NUM!</v>
      </c>
      <c r="BY6" s="672" t="e">
        <f t="shared" si="7"/>
        <v>#NUM!</v>
      </c>
      <c r="BZ6" s="816"/>
      <c r="CA6" s="817"/>
      <c r="CB6" s="816"/>
      <c r="CC6" s="816"/>
      <c r="CD6" s="816"/>
      <c r="CE6" s="816"/>
      <c r="CF6" s="818"/>
      <c r="CG6" s="818"/>
      <c r="CH6" s="818"/>
      <c r="CI6" s="818"/>
      <c r="CJ6" s="818"/>
      <c r="CK6" s="818"/>
      <c r="CL6" s="818"/>
      <c r="CM6" s="818"/>
      <c r="CN6" s="818"/>
      <c r="CO6" s="818"/>
      <c r="CP6" s="818"/>
      <c r="CQ6" s="818"/>
      <c r="CR6" s="818"/>
      <c r="CS6" s="156" t="s">
        <v>68</v>
      </c>
      <c r="CT6" s="307">
        <v>41266</v>
      </c>
      <c r="CU6" s="250"/>
      <c r="CV6" s="157"/>
      <c r="CW6" s="581" t="s">
        <v>168</v>
      </c>
      <c r="CX6" s="405"/>
      <c r="CY6" s="340">
        <v>41137</v>
      </c>
      <c r="CZ6" s="405"/>
      <c r="DA6" s="405"/>
      <c r="DB6" s="122"/>
      <c r="DC6" s="122"/>
      <c r="DD6" s="122"/>
      <c r="DE6" s="523" t="str">
        <f t="shared" si="8"/>
        <v>0</v>
      </c>
      <c r="DF6" s="122"/>
      <c r="DG6" s="122"/>
      <c r="DH6" s="523" t="str">
        <f t="shared" si="9"/>
        <v>0</v>
      </c>
      <c r="DI6" s="122"/>
      <c r="DJ6" s="122"/>
      <c r="DK6" s="523" t="str">
        <f t="shared" si="10"/>
        <v>0</v>
      </c>
      <c r="DL6" s="122"/>
      <c r="DM6" s="122"/>
      <c r="DN6" s="523" t="str">
        <f t="shared" si="11"/>
        <v>0</v>
      </c>
      <c r="DO6" s="125"/>
      <c r="DP6" s="569"/>
      <c r="DQ6" s="523" t="str">
        <f t="shared" si="12"/>
        <v>0</v>
      </c>
      <c r="DR6" s="453"/>
      <c r="DS6" s="231"/>
      <c r="DT6" s="533"/>
      <c r="DU6" s="528"/>
      <c r="DV6" s="529" t="str">
        <f t="shared" si="13"/>
        <v>0</v>
      </c>
      <c r="DW6" s="533"/>
      <c r="DX6" s="348">
        <v>40940</v>
      </c>
      <c r="DY6" s="341">
        <v>2012</v>
      </c>
      <c r="DZ6" s="443">
        <f t="shared" si="14"/>
        <v>7</v>
      </c>
      <c r="EA6" s="529" t="str">
        <f t="shared" si="15"/>
        <v>0</v>
      </c>
      <c r="EB6" s="125">
        <v>13</v>
      </c>
      <c r="EC6" s="125">
        <f t="shared" si="16"/>
        <v>24</v>
      </c>
      <c r="ED6" s="315"/>
      <c r="EE6" s="314"/>
      <c r="EF6" s="685" t="str">
        <f t="shared" si="17"/>
        <v>0</v>
      </c>
      <c r="EG6" s="698"/>
      <c r="EH6" s="613"/>
      <c r="EI6" s="614" t="str">
        <f t="shared" si="18"/>
        <v>0</v>
      </c>
      <c r="EJ6" s="254"/>
      <c r="EK6" s="315"/>
      <c r="EL6" s="685" t="str">
        <f t="shared" si="19"/>
        <v>0</v>
      </c>
      <c r="EM6" s="315"/>
      <c r="EN6" s="315"/>
      <c r="EO6" s="685" t="str">
        <f t="shared" si="20"/>
        <v>0</v>
      </c>
      <c r="EP6" s="315"/>
      <c r="EQ6" s="315"/>
      <c r="ER6" s="685" t="str">
        <f t="shared" si="21"/>
        <v>0</v>
      </c>
      <c r="ES6" s="315"/>
      <c r="ET6" s="315"/>
      <c r="EU6" s="685" t="str">
        <f t="shared" si="22"/>
        <v>0</v>
      </c>
      <c r="EV6" s="315"/>
      <c r="EW6" s="315"/>
      <c r="EX6" s="685" t="str">
        <f t="shared" si="23"/>
        <v>0</v>
      </c>
      <c r="EY6" s="315"/>
      <c r="EZ6" s="315"/>
      <c r="FA6" s="315"/>
      <c r="FB6" s="455">
        <f t="shared" si="24"/>
        <v>41334</v>
      </c>
      <c r="FC6" s="351">
        <v>41688</v>
      </c>
      <c r="FD6" s="708">
        <f t="shared" si="25"/>
        <v>11.8</v>
      </c>
      <c r="FE6" s="600"/>
      <c r="FF6" s="126">
        <v>41689</v>
      </c>
      <c r="FG6" s="126" t="s">
        <v>128</v>
      </c>
      <c r="FH6" s="126">
        <v>41696</v>
      </c>
      <c r="FI6" s="600"/>
      <c r="FJ6" s="455">
        <f t="shared" si="26"/>
        <v>41365</v>
      </c>
      <c r="FK6" s="351">
        <v>41696</v>
      </c>
      <c r="FL6" s="590">
        <v>2014</v>
      </c>
      <c r="FM6" s="702">
        <f t="shared" si="27"/>
        <v>11.033333333333333</v>
      </c>
      <c r="FN6" s="697">
        <v>2035</v>
      </c>
      <c r="FO6" s="231">
        <f t="shared" si="28"/>
        <v>22452.833333333332</v>
      </c>
      <c r="FP6" s="126"/>
      <c r="FQ6" s="552"/>
      <c r="FR6" s="692">
        <f t="shared" si="29"/>
        <v>0</v>
      </c>
      <c r="FS6" s="556"/>
      <c r="FT6" s="556"/>
      <c r="FU6" s="556"/>
      <c r="FV6" s="556"/>
      <c r="FW6" s="558"/>
      <c r="FX6" s="576"/>
      <c r="FY6" s="558"/>
      <c r="FZ6" s="558"/>
      <c r="GA6" s="122"/>
      <c r="GB6" s="122"/>
      <c r="GC6" s="122"/>
      <c r="GD6" s="122"/>
      <c r="GE6" s="122">
        <v>41787</v>
      </c>
      <c r="GF6" s="114"/>
      <c r="GG6" s="122">
        <f t="shared" si="30"/>
        <v>42053</v>
      </c>
      <c r="GH6" s="677">
        <v>7942.4140102470437</v>
      </c>
      <c r="GI6" s="122" t="s">
        <v>128</v>
      </c>
      <c r="GJ6" s="122"/>
      <c r="GK6" s="122">
        <v>41919</v>
      </c>
      <c r="GL6" s="122">
        <v>41921</v>
      </c>
      <c r="GM6" s="122"/>
      <c r="GN6" s="122" t="s">
        <v>128</v>
      </c>
      <c r="GO6" s="122"/>
      <c r="GP6" s="113">
        <v>42290</v>
      </c>
      <c r="GQ6" s="113"/>
      <c r="GR6" s="113"/>
      <c r="GS6" s="113"/>
      <c r="GT6" s="122"/>
      <c r="GU6" s="122"/>
      <c r="GV6" s="425"/>
      <c r="GW6" s="402"/>
      <c r="GX6" s="10">
        <v>642137</v>
      </c>
      <c r="GY6" s="426">
        <f>HJ6+HO6+HV6+IO6+HT6+HZ6</f>
        <v>642137</v>
      </c>
      <c r="GZ6" s="797">
        <f t="shared" si="31"/>
        <v>642137</v>
      </c>
      <c r="HA6" s="12">
        <f t="shared" si="32"/>
        <v>0</v>
      </c>
      <c r="HB6" s="49">
        <f t="shared" si="33"/>
        <v>2020.8238922457201</v>
      </c>
      <c r="HC6" s="49">
        <f t="shared" si="34"/>
        <v>160534.25</v>
      </c>
      <c r="HD6" s="10"/>
      <c r="HE6" s="11"/>
      <c r="HF6" s="12">
        <f t="shared" si="35"/>
        <v>0</v>
      </c>
      <c r="HG6" s="127">
        <f t="shared" si="36"/>
        <v>0</v>
      </c>
      <c r="HH6" s="128"/>
      <c r="HI6" s="10">
        <v>75000</v>
      </c>
      <c r="HJ6" s="15">
        <v>75000</v>
      </c>
      <c r="HK6" s="66"/>
      <c r="HL6" s="23">
        <f t="shared" si="37"/>
        <v>18750</v>
      </c>
      <c r="HM6" s="37">
        <f t="shared" si="38"/>
        <v>0</v>
      </c>
      <c r="HN6" s="10">
        <v>335412</v>
      </c>
      <c r="HO6" s="11">
        <f t="shared" si="39"/>
        <v>335412</v>
      </c>
      <c r="HP6" s="13">
        <v>85556</v>
      </c>
      <c r="HQ6" s="13">
        <v>249856</v>
      </c>
      <c r="HR6" s="37">
        <f t="shared" si="40"/>
        <v>0</v>
      </c>
      <c r="HS6" s="629">
        <f t="shared" si="41"/>
        <v>83853</v>
      </c>
      <c r="HT6" s="11">
        <v>100000</v>
      </c>
      <c r="HU6" s="428">
        <f>HV6</f>
        <v>119398</v>
      </c>
      <c r="HV6" s="15">
        <v>119398</v>
      </c>
      <c r="HW6" s="66"/>
      <c r="HX6" s="40">
        <f t="shared" si="42"/>
        <v>0.18593851467833189</v>
      </c>
      <c r="HY6" s="303"/>
      <c r="HZ6" s="15">
        <v>12327</v>
      </c>
      <c r="IA6" s="24">
        <f t="shared" si="52"/>
        <v>0</v>
      </c>
      <c r="IB6" s="23">
        <f t="shared" si="43"/>
        <v>29849.5</v>
      </c>
      <c r="IC6" s="49">
        <f t="shared" si="44"/>
        <v>48599.5</v>
      </c>
      <c r="ID6" s="24">
        <f t="shared" si="45"/>
        <v>0</v>
      </c>
      <c r="IE6" s="48"/>
      <c r="IF6" s="48"/>
      <c r="IG6" s="39">
        <v>1087937.9071325003</v>
      </c>
      <c r="IH6" s="39">
        <v>400000</v>
      </c>
      <c r="II6" s="23">
        <f t="shared" si="46"/>
        <v>148599.5</v>
      </c>
      <c r="IJ6" s="39">
        <v>474274.71</v>
      </c>
      <c r="IK6" s="23">
        <f t="shared" si="47"/>
        <v>267168.17749999999</v>
      </c>
      <c r="IL6" s="50">
        <f t="shared" si="48"/>
        <v>0.62937481320481981</v>
      </c>
      <c r="IM6" s="39">
        <v>32084</v>
      </c>
      <c r="IN6" s="39"/>
      <c r="IO6" s="11">
        <v>0</v>
      </c>
      <c r="IP6" s="41">
        <f t="shared" si="49"/>
        <v>1730074.9071325003</v>
      </c>
      <c r="IQ6" s="231"/>
      <c r="IR6" s="231">
        <f t="shared" si="50"/>
        <v>0</v>
      </c>
      <c r="IS6" s="113"/>
      <c r="IT6" s="231"/>
      <c r="IU6" s="231"/>
      <c r="IV6" s="113"/>
      <c r="IW6" s="113"/>
      <c r="IX6" s="231"/>
      <c r="IY6" s="113"/>
      <c r="IZ6" s="231"/>
      <c r="JA6" s="113"/>
      <c r="JB6" s="231"/>
      <c r="JC6" s="114"/>
      <c r="JD6" s="321"/>
      <c r="JE6" s="313"/>
      <c r="JF6" s="313"/>
      <c r="JG6" s="122"/>
      <c r="JH6" s="231"/>
      <c r="JI6" s="122"/>
      <c r="JJ6" s="231"/>
      <c r="JK6" s="322"/>
      <c r="JL6" s="322"/>
      <c r="JM6" s="322"/>
      <c r="JN6" s="322"/>
      <c r="JO6" s="269"/>
      <c r="JP6" s="269"/>
      <c r="JQ6" s="236"/>
      <c r="JR6" s="231"/>
      <c r="JS6" s="236"/>
      <c r="JT6" s="231"/>
      <c r="JU6" s="231"/>
      <c r="JV6" s="122"/>
      <c r="JW6" s="114"/>
      <c r="JX6" s="122"/>
      <c r="JY6" s="122"/>
      <c r="JZ6" s="114"/>
    </row>
    <row r="7" spans="1:286" ht="35.1" customHeight="1">
      <c r="A7" s="7" t="s">
        <v>900</v>
      </c>
      <c r="B7" s="53"/>
      <c r="C7" s="7" t="s">
        <v>35</v>
      </c>
      <c r="D7" s="7" t="s">
        <v>112</v>
      </c>
      <c r="E7" s="7">
        <v>2011</v>
      </c>
      <c r="F7" s="7" t="s">
        <v>103</v>
      </c>
      <c r="G7" s="7" t="s">
        <v>37</v>
      </c>
      <c r="H7" s="7" t="s">
        <v>179</v>
      </c>
      <c r="I7" s="53" t="s">
        <v>250</v>
      </c>
      <c r="J7" s="53"/>
      <c r="K7" s="53"/>
      <c r="L7" s="255"/>
      <c r="M7" s="411"/>
      <c r="N7" s="411"/>
      <c r="O7" s="411"/>
      <c r="P7" s="207">
        <v>3280</v>
      </c>
      <c r="Q7" s="207">
        <f>R7</f>
        <v>700000</v>
      </c>
      <c r="R7" s="207">
        <v>700000</v>
      </c>
      <c r="S7" s="207">
        <f>Q7/AE7</f>
        <v>35000</v>
      </c>
      <c r="T7" s="207">
        <f>Q7/P7</f>
        <v>213.41463414634146</v>
      </c>
      <c r="U7" s="207">
        <f>R7/P7</f>
        <v>213.41463414634146</v>
      </c>
      <c r="V7" s="207">
        <f>R7/AN7</f>
        <v>409.99209300963486</v>
      </c>
      <c r="W7" s="207">
        <f>R7/AE7</f>
        <v>35000</v>
      </c>
      <c r="X7" s="207">
        <f>P7/AE7</f>
        <v>164</v>
      </c>
      <c r="Y7" s="208"/>
      <c r="Z7" s="904">
        <f t="shared" si="51"/>
        <v>60.975609756097562</v>
      </c>
      <c r="AA7" s="208" t="s">
        <v>206</v>
      </c>
      <c r="AB7" s="210"/>
      <c r="AC7" s="210"/>
      <c r="AD7" s="7" t="s">
        <v>15</v>
      </c>
      <c r="AE7" s="771">
        <f t="shared" si="0"/>
        <v>20</v>
      </c>
      <c r="AF7" s="771">
        <f t="shared" si="1"/>
        <v>20</v>
      </c>
      <c r="AG7" s="7">
        <v>20</v>
      </c>
      <c r="AH7" s="414"/>
      <c r="AI7" s="399"/>
      <c r="AJ7" s="399"/>
      <c r="AK7" s="57">
        <v>1707.35</v>
      </c>
      <c r="AL7" s="9">
        <v>1707.35</v>
      </c>
      <c r="AM7" s="57">
        <v>1707.35</v>
      </c>
      <c r="AN7" s="82">
        <v>1707.35</v>
      </c>
      <c r="AO7" s="9">
        <f t="shared" si="2"/>
        <v>85.367499999999993</v>
      </c>
      <c r="AP7" s="78">
        <v>0</v>
      </c>
      <c r="AQ7" s="78">
        <v>0</v>
      </c>
      <c r="AR7" s="78">
        <f>2/AE7</f>
        <v>0.1</v>
      </c>
      <c r="AS7" s="78">
        <f>18/AE7</f>
        <v>0.9</v>
      </c>
      <c r="AT7" s="78">
        <v>0</v>
      </c>
      <c r="AU7" s="9">
        <v>461.7</v>
      </c>
      <c r="AV7" s="76"/>
      <c r="AW7" s="78">
        <f t="shared" si="53"/>
        <v>0</v>
      </c>
      <c r="AX7" s="57">
        <v>2</v>
      </c>
      <c r="AY7" s="56" t="s">
        <v>549</v>
      </c>
      <c r="AZ7" s="415" t="s">
        <v>121</v>
      </c>
      <c r="BA7" s="801">
        <v>3506440.94</v>
      </c>
      <c r="BB7" s="610">
        <f>BA7/AN7</f>
        <v>2053.7329428646735</v>
      </c>
      <c r="BC7" s="56"/>
      <c r="BD7" s="53"/>
      <c r="BE7" s="184">
        <v>40816</v>
      </c>
      <c r="BF7" s="418" t="s">
        <v>12</v>
      </c>
      <c r="BG7" s="418" t="s">
        <v>235</v>
      </c>
      <c r="BH7" s="419"/>
      <c r="BI7" s="204">
        <v>40722</v>
      </c>
      <c r="BJ7" s="99"/>
      <c r="BK7" s="99"/>
      <c r="BL7" s="204"/>
      <c r="BM7" s="99"/>
      <c r="BN7" s="36"/>
      <c r="BO7" s="423"/>
      <c r="BP7" s="111"/>
      <c r="BQ7" s="111"/>
      <c r="BR7" s="188"/>
      <c r="BS7" s="188">
        <f t="shared" si="3"/>
        <v>731</v>
      </c>
      <c r="BT7" s="188">
        <f t="shared" si="4"/>
        <v>1096</v>
      </c>
      <c r="BU7" s="188"/>
      <c r="BV7" s="188"/>
      <c r="BW7" s="672" t="e">
        <f t="shared" si="5"/>
        <v>#NUM!</v>
      </c>
      <c r="BX7" s="672" t="e">
        <f t="shared" si="6"/>
        <v>#NUM!</v>
      </c>
      <c r="BY7" s="672" t="e">
        <f t="shared" si="7"/>
        <v>#NUM!</v>
      </c>
      <c r="BZ7" s="816"/>
      <c r="CA7" s="817"/>
      <c r="CB7" s="816"/>
      <c r="CC7" s="816"/>
      <c r="CD7" s="816"/>
      <c r="CE7" s="816"/>
      <c r="CF7" s="818"/>
      <c r="CG7" s="818"/>
      <c r="CH7" s="818"/>
      <c r="CI7" s="818"/>
      <c r="CJ7" s="818"/>
      <c r="CK7" s="818"/>
      <c r="CL7" s="818"/>
      <c r="CM7" s="818"/>
      <c r="CN7" s="818"/>
      <c r="CO7" s="818"/>
      <c r="CP7" s="818"/>
      <c r="CQ7" s="818"/>
      <c r="CR7" s="818"/>
      <c r="CS7" s="156" t="s">
        <v>182</v>
      </c>
      <c r="CT7" s="307">
        <v>41265</v>
      </c>
      <c r="CU7" s="250"/>
      <c r="CV7" s="580">
        <v>3434319.2948090113</v>
      </c>
      <c r="CW7" s="581" t="s">
        <v>168</v>
      </c>
      <c r="CX7" s="405"/>
      <c r="CY7" s="340">
        <v>41044</v>
      </c>
      <c r="CZ7" s="250">
        <v>41477</v>
      </c>
      <c r="DA7" s="597">
        <f>(FK7-CZ7)/30</f>
        <v>1.7333333333333334</v>
      </c>
      <c r="DB7" s="122"/>
      <c r="DC7" s="122"/>
      <c r="DD7" s="122"/>
      <c r="DE7" s="523" t="str">
        <f t="shared" si="8"/>
        <v>0</v>
      </c>
      <c r="DF7" s="122"/>
      <c r="DG7" s="122"/>
      <c r="DH7" s="523" t="str">
        <f t="shared" si="9"/>
        <v>0</v>
      </c>
      <c r="DI7" s="122"/>
      <c r="DJ7" s="122"/>
      <c r="DK7" s="523" t="str">
        <f t="shared" si="10"/>
        <v>0</v>
      </c>
      <c r="DL7" s="122"/>
      <c r="DM7" s="122"/>
      <c r="DN7" s="523" t="str">
        <f t="shared" si="11"/>
        <v>0</v>
      </c>
      <c r="DO7" s="125"/>
      <c r="DP7" s="569"/>
      <c r="DQ7" s="523" t="str">
        <f t="shared" si="12"/>
        <v>0</v>
      </c>
      <c r="DR7" s="453"/>
      <c r="DS7" s="231"/>
      <c r="DT7" s="533"/>
      <c r="DU7" s="528"/>
      <c r="DV7" s="529" t="str">
        <f t="shared" si="13"/>
        <v>0</v>
      </c>
      <c r="DW7" s="533"/>
      <c r="DX7" s="348">
        <v>40899</v>
      </c>
      <c r="DY7" s="341">
        <v>2011</v>
      </c>
      <c r="DZ7" s="443">
        <f t="shared" si="14"/>
        <v>5.9</v>
      </c>
      <c r="EA7" s="529" t="str">
        <f t="shared" si="15"/>
        <v>0</v>
      </c>
      <c r="EB7" s="125">
        <v>15</v>
      </c>
      <c r="EC7" s="125">
        <f t="shared" si="16"/>
        <v>19</v>
      </c>
      <c r="ED7" s="315"/>
      <c r="EE7" s="314"/>
      <c r="EF7" s="685" t="str">
        <f t="shared" si="17"/>
        <v>0</v>
      </c>
      <c r="EG7" s="698"/>
      <c r="EH7" s="613"/>
      <c r="EI7" s="614" t="str">
        <f t="shared" si="18"/>
        <v>0</v>
      </c>
      <c r="EJ7" s="254"/>
      <c r="EK7" s="315"/>
      <c r="EL7" s="685" t="str">
        <f t="shared" si="19"/>
        <v>0</v>
      </c>
      <c r="EM7" s="315"/>
      <c r="EN7" s="315"/>
      <c r="EO7" s="685" t="str">
        <f t="shared" si="20"/>
        <v>0</v>
      </c>
      <c r="EP7" s="315"/>
      <c r="EQ7" s="315"/>
      <c r="ER7" s="685" t="str">
        <f t="shared" si="21"/>
        <v>0</v>
      </c>
      <c r="ES7" s="315"/>
      <c r="ET7" s="315"/>
      <c r="EU7" s="685" t="str">
        <f t="shared" si="22"/>
        <v>0</v>
      </c>
      <c r="EV7" s="315"/>
      <c r="EW7" s="315"/>
      <c r="EX7" s="685" t="str">
        <f t="shared" si="23"/>
        <v>0</v>
      </c>
      <c r="EY7" s="315"/>
      <c r="EZ7" s="315"/>
      <c r="FA7" s="315"/>
      <c r="FB7" s="601">
        <f t="shared" si="24"/>
        <v>41355</v>
      </c>
      <c r="FC7" s="351">
        <v>41500</v>
      </c>
      <c r="FD7" s="708">
        <f t="shared" si="25"/>
        <v>4.833333333333333</v>
      </c>
      <c r="FE7" s="600"/>
      <c r="FF7" s="113">
        <v>41429</v>
      </c>
      <c r="FG7" s="122" t="s">
        <v>128</v>
      </c>
      <c r="FH7" s="186">
        <v>41508</v>
      </c>
      <c r="FI7" s="600"/>
      <c r="FJ7" s="455">
        <f t="shared" si="26"/>
        <v>41386</v>
      </c>
      <c r="FK7" s="351">
        <v>41529</v>
      </c>
      <c r="FL7" s="456">
        <v>2013</v>
      </c>
      <c r="FM7" s="702">
        <f t="shared" si="27"/>
        <v>4.7666666666666666</v>
      </c>
      <c r="FN7" s="697">
        <v>10566</v>
      </c>
      <c r="FO7" s="231">
        <f t="shared" si="28"/>
        <v>50364.6</v>
      </c>
      <c r="FP7" s="126"/>
      <c r="FQ7" s="552"/>
      <c r="FR7" s="692">
        <f t="shared" si="29"/>
        <v>0</v>
      </c>
      <c r="FS7" s="556"/>
      <c r="FT7" s="556"/>
      <c r="FU7" s="556"/>
      <c r="FV7" s="556"/>
      <c r="FW7" s="553"/>
      <c r="FX7" s="566"/>
      <c r="FY7" s="553"/>
      <c r="FZ7" s="553"/>
      <c r="GA7" s="122"/>
      <c r="GB7" s="122"/>
      <c r="GC7" s="122"/>
      <c r="GD7" s="122"/>
      <c r="GE7" s="122"/>
      <c r="GF7" s="114"/>
      <c r="GG7" s="122">
        <f t="shared" si="30"/>
        <v>41865</v>
      </c>
      <c r="GH7" s="677">
        <v>0</v>
      </c>
      <c r="GI7" s="122" t="s">
        <v>295</v>
      </c>
      <c r="GJ7" s="122" t="s">
        <v>128</v>
      </c>
      <c r="GK7" s="122" t="s">
        <v>128</v>
      </c>
      <c r="GL7" s="122">
        <v>41932</v>
      </c>
      <c r="GM7" s="122"/>
      <c r="GN7" s="122" t="s">
        <v>128</v>
      </c>
      <c r="GO7" s="122"/>
      <c r="GP7" s="113">
        <v>42178</v>
      </c>
      <c r="GQ7" s="113"/>
      <c r="GR7" s="113"/>
      <c r="GS7" s="113"/>
      <c r="GT7" s="194" t="s">
        <v>128</v>
      </c>
      <c r="GU7" s="194" t="s">
        <v>128</v>
      </c>
      <c r="GV7" s="425"/>
      <c r="GW7" s="402"/>
      <c r="GX7" s="10">
        <v>3732556</v>
      </c>
      <c r="GY7" s="426">
        <f>HJ7+HO7+HV7+IO7+HT7+HZ7</f>
        <v>3732556</v>
      </c>
      <c r="GZ7" s="797">
        <f t="shared" si="31"/>
        <v>3732556</v>
      </c>
      <c r="HA7" s="12">
        <f t="shared" si="32"/>
        <v>0</v>
      </c>
      <c r="HB7" s="49">
        <f t="shared" si="33"/>
        <v>2186.1692095938151</v>
      </c>
      <c r="HC7" s="49">
        <f t="shared" si="34"/>
        <v>186627.8</v>
      </c>
      <c r="HD7" s="449">
        <v>3491780</v>
      </c>
      <c r="HE7" s="11"/>
      <c r="HF7" s="12">
        <f t="shared" si="35"/>
        <v>-3491780</v>
      </c>
      <c r="HG7" s="127">
        <f t="shared" si="36"/>
        <v>0.95513835023506677</v>
      </c>
      <c r="HH7" s="128"/>
      <c r="HI7" s="10">
        <v>1090090</v>
      </c>
      <c r="HJ7" s="15">
        <v>1090090</v>
      </c>
      <c r="HK7" s="66"/>
      <c r="HL7" s="23">
        <f t="shared" si="37"/>
        <v>54504.5</v>
      </c>
      <c r="HM7" s="37">
        <f t="shared" si="38"/>
        <v>0</v>
      </c>
      <c r="HN7" s="10">
        <v>2287466</v>
      </c>
      <c r="HO7" s="11">
        <f t="shared" si="39"/>
        <v>2287466</v>
      </c>
      <c r="HP7" s="13">
        <v>616923</v>
      </c>
      <c r="HQ7" s="13">
        <v>1670543</v>
      </c>
      <c r="HR7" s="37">
        <f t="shared" si="40"/>
        <v>0</v>
      </c>
      <c r="HS7" s="629">
        <f t="shared" si="41"/>
        <v>114373.3</v>
      </c>
      <c r="HT7" s="11">
        <v>0</v>
      </c>
      <c r="HU7" s="428">
        <v>355000</v>
      </c>
      <c r="HV7" s="15">
        <v>355000</v>
      </c>
      <c r="HW7" s="66"/>
      <c r="HX7" s="40">
        <f t="shared" si="42"/>
        <v>9.5109088785272078E-2</v>
      </c>
      <c r="HY7" s="303"/>
      <c r="HZ7" s="15">
        <v>0</v>
      </c>
      <c r="IA7" s="24">
        <f t="shared" si="52"/>
        <v>0</v>
      </c>
      <c r="IB7" s="23">
        <f t="shared" si="43"/>
        <v>17750</v>
      </c>
      <c r="IC7" s="49">
        <f t="shared" si="44"/>
        <v>72254.5</v>
      </c>
      <c r="ID7" s="24">
        <f t="shared" si="45"/>
        <v>0</v>
      </c>
      <c r="IE7" s="48"/>
      <c r="IF7" s="48"/>
      <c r="IG7" s="39">
        <v>0</v>
      </c>
      <c r="IH7" s="39">
        <v>0</v>
      </c>
      <c r="II7" s="23">
        <f t="shared" si="46"/>
        <v>72254.5</v>
      </c>
      <c r="IJ7" s="39">
        <v>0</v>
      </c>
      <c r="IK7" s="23">
        <f t="shared" si="47"/>
        <v>72254.5</v>
      </c>
      <c r="IL7" s="50">
        <f t="shared" si="48"/>
        <v>0.38715829045833472</v>
      </c>
      <c r="IM7" s="39"/>
      <c r="IN7" s="39"/>
      <c r="IO7" s="11">
        <v>0</v>
      </c>
      <c r="IP7" s="41">
        <f t="shared" si="49"/>
        <v>3732556</v>
      </c>
      <c r="IQ7" s="231"/>
      <c r="IR7" s="231">
        <f t="shared" si="50"/>
        <v>0</v>
      </c>
      <c r="IS7" s="113"/>
      <c r="IT7" s="231"/>
      <c r="IU7" s="231"/>
      <c r="IV7" s="113"/>
      <c r="IW7" s="113"/>
      <c r="IX7" s="231"/>
      <c r="IY7" s="113"/>
      <c r="IZ7" s="231"/>
      <c r="JA7" s="113"/>
      <c r="JB7" s="231"/>
      <c r="JC7" s="114"/>
      <c r="JD7" s="321"/>
      <c r="JE7" s="313"/>
      <c r="JF7" s="313"/>
      <c r="JG7" s="122"/>
      <c r="JH7" s="231"/>
      <c r="JI7" s="122"/>
      <c r="JJ7" s="231"/>
      <c r="JK7" s="322"/>
      <c r="JL7" s="322"/>
      <c r="JM7" s="322"/>
      <c r="JN7" s="322"/>
      <c r="JO7" s="269"/>
      <c r="JP7" s="269"/>
      <c r="JQ7" s="269"/>
      <c r="JR7" s="269"/>
      <c r="JS7" s="269"/>
      <c r="JT7" s="269"/>
      <c r="JU7" s="231"/>
      <c r="JV7" s="122"/>
      <c r="JW7" s="114"/>
      <c r="JX7" s="122"/>
      <c r="JY7" s="122"/>
      <c r="JZ7" s="114"/>
    </row>
    <row r="8" spans="1:286" s="26" customFormat="1" ht="15" customHeight="1">
      <c r="A8" s="7" t="s">
        <v>898</v>
      </c>
      <c r="B8" s="53"/>
      <c r="C8" s="7" t="s">
        <v>35</v>
      </c>
      <c r="D8" s="7" t="s">
        <v>112</v>
      </c>
      <c r="E8" s="7">
        <v>2011</v>
      </c>
      <c r="F8" s="7" t="s">
        <v>107</v>
      </c>
      <c r="G8" s="7"/>
      <c r="H8" s="765"/>
      <c r="I8" s="53" t="s">
        <v>250</v>
      </c>
      <c r="J8" s="53"/>
      <c r="K8" s="53"/>
      <c r="L8" s="255"/>
      <c r="M8" s="411"/>
      <c r="N8" s="411"/>
      <c r="O8" s="411"/>
      <c r="P8" s="207">
        <v>5169</v>
      </c>
      <c r="Q8" s="207">
        <v>830607</v>
      </c>
      <c r="R8" s="207">
        <v>830607</v>
      </c>
      <c r="S8" s="207">
        <f>Q8/(AE8+AE35)</f>
        <v>10254.407407407407</v>
      </c>
      <c r="T8" s="207">
        <f>Q8/P8</f>
        <v>160.69007544979686</v>
      </c>
      <c r="U8" s="207">
        <f>R8/P8</f>
        <v>160.69007544979686</v>
      </c>
      <c r="V8" s="207">
        <f>R8/(AN8+AN35)</f>
        <v>111.93319641644297</v>
      </c>
      <c r="W8" s="207">
        <f>R8/(AE8+AE35)</f>
        <v>10254.407407407407</v>
      </c>
      <c r="X8" s="207">
        <f>P8/(AE8+AE35)</f>
        <v>63.814814814814817</v>
      </c>
      <c r="Y8" s="208"/>
      <c r="Z8" s="904">
        <f t="shared" si="51"/>
        <v>98.665118978525825</v>
      </c>
      <c r="AA8" s="208" t="s">
        <v>188</v>
      </c>
      <c r="AB8" s="210"/>
      <c r="AC8" s="210"/>
      <c r="AD8" s="7" t="s">
        <v>15</v>
      </c>
      <c r="AE8" s="771">
        <f t="shared" si="0"/>
        <v>51</v>
      </c>
      <c r="AF8" s="771">
        <f t="shared" si="1"/>
        <v>51</v>
      </c>
      <c r="AG8" s="7">
        <v>51</v>
      </c>
      <c r="AH8" s="414"/>
      <c r="AI8" s="399"/>
      <c r="AJ8" s="399"/>
      <c r="AK8" s="57">
        <v>4165.7300000000005</v>
      </c>
      <c r="AL8" s="9">
        <v>4837.3599999999997</v>
      </c>
      <c r="AM8" s="57">
        <v>4837.3599999999997</v>
      </c>
      <c r="AN8" s="82">
        <v>4837.3599999999997</v>
      </c>
      <c r="AO8" s="9">
        <f t="shared" si="2"/>
        <v>94.850196078431367</v>
      </c>
      <c r="AP8" s="57"/>
      <c r="AQ8" s="57"/>
      <c r="AR8" s="57"/>
      <c r="AS8" s="57"/>
      <c r="AT8" s="57"/>
      <c r="AU8" s="9">
        <v>900</v>
      </c>
      <c r="AV8" s="76">
        <v>0</v>
      </c>
      <c r="AW8" s="78">
        <f t="shared" si="53"/>
        <v>0</v>
      </c>
      <c r="AX8" s="57"/>
      <c r="AY8" s="56" t="s">
        <v>549</v>
      </c>
      <c r="AZ8" s="415" t="s">
        <v>120</v>
      </c>
      <c r="BA8" s="801">
        <v>8947368.421052631</v>
      </c>
      <c r="BB8" s="610">
        <f>BA8/AN8</f>
        <v>1849.6387329147783</v>
      </c>
      <c r="BC8" s="56"/>
      <c r="BD8" s="53"/>
      <c r="BE8" s="184">
        <v>40816</v>
      </c>
      <c r="BF8" s="418" t="s">
        <v>12</v>
      </c>
      <c r="BG8" s="418" t="s">
        <v>233</v>
      </c>
      <c r="BH8" s="419"/>
      <c r="BI8" s="204">
        <v>40722</v>
      </c>
      <c r="BJ8" s="99">
        <v>42317</v>
      </c>
      <c r="BK8" s="99"/>
      <c r="BL8" s="204"/>
      <c r="BM8" s="99"/>
      <c r="BN8" s="36"/>
      <c r="BO8" s="423"/>
      <c r="BP8" s="111"/>
      <c r="BQ8" s="111"/>
      <c r="BR8" s="188"/>
      <c r="BS8" s="188">
        <f t="shared" si="3"/>
        <v>731</v>
      </c>
      <c r="BT8" s="188">
        <f t="shared" si="4"/>
        <v>1096</v>
      </c>
      <c r="BU8" s="188"/>
      <c r="BV8" s="188"/>
      <c r="BW8" s="672" t="e">
        <f t="shared" si="5"/>
        <v>#NUM!</v>
      </c>
      <c r="BX8" s="672" t="e">
        <f t="shared" si="6"/>
        <v>#NUM!</v>
      </c>
      <c r="BY8" s="672" t="e">
        <f t="shared" si="7"/>
        <v>#NUM!</v>
      </c>
      <c r="BZ8" s="816"/>
      <c r="CA8" s="817"/>
      <c r="CB8" s="816"/>
      <c r="CC8" s="816"/>
      <c r="CD8" s="816"/>
      <c r="CE8" s="816"/>
      <c r="CF8" s="818"/>
      <c r="CG8" s="818"/>
      <c r="CH8" s="818"/>
      <c r="CI8" s="818"/>
      <c r="CJ8" s="818"/>
      <c r="CK8" s="818"/>
      <c r="CL8" s="818"/>
      <c r="CM8" s="818"/>
      <c r="CN8" s="819"/>
      <c r="CO8" s="819"/>
      <c r="CP8" s="819"/>
      <c r="CQ8" s="819"/>
      <c r="CR8" s="819"/>
      <c r="CS8" s="156" t="s">
        <v>144</v>
      </c>
      <c r="CT8" s="307">
        <v>40898</v>
      </c>
      <c r="CU8" s="250"/>
      <c r="CV8" s="580">
        <v>9794319.2948090117</v>
      </c>
      <c r="CW8" s="581" t="s">
        <v>168</v>
      </c>
      <c r="CX8" s="405"/>
      <c r="CY8" s="340">
        <v>41176</v>
      </c>
      <c r="CZ8" s="250">
        <v>41568</v>
      </c>
      <c r="DA8" s="597">
        <f>(FK8-CZ8)/30</f>
        <v>3.8333333333333335</v>
      </c>
      <c r="DB8" s="122"/>
      <c r="DC8" s="122"/>
      <c r="DD8" s="122"/>
      <c r="DE8" s="523" t="str">
        <f t="shared" si="8"/>
        <v>0</v>
      </c>
      <c r="DF8" s="122"/>
      <c r="DG8" s="122"/>
      <c r="DH8" s="523" t="str">
        <f t="shared" si="9"/>
        <v>0</v>
      </c>
      <c r="DI8" s="122"/>
      <c r="DJ8" s="122"/>
      <c r="DK8" s="523" t="str">
        <f t="shared" si="10"/>
        <v>0</v>
      </c>
      <c r="DL8" s="122"/>
      <c r="DM8" s="122"/>
      <c r="DN8" s="523" t="str">
        <f t="shared" si="11"/>
        <v>0</v>
      </c>
      <c r="DO8" s="125"/>
      <c r="DP8" s="569"/>
      <c r="DQ8" s="523" t="str">
        <f t="shared" si="12"/>
        <v>0</v>
      </c>
      <c r="DR8" s="453"/>
      <c r="DS8" s="231"/>
      <c r="DT8" s="533"/>
      <c r="DU8" s="528"/>
      <c r="DV8" s="529" t="str">
        <f t="shared" si="13"/>
        <v>0</v>
      </c>
      <c r="DW8" s="533"/>
      <c r="DX8" s="348">
        <v>40898</v>
      </c>
      <c r="DY8" s="341">
        <v>2011</v>
      </c>
      <c r="DZ8" s="443">
        <f t="shared" si="14"/>
        <v>5.8666666666666663</v>
      </c>
      <c r="EA8" s="529" t="str">
        <f t="shared" si="15"/>
        <v>0</v>
      </c>
      <c r="EB8" s="125">
        <v>22</v>
      </c>
      <c r="EC8" s="125">
        <f t="shared" si="16"/>
        <v>22</v>
      </c>
      <c r="ED8" s="315"/>
      <c r="EE8" s="314"/>
      <c r="EF8" s="685" t="str">
        <f t="shared" si="17"/>
        <v>0</v>
      </c>
      <c r="EG8" s="698"/>
      <c r="EH8" s="613"/>
      <c r="EI8" s="614" t="str">
        <f t="shared" si="18"/>
        <v>0</v>
      </c>
      <c r="EJ8" s="254"/>
      <c r="EK8" s="315"/>
      <c r="EL8" s="685" t="str">
        <f t="shared" si="19"/>
        <v>0</v>
      </c>
      <c r="EM8" s="315"/>
      <c r="EN8" s="315"/>
      <c r="EO8" s="685" t="str">
        <f t="shared" si="20"/>
        <v>0</v>
      </c>
      <c r="EP8" s="315"/>
      <c r="EQ8" s="315"/>
      <c r="ER8" s="685" t="str">
        <f t="shared" si="21"/>
        <v>0</v>
      </c>
      <c r="ES8" s="315"/>
      <c r="ET8" s="315"/>
      <c r="EU8" s="685" t="str">
        <f t="shared" si="22"/>
        <v>0</v>
      </c>
      <c r="EV8" s="315"/>
      <c r="EW8" s="315"/>
      <c r="EX8" s="685" t="str">
        <f t="shared" si="23"/>
        <v>0</v>
      </c>
      <c r="EY8" s="315"/>
      <c r="EZ8" s="315"/>
      <c r="FA8" s="315"/>
      <c r="FB8" s="455">
        <f t="shared" si="24"/>
        <v>41568</v>
      </c>
      <c r="FC8" s="351">
        <v>41568</v>
      </c>
      <c r="FD8" s="708">
        <f t="shared" si="25"/>
        <v>0</v>
      </c>
      <c r="FE8" s="600"/>
      <c r="FF8" s="126">
        <v>41611</v>
      </c>
      <c r="FG8" s="126" t="s">
        <v>128</v>
      </c>
      <c r="FH8" s="185">
        <v>41683</v>
      </c>
      <c r="FI8" s="734"/>
      <c r="FJ8" s="455">
        <f t="shared" si="26"/>
        <v>41599</v>
      </c>
      <c r="FK8" s="602">
        <v>41683</v>
      </c>
      <c r="FL8" s="590">
        <v>2014</v>
      </c>
      <c r="FM8" s="703">
        <f t="shared" si="27"/>
        <v>2.8</v>
      </c>
      <c r="FN8" s="697">
        <v>30568</v>
      </c>
      <c r="FO8" s="231">
        <f t="shared" si="28"/>
        <v>85590.399999999994</v>
      </c>
      <c r="FP8" s="185"/>
      <c r="FQ8" s="552"/>
      <c r="FR8" s="692">
        <f t="shared" si="29"/>
        <v>0</v>
      </c>
      <c r="FS8" s="556"/>
      <c r="FT8" s="556"/>
      <c r="FU8" s="556"/>
      <c r="FV8" s="556"/>
      <c r="FW8" s="553"/>
      <c r="FX8" s="566"/>
      <c r="FY8" s="553"/>
      <c r="FZ8" s="553"/>
      <c r="GA8" s="122"/>
      <c r="GB8" s="122"/>
      <c r="GC8" s="122"/>
      <c r="GD8" s="122"/>
      <c r="GE8" s="122"/>
      <c r="GF8" s="114"/>
      <c r="GG8" s="122">
        <f t="shared" si="30"/>
        <v>41933</v>
      </c>
      <c r="GH8" s="677">
        <v>0</v>
      </c>
      <c r="GI8" s="122" t="s">
        <v>296</v>
      </c>
      <c r="GJ8" s="122" t="s">
        <v>128</v>
      </c>
      <c r="GK8" s="122"/>
      <c r="GL8" s="122"/>
      <c r="GM8" s="122"/>
      <c r="GN8" s="122"/>
      <c r="GO8" s="122"/>
      <c r="GP8" s="113">
        <v>42121</v>
      </c>
      <c r="GQ8" s="113"/>
      <c r="GR8" s="194"/>
      <c r="GS8" s="194"/>
      <c r="GT8" s="122"/>
      <c r="GU8" s="122"/>
      <c r="GV8" s="425"/>
      <c r="GW8" s="402"/>
      <c r="GX8" s="10">
        <v>9522775</v>
      </c>
      <c r="GY8" s="426">
        <f>HJ8+HO8+HV8+IO8+HT8+HZ8</f>
        <v>9522775</v>
      </c>
      <c r="GZ8" s="797">
        <f t="shared" si="31"/>
        <v>9522775</v>
      </c>
      <c r="HA8" s="12">
        <f t="shared" si="32"/>
        <v>0</v>
      </c>
      <c r="HB8" s="49">
        <f t="shared" si="33"/>
        <v>1968.5892718342238</v>
      </c>
      <c r="HC8" s="49">
        <f t="shared" si="34"/>
        <v>186721.07843137256</v>
      </c>
      <c r="HD8" s="10"/>
      <c r="HE8" s="11"/>
      <c r="HF8" s="12">
        <f t="shared" si="35"/>
        <v>0</v>
      </c>
      <c r="HG8" s="127">
        <f t="shared" si="36"/>
        <v>0</v>
      </c>
      <c r="HH8" s="128"/>
      <c r="HI8" s="10">
        <v>2932668</v>
      </c>
      <c r="HJ8" s="15">
        <v>2932668</v>
      </c>
      <c r="HK8" s="66"/>
      <c r="HL8" s="23">
        <f t="shared" si="37"/>
        <v>57503.294117647056</v>
      </c>
      <c r="HM8" s="37">
        <f t="shared" si="38"/>
        <v>0</v>
      </c>
      <c r="HN8" s="10">
        <v>6290107</v>
      </c>
      <c r="HO8" s="11">
        <f t="shared" si="39"/>
        <v>6290107</v>
      </c>
      <c r="HP8" s="13">
        <v>1887032</v>
      </c>
      <c r="HQ8" s="13">
        <v>4403075</v>
      </c>
      <c r="HR8" s="37">
        <f t="shared" si="40"/>
        <v>0</v>
      </c>
      <c r="HS8" s="629">
        <f t="shared" si="41"/>
        <v>123335.43137254902</v>
      </c>
      <c r="HT8" s="11">
        <v>0</v>
      </c>
      <c r="HU8" s="428">
        <v>300000</v>
      </c>
      <c r="HV8" s="15">
        <v>300000</v>
      </c>
      <c r="HW8" s="66"/>
      <c r="HX8" s="40">
        <f t="shared" si="42"/>
        <v>3.150342205922118E-2</v>
      </c>
      <c r="HY8" s="303"/>
      <c r="HZ8" s="15">
        <v>0</v>
      </c>
      <c r="IA8" s="24">
        <f t="shared" si="52"/>
        <v>0</v>
      </c>
      <c r="IB8" s="23">
        <f t="shared" si="43"/>
        <v>5882.3529411764703</v>
      </c>
      <c r="IC8" s="49">
        <f t="shared" si="44"/>
        <v>63385.647058823532</v>
      </c>
      <c r="ID8" s="24">
        <f t="shared" si="45"/>
        <v>0</v>
      </c>
      <c r="IE8" s="48"/>
      <c r="IF8" s="48"/>
      <c r="IG8" s="39">
        <v>0</v>
      </c>
      <c r="IH8" s="39">
        <v>0</v>
      </c>
      <c r="II8" s="23">
        <f t="shared" si="46"/>
        <v>63385.647058823532</v>
      </c>
      <c r="IJ8" s="39">
        <v>0</v>
      </c>
      <c r="IK8" s="23">
        <f t="shared" si="47"/>
        <v>63385.647058823532</v>
      </c>
      <c r="IL8" s="50">
        <f t="shared" si="48"/>
        <v>0.33946701460446144</v>
      </c>
      <c r="IM8" s="39"/>
      <c r="IN8" s="39"/>
      <c r="IO8" s="11">
        <v>0</v>
      </c>
      <c r="IP8" s="41">
        <f t="shared" si="49"/>
        <v>9522775</v>
      </c>
      <c r="IQ8" s="231"/>
      <c r="IR8" s="231">
        <f t="shared" si="50"/>
        <v>0</v>
      </c>
      <c r="IS8" s="113"/>
      <c r="IT8" s="231"/>
      <c r="IU8" s="231"/>
      <c r="IV8" s="113"/>
      <c r="IW8" s="113"/>
      <c r="IX8" s="231"/>
      <c r="IY8" s="113"/>
      <c r="IZ8" s="231"/>
      <c r="JA8" s="113"/>
      <c r="JB8" s="231"/>
      <c r="JC8" s="114"/>
      <c r="JD8" s="321"/>
      <c r="JE8" s="313"/>
      <c r="JF8" s="313"/>
      <c r="JG8" s="122"/>
      <c r="JH8" s="231"/>
      <c r="JI8" s="122"/>
      <c r="JJ8" s="231"/>
      <c r="JK8" s="322"/>
      <c r="JL8" s="322"/>
      <c r="JM8" s="322"/>
      <c r="JN8" s="322"/>
      <c r="JO8" s="269"/>
      <c r="JP8" s="269"/>
      <c r="JQ8" s="269"/>
      <c r="JR8" s="269"/>
      <c r="JS8" s="269"/>
      <c r="JT8" s="269"/>
      <c r="JU8" s="231"/>
      <c r="JV8" s="122"/>
      <c r="JW8" s="114"/>
      <c r="JX8" s="122"/>
      <c r="JY8" s="122"/>
      <c r="JZ8" s="114"/>
    </row>
    <row r="9" spans="1:286" ht="15" customHeight="1">
      <c r="A9" s="7" t="s">
        <v>899</v>
      </c>
      <c r="B9" s="53"/>
      <c r="C9" s="7" t="s">
        <v>35</v>
      </c>
      <c r="D9" s="7" t="s">
        <v>112</v>
      </c>
      <c r="E9" s="7">
        <v>2011</v>
      </c>
      <c r="F9" s="7" t="s">
        <v>107</v>
      </c>
      <c r="G9" s="7"/>
      <c r="H9" s="765"/>
      <c r="I9" s="53" t="s">
        <v>250</v>
      </c>
      <c r="J9" s="53"/>
      <c r="K9" s="53"/>
      <c r="L9" s="255"/>
      <c r="M9" s="411"/>
      <c r="N9" s="411"/>
      <c r="O9" s="411"/>
      <c r="P9" s="65"/>
      <c r="Q9" s="65"/>
      <c r="R9" s="65"/>
      <c r="S9" s="65"/>
      <c r="T9" s="65"/>
      <c r="U9" s="65"/>
      <c r="V9" s="65"/>
      <c r="W9" s="65"/>
      <c r="X9" s="65"/>
      <c r="Y9" s="208"/>
      <c r="Z9" s="107" t="e">
        <f t="shared" si="51"/>
        <v>#DIV/0!</v>
      </c>
      <c r="AA9" s="208" t="s">
        <v>188</v>
      </c>
      <c r="AB9" s="210"/>
      <c r="AC9" s="210"/>
      <c r="AD9" s="7" t="s">
        <v>16</v>
      </c>
      <c r="AE9" s="771">
        <f t="shared" si="0"/>
        <v>6</v>
      </c>
      <c r="AF9" s="771">
        <f t="shared" si="1"/>
        <v>6</v>
      </c>
      <c r="AG9" s="8"/>
      <c r="AH9" s="7">
        <v>6</v>
      </c>
      <c r="AI9" s="53"/>
      <c r="AJ9" s="53"/>
      <c r="AK9" s="806">
        <v>391.83999999999992</v>
      </c>
      <c r="AL9" s="9">
        <v>470.86</v>
      </c>
      <c r="AM9" s="57">
        <v>470.86</v>
      </c>
      <c r="AN9" s="82">
        <v>470.86</v>
      </c>
      <c r="AO9" s="9">
        <f t="shared" si="2"/>
        <v>78.476666666666674</v>
      </c>
      <c r="AP9" s="57"/>
      <c r="AQ9" s="57"/>
      <c r="AR9" s="57"/>
      <c r="AS9" s="57"/>
      <c r="AT9" s="57"/>
      <c r="AU9" s="8"/>
      <c r="AV9" s="76">
        <v>0</v>
      </c>
      <c r="AW9" s="78" t="e">
        <f t="shared" si="53"/>
        <v>#DIV/0!</v>
      </c>
      <c r="AX9" s="57"/>
      <c r="AY9" s="56" t="s">
        <v>549</v>
      </c>
      <c r="AZ9" s="415" t="s">
        <v>120</v>
      </c>
      <c r="BA9" s="801">
        <v>1052631.5789473683</v>
      </c>
      <c r="BB9" s="610">
        <f>BA9/AN9</f>
        <v>2235.5510745176239</v>
      </c>
      <c r="BC9" s="56"/>
      <c r="BD9" s="53"/>
      <c r="BE9" s="184">
        <v>40816</v>
      </c>
      <c r="BF9" s="191" t="s">
        <v>12</v>
      </c>
      <c r="BG9" s="191" t="s">
        <v>233</v>
      </c>
      <c r="BH9" s="419"/>
      <c r="BI9" s="204">
        <v>40730</v>
      </c>
      <c r="BJ9" s="99">
        <v>42317</v>
      </c>
      <c r="BK9" s="99"/>
      <c r="BL9" s="204"/>
      <c r="BM9" s="99"/>
      <c r="BN9" s="36"/>
      <c r="BO9" s="423"/>
      <c r="BP9" s="111"/>
      <c r="BQ9" s="111"/>
      <c r="BR9" s="188"/>
      <c r="BS9" s="188">
        <f t="shared" si="3"/>
        <v>731</v>
      </c>
      <c r="BT9" s="188">
        <f t="shared" si="4"/>
        <v>1096</v>
      </c>
      <c r="BU9" s="188"/>
      <c r="BV9" s="188"/>
      <c r="BW9" s="672" t="e">
        <f t="shared" si="5"/>
        <v>#NUM!</v>
      </c>
      <c r="BX9" s="672" t="e">
        <f t="shared" si="6"/>
        <v>#NUM!</v>
      </c>
      <c r="BY9" s="672" t="e">
        <f t="shared" si="7"/>
        <v>#NUM!</v>
      </c>
      <c r="BZ9" s="816"/>
      <c r="CA9" s="817"/>
      <c r="CB9" s="816"/>
      <c r="CC9" s="816"/>
      <c r="CD9" s="816"/>
      <c r="CE9" s="816"/>
      <c r="CF9" s="818"/>
      <c r="CG9" s="818"/>
      <c r="CH9" s="818"/>
      <c r="CI9" s="818"/>
      <c r="CJ9" s="818"/>
      <c r="CK9" s="818"/>
      <c r="CL9" s="818"/>
      <c r="CM9" s="818"/>
      <c r="CN9" s="818"/>
      <c r="CO9" s="818"/>
      <c r="CP9" s="818"/>
      <c r="CQ9" s="818"/>
      <c r="CR9" s="818"/>
      <c r="CS9" s="156"/>
      <c r="CT9" s="307">
        <v>41264</v>
      </c>
      <c r="CU9" s="250"/>
      <c r="CV9" s="580"/>
      <c r="CW9" s="581" t="s">
        <v>168</v>
      </c>
      <c r="CX9" s="405"/>
      <c r="CY9" s="340">
        <v>41176</v>
      </c>
      <c r="CZ9" s="405"/>
      <c r="DA9" s="405"/>
      <c r="DB9" s="122"/>
      <c r="DC9" s="122"/>
      <c r="DD9" s="122"/>
      <c r="DE9" s="523" t="str">
        <f t="shared" si="8"/>
        <v>0</v>
      </c>
      <c r="DF9" s="122"/>
      <c r="DG9" s="122"/>
      <c r="DH9" s="523" t="str">
        <f t="shared" si="9"/>
        <v>0</v>
      </c>
      <c r="DI9" s="122"/>
      <c r="DJ9" s="122"/>
      <c r="DK9" s="523" t="str">
        <f t="shared" si="10"/>
        <v>0</v>
      </c>
      <c r="DL9" s="122"/>
      <c r="DM9" s="122"/>
      <c r="DN9" s="523" t="str">
        <f t="shared" si="11"/>
        <v>0</v>
      </c>
      <c r="DO9" s="125"/>
      <c r="DP9" s="569"/>
      <c r="DQ9" s="523" t="str">
        <f t="shared" si="12"/>
        <v>0</v>
      </c>
      <c r="DR9" s="453"/>
      <c r="DS9" s="231"/>
      <c r="DT9" s="533"/>
      <c r="DU9" s="528"/>
      <c r="DV9" s="529" t="str">
        <f t="shared" si="13"/>
        <v>0</v>
      </c>
      <c r="DW9" s="533"/>
      <c r="DX9" s="348">
        <v>40898</v>
      </c>
      <c r="DY9" s="341">
        <v>2011</v>
      </c>
      <c r="DZ9" s="443">
        <f t="shared" si="14"/>
        <v>5.6</v>
      </c>
      <c r="EA9" s="529" t="str">
        <f t="shared" si="15"/>
        <v>0</v>
      </c>
      <c r="EB9" s="125">
        <v>22</v>
      </c>
      <c r="EC9" s="125">
        <f t="shared" si="16"/>
        <v>22</v>
      </c>
      <c r="ED9" s="315"/>
      <c r="EE9" s="314"/>
      <c r="EF9" s="685" t="str">
        <f t="shared" si="17"/>
        <v>0</v>
      </c>
      <c r="EG9" s="698"/>
      <c r="EH9" s="613"/>
      <c r="EI9" s="614" t="str">
        <f t="shared" si="18"/>
        <v>0</v>
      </c>
      <c r="EJ9" s="254"/>
      <c r="EK9" s="315"/>
      <c r="EL9" s="685" t="str">
        <f t="shared" si="19"/>
        <v>0</v>
      </c>
      <c r="EM9" s="315"/>
      <c r="EN9" s="315"/>
      <c r="EO9" s="685" t="str">
        <f t="shared" si="20"/>
        <v>0</v>
      </c>
      <c r="EP9" s="315"/>
      <c r="EQ9" s="315"/>
      <c r="ER9" s="685" t="str">
        <f t="shared" si="21"/>
        <v>0</v>
      </c>
      <c r="ES9" s="315"/>
      <c r="ET9" s="315"/>
      <c r="EU9" s="685" t="str">
        <f t="shared" si="22"/>
        <v>0</v>
      </c>
      <c r="EV9" s="315"/>
      <c r="EW9" s="315"/>
      <c r="EX9" s="685" t="str">
        <f t="shared" si="23"/>
        <v>0</v>
      </c>
      <c r="EY9" s="315"/>
      <c r="EZ9" s="315"/>
      <c r="FA9" s="315"/>
      <c r="FB9" s="455">
        <f t="shared" si="24"/>
        <v>41568</v>
      </c>
      <c r="FC9" s="351">
        <v>41568</v>
      </c>
      <c r="FD9" s="708">
        <f t="shared" si="25"/>
        <v>0</v>
      </c>
      <c r="FE9" s="600"/>
      <c r="FF9" s="126">
        <v>41611</v>
      </c>
      <c r="FG9" s="126" t="s">
        <v>128</v>
      </c>
      <c r="FH9" s="185">
        <v>41683</v>
      </c>
      <c r="FI9" s="734"/>
      <c r="FJ9" s="455">
        <f t="shared" si="26"/>
        <v>41599</v>
      </c>
      <c r="FK9" s="602">
        <v>41683</v>
      </c>
      <c r="FL9" s="590">
        <v>2014</v>
      </c>
      <c r="FM9" s="703">
        <f t="shared" si="27"/>
        <v>2.8</v>
      </c>
      <c r="FN9" s="697">
        <v>2502</v>
      </c>
      <c r="FO9" s="231">
        <f t="shared" si="28"/>
        <v>7005.5999999999995</v>
      </c>
      <c r="FP9" s="185"/>
      <c r="FQ9" s="552"/>
      <c r="FR9" s="692">
        <f t="shared" si="29"/>
        <v>0</v>
      </c>
      <c r="FS9" s="556"/>
      <c r="FT9" s="556"/>
      <c r="FU9" s="556"/>
      <c r="FV9" s="556"/>
      <c r="FW9" s="553"/>
      <c r="FX9" s="566"/>
      <c r="FY9" s="553"/>
      <c r="FZ9" s="553"/>
      <c r="GA9" s="122"/>
      <c r="GB9" s="122"/>
      <c r="GC9" s="122"/>
      <c r="GD9" s="122"/>
      <c r="GE9" s="122"/>
      <c r="GF9" s="114"/>
      <c r="GG9" s="122">
        <f t="shared" si="30"/>
        <v>41933</v>
      </c>
      <c r="GH9" s="677">
        <v>0</v>
      </c>
      <c r="GI9" s="122" t="s">
        <v>296</v>
      </c>
      <c r="GJ9" s="122" t="s">
        <v>128</v>
      </c>
      <c r="GK9" s="122"/>
      <c r="GL9" s="122"/>
      <c r="GM9" s="122"/>
      <c r="GN9" s="122"/>
      <c r="GO9" s="122"/>
      <c r="GP9" s="113">
        <v>42121</v>
      </c>
      <c r="GQ9" s="113"/>
      <c r="GR9" s="194"/>
      <c r="GS9" s="194"/>
      <c r="GT9" s="122"/>
      <c r="GU9" s="122"/>
      <c r="GV9" s="425"/>
      <c r="GW9" s="402"/>
      <c r="GX9" s="10">
        <v>926283</v>
      </c>
      <c r="GY9" s="426">
        <f>HJ9+HO9+HV9+IO9+HW9+HZ9</f>
        <v>926283</v>
      </c>
      <c r="GZ9" s="797">
        <f t="shared" si="31"/>
        <v>926283</v>
      </c>
      <c r="HA9" s="12">
        <f t="shared" si="32"/>
        <v>0</v>
      </c>
      <c r="HB9" s="49">
        <f t="shared" si="33"/>
        <v>1967.2153081595377</v>
      </c>
      <c r="HC9" s="49">
        <f t="shared" si="34"/>
        <v>154380.5</v>
      </c>
      <c r="HD9" s="10"/>
      <c r="HE9" s="11"/>
      <c r="HF9" s="12">
        <f t="shared" si="35"/>
        <v>0</v>
      </c>
      <c r="HG9" s="127">
        <f t="shared" si="36"/>
        <v>0</v>
      </c>
      <c r="HH9" s="128"/>
      <c r="HI9" s="10">
        <v>340124</v>
      </c>
      <c r="HJ9" s="15">
        <v>340124</v>
      </c>
      <c r="HK9" s="66"/>
      <c r="HL9" s="23">
        <f t="shared" si="37"/>
        <v>56687.333333333336</v>
      </c>
      <c r="HM9" s="37">
        <f t="shared" si="38"/>
        <v>0</v>
      </c>
      <c r="HN9" s="10">
        <v>486159</v>
      </c>
      <c r="HO9" s="11">
        <f t="shared" si="39"/>
        <v>486159</v>
      </c>
      <c r="HP9" s="13">
        <v>145848</v>
      </c>
      <c r="HQ9" s="13">
        <v>340311</v>
      </c>
      <c r="HR9" s="37">
        <f t="shared" si="40"/>
        <v>0</v>
      </c>
      <c r="HS9" s="629">
        <f t="shared" si="41"/>
        <v>81026.5</v>
      </c>
      <c r="HT9" s="11">
        <v>0</v>
      </c>
      <c r="HU9" s="428">
        <v>100000</v>
      </c>
      <c r="HV9" s="15">
        <v>100000</v>
      </c>
      <c r="HW9" s="66"/>
      <c r="HX9" s="40">
        <f t="shared" si="42"/>
        <v>0.10795836693537504</v>
      </c>
      <c r="HY9" s="303"/>
      <c r="HZ9" s="15">
        <v>0</v>
      </c>
      <c r="IA9" s="24">
        <f t="shared" si="52"/>
        <v>0</v>
      </c>
      <c r="IB9" s="23">
        <f t="shared" si="43"/>
        <v>16666.666666666668</v>
      </c>
      <c r="IC9" s="49">
        <f t="shared" si="44"/>
        <v>73354</v>
      </c>
      <c r="ID9" s="24">
        <f t="shared" si="45"/>
        <v>0</v>
      </c>
      <c r="IE9" s="48"/>
      <c r="IF9" s="48"/>
      <c r="IG9" s="39">
        <v>0</v>
      </c>
      <c r="IH9" s="39">
        <v>0</v>
      </c>
      <c r="II9" s="23">
        <f t="shared" si="46"/>
        <v>73354</v>
      </c>
      <c r="IJ9" s="39">
        <v>0</v>
      </c>
      <c r="IK9" s="23">
        <f t="shared" si="47"/>
        <v>73354</v>
      </c>
      <c r="IL9" s="50">
        <f t="shared" si="48"/>
        <v>0.47515068289065004</v>
      </c>
      <c r="IM9" s="39"/>
      <c r="IN9" s="39"/>
      <c r="IO9" s="11">
        <v>0</v>
      </c>
      <c r="IP9" s="41">
        <f t="shared" si="49"/>
        <v>926283</v>
      </c>
      <c r="IQ9" s="231"/>
      <c r="IR9" s="231">
        <f t="shared" si="50"/>
        <v>0</v>
      </c>
      <c r="IS9" s="113"/>
      <c r="IT9" s="231"/>
      <c r="IU9" s="231"/>
      <c r="IV9" s="113"/>
      <c r="IW9" s="113"/>
      <c r="IX9" s="231"/>
      <c r="IY9" s="113"/>
      <c r="IZ9" s="231"/>
      <c r="JA9" s="113"/>
      <c r="JB9" s="231"/>
      <c r="JC9" s="114"/>
      <c r="JD9" s="321"/>
      <c r="JE9" s="313"/>
      <c r="JF9" s="313"/>
      <c r="JG9" s="122"/>
      <c r="JH9" s="231"/>
      <c r="JI9" s="122"/>
      <c r="JJ9" s="231"/>
      <c r="JK9" s="322"/>
      <c r="JL9" s="322"/>
      <c r="JM9" s="322"/>
      <c r="JN9" s="322"/>
      <c r="JO9" s="269"/>
      <c r="JP9" s="269"/>
      <c r="JQ9" s="269"/>
      <c r="JR9" s="269"/>
      <c r="JS9" s="269"/>
      <c r="JT9" s="269"/>
      <c r="JU9" s="231"/>
      <c r="JV9" s="122"/>
      <c r="JW9" s="114"/>
      <c r="JX9" s="122"/>
      <c r="JY9" s="122"/>
      <c r="JZ9" s="114"/>
    </row>
    <row r="10" spans="1:286" ht="15" customHeight="1">
      <c r="A10" s="7" t="s">
        <v>897</v>
      </c>
      <c r="B10" s="53"/>
      <c r="C10" s="7" t="s">
        <v>102</v>
      </c>
      <c r="D10" s="7" t="s">
        <v>114</v>
      </c>
      <c r="E10" s="7">
        <v>2011</v>
      </c>
      <c r="F10" s="7" t="s">
        <v>105</v>
      </c>
      <c r="G10" s="7" t="s">
        <v>108</v>
      </c>
      <c r="H10" s="765"/>
      <c r="I10" s="7" t="s">
        <v>250</v>
      </c>
      <c r="J10" s="53"/>
      <c r="K10" s="53"/>
      <c r="L10" s="255"/>
      <c r="M10" s="411"/>
      <c r="N10" s="411"/>
      <c r="O10" s="411"/>
      <c r="P10" s="207">
        <v>4531</v>
      </c>
      <c r="Q10" s="207">
        <f>R10</f>
        <v>799078</v>
      </c>
      <c r="R10" s="207">
        <v>799078</v>
      </c>
      <c r="S10" s="207">
        <f t="shared" ref="S10:S19" si="54">Q10/AE10</f>
        <v>34742.521739130432</v>
      </c>
      <c r="T10" s="207">
        <f t="shared" ref="T10:T20" si="55">Q10/P10</f>
        <v>176.35797837122047</v>
      </c>
      <c r="U10" s="207">
        <f t="shared" ref="U10:U20" si="56">R10/P10</f>
        <v>176.35797837122047</v>
      </c>
      <c r="V10" s="207">
        <f t="shared" ref="V10:V19" si="57">R10/AN10</f>
        <v>416.95086825847386</v>
      </c>
      <c r="W10" s="207">
        <f t="shared" ref="W10:W19" si="58">R10/AE10</f>
        <v>34742.521739130432</v>
      </c>
      <c r="X10" s="207">
        <f t="shared" ref="X10:X19" si="59">P10/AE10</f>
        <v>197</v>
      </c>
      <c r="Y10" s="208"/>
      <c r="Z10" s="904">
        <f t="shared" si="51"/>
        <v>50.761421319796952</v>
      </c>
      <c r="AA10" s="208" t="s">
        <v>210</v>
      </c>
      <c r="AB10" s="210"/>
      <c r="AC10" s="210"/>
      <c r="AD10" s="7" t="s">
        <v>15</v>
      </c>
      <c r="AE10" s="771">
        <f t="shared" si="0"/>
        <v>23</v>
      </c>
      <c r="AF10" s="771">
        <f t="shared" si="1"/>
        <v>23</v>
      </c>
      <c r="AG10" s="7">
        <v>23</v>
      </c>
      <c r="AH10" s="414"/>
      <c r="AI10" s="399"/>
      <c r="AJ10" s="399"/>
      <c r="AK10" s="57">
        <v>1916.48</v>
      </c>
      <c r="AL10" s="9">
        <v>1916.48</v>
      </c>
      <c r="AM10" s="57">
        <v>1916.48</v>
      </c>
      <c r="AN10" s="82">
        <v>1916.48</v>
      </c>
      <c r="AO10" s="9">
        <f t="shared" si="2"/>
        <v>83.325217391304349</v>
      </c>
      <c r="AP10" s="57"/>
      <c r="AQ10" s="57"/>
      <c r="AR10" s="57"/>
      <c r="AS10" s="57"/>
      <c r="AT10" s="57"/>
      <c r="AU10" s="9"/>
      <c r="AV10" s="106"/>
      <c r="AW10" s="78">
        <f t="shared" si="53"/>
        <v>0</v>
      </c>
      <c r="AX10" s="57">
        <v>2.5</v>
      </c>
      <c r="AY10" s="56" t="s">
        <v>549</v>
      </c>
      <c r="AZ10" s="415" t="s">
        <v>121</v>
      </c>
      <c r="BA10" s="801">
        <v>3772000</v>
      </c>
      <c r="BB10" s="610">
        <f>BA10/AN10</f>
        <v>1968.1916847553848</v>
      </c>
      <c r="BC10" s="56"/>
      <c r="BD10" s="53"/>
      <c r="BE10" s="184">
        <v>40816</v>
      </c>
      <c r="BF10" s="418" t="s">
        <v>12</v>
      </c>
      <c r="BG10" s="418" t="s">
        <v>224</v>
      </c>
      <c r="BH10" s="419"/>
      <c r="BI10" s="204">
        <v>40730</v>
      </c>
      <c r="BJ10" s="99"/>
      <c r="BK10" s="99"/>
      <c r="BL10" s="204"/>
      <c r="BM10" s="99"/>
      <c r="BN10" s="36"/>
      <c r="BO10" s="423"/>
      <c r="BP10" s="111"/>
      <c r="BQ10" s="111"/>
      <c r="BR10" s="188"/>
      <c r="BS10" s="188">
        <f t="shared" si="3"/>
        <v>731</v>
      </c>
      <c r="BT10" s="188">
        <f t="shared" si="4"/>
        <v>1096</v>
      </c>
      <c r="BU10" s="188"/>
      <c r="BV10" s="188"/>
      <c r="BW10" s="672" t="e">
        <f t="shared" si="5"/>
        <v>#NUM!</v>
      </c>
      <c r="BX10" s="672" t="e">
        <f t="shared" si="6"/>
        <v>#NUM!</v>
      </c>
      <c r="BY10" s="672" t="e">
        <f t="shared" si="7"/>
        <v>#NUM!</v>
      </c>
      <c r="BZ10" s="816"/>
      <c r="CA10" s="817"/>
      <c r="CB10" s="816"/>
      <c r="CC10" s="816"/>
      <c r="CD10" s="816"/>
      <c r="CE10" s="816"/>
      <c r="CF10" s="818"/>
      <c r="CG10" s="818"/>
      <c r="CH10" s="818"/>
      <c r="CI10" s="818"/>
      <c r="CJ10" s="818"/>
      <c r="CK10" s="818"/>
      <c r="CL10" s="818"/>
      <c r="CM10" s="818"/>
      <c r="CN10" s="818"/>
      <c r="CO10" s="818"/>
      <c r="CP10" s="818"/>
      <c r="CQ10" s="818"/>
      <c r="CR10" s="818"/>
      <c r="CS10" s="156" t="s">
        <v>138</v>
      </c>
      <c r="CT10" s="307">
        <v>41264</v>
      </c>
      <c r="CU10" s="405"/>
      <c r="CV10" s="580">
        <v>3694417.2380019594</v>
      </c>
      <c r="CW10" s="581" t="s">
        <v>168</v>
      </c>
      <c r="CX10" s="405"/>
      <c r="CY10" s="340">
        <v>40984</v>
      </c>
      <c r="CZ10" s="250">
        <v>41364</v>
      </c>
      <c r="DA10" s="597">
        <f t="shared" ref="DA10:DA20" si="60">(FK10-CZ10)/30</f>
        <v>4.0666666666666664</v>
      </c>
      <c r="DB10" s="122"/>
      <c r="DC10" s="122"/>
      <c r="DD10" s="122"/>
      <c r="DE10" s="523" t="str">
        <f t="shared" si="8"/>
        <v>0</v>
      </c>
      <c r="DF10" s="122"/>
      <c r="DG10" s="122"/>
      <c r="DH10" s="523" t="str">
        <f t="shared" si="9"/>
        <v>0</v>
      </c>
      <c r="DI10" s="122"/>
      <c r="DJ10" s="122"/>
      <c r="DK10" s="523" t="str">
        <f t="shared" si="10"/>
        <v>0</v>
      </c>
      <c r="DL10" s="122"/>
      <c r="DM10" s="122"/>
      <c r="DN10" s="523" t="str">
        <f t="shared" si="11"/>
        <v>0</v>
      </c>
      <c r="DO10" s="125"/>
      <c r="DP10" s="569"/>
      <c r="DQ10" s="523" t="str">
        <f t="shared" si="12"/>
        <v>0</v>
      </c>
      <c r="DR10" s="453"/>
      <c r="DS10" s="231"/>
      <c r="DT10" s="533"/>
      <c r="DU10" s="528"/>
      <c r="DV10" s="529" t="str">
        <f t="shared" si="13"/>
        <v>0</v>
      </c>
      <c r="DW10" s="533"/>
      <c r="DX10" s="348">
        <v>40898</v>
      </c>
      <c r="DY10" s="341">
        <v>2011</v>
      </c>
      <c r="DZ10" s="443">
        <f t="shared" si="14"/>
        <v>5.6</v>
      </c>
      <c r="EA10" s="529" t="str">
        <f t="shared" si="15"/>
        <v>0</v>
      </c>
      <c r="EB10" s="125">
        <v>16</v>
      </c>
      <c r="EC10" s="125">
        <f t="shared" si="16"/>
        <v>18</v>
      </c>
      <c r="ED10" s="315"/>
      <c r="EE10" s="314"/>
      <c r="EF10" s="685" t="str">
        <f t="shared" si="17"/>
        <v>0</v>
      </c>
      <c r="EG10" s="698"/>
      <c r="EH10" s="613"/>
      <c r="EI10" s="614" t="str">
        <f t="shared" si="18"/>
        <v>0</v>
      </c>
      <c r="EJ10" s="254"/>
      <c r="EK10" s="315"/>
      <c r="EL10" s="685" t="str">
        <f t="shared" si="19"/>
        <v>0</v>
      </c>
      <c r="EM10" s="315"/>
      <c r="EN10" s="315"/>
      <c r="EO10" s="685" t="str">
        <f t="shared" si="20"/>
        <v>0</v>
      </c>
      <c r="EP10" s="315"/>
      <c r="EQ10" s="315"/>
      <c r="ER10" s="685" t="str">
        <f t="shared" si="21"/>
        <v>0</v>
      </c>
      <c r="ES10" s="315"/>
      <c r="ET10" s="315"/>
      <c r="EU10" s="685" t="str">
        <f t="shared" si="22"/>
        <v>0</v>
      </c>
      <c r="EV10" s="315"/>
      <c r="EW10" s="315"/>
      <c r="EX10" s="685" t="str">
        <f t="shared" si="23"/>
        <v>0</v>
      </c>
      <c r="EY10" s="315"/>
      <c r="EZ10" s="315"/>
      <c r="FA10" s="315"/>
      <c r="FB10" s="601">
        <f t="shared" si="24"/>
        <v>41385</v>
      </c>
      <c r="FC10" s="351">
        <v>41473</v>
      </c>
      <c r="FD10" s="708">
        <f t="shared" si="25"/>
        <v>2.9333333333333331</v>
      </c>
      <c r="FE10" s="600"/>
      <c r="FF10" s="113">
        <v>41470</v>
      </c>
      <c r="FG10" s="122" t="s">
        <v>128</v>
      </c>
      <c r="FH10" s="126">
        <v>41486</v>
      </c>
      <c r="FI10" s="600"/>
      <c r="FJ10" s="455">
        <f t="shared" si="26"/>
        <v>41415</v>
      </c>
      <c r="FK10" s="351">
        <v>41486</v>
      </c>
      <c r="FL10" s="456">
        <v>2013</v>
      </c>
      <c r="FM10" s="702">
        <f t="shared" si="27"/>
        <v>2.3666666666666667</v>
      </c>
      <c r="FN10" s="697">
        <v>12116</v>
      </c>
      <c r="FO10" s="231">
        <f t="shared" si="28"/>
        <v>28674.533333333333</v>
      </c>
      <c r="FP10" s="126"/>
      <c r="FQ10" s="552"/>
      <c r="FR10" s="692">
        <f t="shared" si="29"/>
        <v>0</v>
      </c>
      <c r="FS10" s="556"/>
      <c r="FT10" s="556"/>
      <c r="FU10" s="556"/>
      <c r="FV10" s="556"/>
      <c r="FW10" s="553"/>
      <c r="FX10" s="566"/>
      <c r="FY10" s="553"/>
      <c r="FZ10" s="553"/>
      <c r="GA10" s="122"/>
      <c r="GB10" s="122"/>
      <c r="GC10" s="122"/>
      <c r="GD10" s="122"/>
      <c r="GE10" s="122"/>
      <c r="GF10" s="114"/>
      <c r="GG10" s="122">
        <f t="shared" si="30"/>
        <v>41838</v>
      </c>
      <c r="GH10" s="677">
        <v>0</v>
      </c>
      <c r="GI10" s="122" t="s">
        <v>128</v>
      </c>
      <c r="GJ10" s="122"/>
      <c r="GK10" s="122"/>
      <c r="GL10" s="181" t="s">
        <v>294</v>
      </c>
      <c r="GM10" s="181"/>
      <c r="GN10" s="181" t="s">
        <v>128</v>
      </c>
      <c r="GO10" s="181"/>
      <c r="GP10" s="113">
        <v>42664</v>
      </c>
      <c r="GQ10" s="113"/>
      <c r="GR10" s="194"/>
      <c r="GS10" s="194"/>
      <c r="GT10" s="194" t="s">
        <v>128</v>
      </c>
      <c r="GU10" s="194" t="s">
        <v>128</v>
      </c>
      <c r="GV10" s="425"/>
      <c r="GW10" s="402"/>
      <c r="GX10" s="10">
        <v>4024614</v>
      </c>
      <c r="GY10" s="426">
        <f>HJ10+HO10+HV10+IO10+HT10+HZ10</f>
        <v>4024614</v>
      </c>
      <c r="GZ10" s="797">
        <f t="shared" si="31"/>
        <v>4024614</v>
      </c>
      <c r="HA10" s="12">
        <f t="shared" si="32"/>
        <v>0</v>
      </c>
      <c r="HB10" s="49">
        <f t="shared" si="33"/>
        <v>2100.0031307396894</v>
      </c>
      <c r="HC10" s="49">
        <f t="shared" si="34"/>
        <v>174983.21739130435</v>
      </c>
      <c r="HD10" s="10">
        <v>3671820</v>
      </c>
      <c r="HE10" s="11"/>
      <c r="HF10" s="12">
        <f t="shared" si="35"/>
        <v>-3671820</v>
      </c>
      <c r="HG10" s="127">
        <f t="shared" si="36"/>
        <v>0.93150006932341833</v>
      </c>
      <c r="HH10" s="128"/>
      <c r="HI10" s="10">
        <v>1191366</v>
      </c>
      <c r="HJ10" s="15">
        <v>1191366</v>
      </c>
      <c r="HK10" s="66"/>
      <c r="HL10" s="23">
        <f t="shared" si="37"/>
        <v>51798.521739130432</v>
      </c>
      <c r="HM10" s="37">
        <f t="shared" si="38"/>
        <v>0</v>
      </c>
      <c r="HN10" s="10">
        <v>2593661</v>
      </c>
      <c r="HO10" s="11">
        <f t="shared" si="39"/>
        <v>2593661</v>
      </c>
      <c r="HP10" s="13">
        <v>592565</v>
      </c>
      <c r="HQ10" s="13">
        <v>2001096</v>
      </c>
      <c r="HR10" s="37">
        <f t="shared" si="40"/>
        <v>0</v>
      </c>
      <c r="HS10" s="629">
        <f t="shared" si="41"/>
        <v>112767.86956521739</v>
      </c>
      <c r="HT10" s="11">
        <v>0</v>
      </c>
      <c r="HU10" s="428">
        <v>239587</v>
      </c>
      <c r="HV10" s="15">
        <v>239587</v>
      </c>
      <c r="HW10" s="66"/>
      <c r="HX10" s="40">
        <f t="shared" si="42"/>
        <v>5.9530429502059078E-2</v>
      </c>
      <c r="HY10" s="303"/>
      <c r="HZ10" s="15">
        <v>0</v>
      </c>
      <c r="IA10" s="24">
        <f t="shared" si="52"/>
        <v>0</v>
      </c>
      <c r="IB10" s="23">
        <f t="shared" si="43"/>
        <v>10416.826086956522</v>
      </c>
      <c r="IC10" s="49">
        <f t="shared" si="44"/>
        <v>62215.34782608696</v>
      </c>
      <c r="ID10" s="24">
        <f t="shared" si="45"/>
        <v>0</v>
      </c>
      <c r="IE10" s="48"/>
      <c r="IF10" s="48"/>
      <c r="IG10" s="39">
        <v>0</v>
      </c>
      <c r="IH10" s="39">
        <v>0</v>
      </c>
      <c r="II10" s="23">
        <f t="shared" si="46"/>
        <v>62215.34782608696</v>
      </c>
      <c r="IJ10" s="39">
        <v>0</v>
      </c>
      <c r="IK10" s="23">
        <f t="shared" si="47"/>
        <v>62215.34782608696</v>
      </c>
      <c r="IL10" s="50">
        <f t="shared" si="48"/>
        <v>0.3555503707933233</v>
      </c>
      <c r="IM10" s="39"/>
      <c r="IN10" s="39"/>
      <c r="IO10" s="11">
        <v>0</v>
      </c>
      <c r="IP10" s="41">
        <f t="shared" si="49"/>
        <v>4024614</v>
      </c>
      <c r="IQ10" s="231"/>
      <c r="IR10" s="231">
        <f t="shared" si="50"/>
        <v>0</v>
      </c>
      <c r="IS10" s="113"/>
      <c r="IT10" s="231"/>
      <c r="IU10" s="231"/>
      <c r="IV10" s="113"/>
      <c r="IW10" s="113"/>
      <c r="IX10" s="231"/>
      <c r="IY10" s="113"/>
      <c r="IZ10" s="231"/>
      <c r="JA10" s="113"/>
      <c r="JB10" s="231"/>
      <c r="JC10" s="114"/>
      <c r="JD10" s="321"/>
      <c r="JE10" s="313"/>
      <c r="JF10" s="313"/>
      <c r="JG10" s="122"/>
      <c r="JH10" s="231"/>
      <c r="JI10" s="122"/>
      <c r="JJ10" s="231"/>
      <c r="JK10" s="322"/>
      <c r="JL10" s="322"/>
      <c r="JM10" s="322"/>
      <c r="JN10" s="322"/>
      <c r="JO10" s="269"/>
      <c r="JP10" s="269"/>
      <c r="JQ10" s="269"/>
      <c r="JR10" s="269"/>
      <c r="JS10" s="269"/>
      <c r="JT10" s="269"/>
      <c r="JU10" s="231"/>
      <c r="JV10" s="122"/>
      <c r="JW10" s="114"/>
      <c r="JX10" s="122"/>
      <c r="JY10" s="122"/>
      <c r="JZ10" s="114"/>
    </row>
    <row r="11" spans="1:286" ht="15" customHeight="1">
      <c r="A11" s="20" t="s">
        <v>72</v>
      </c>
      <c r="B11" s="54"/>
      <c r="C11" s="7" t="s">
        <v>39</v>
      </c>
      <c r="D11" s="7" t="s">
        <v>114</v>
      </c>
      <c r="E11" s="7">
        <v>2012</v>
      </c>
      <c r="F11" s="7" t="s">
        <v>78</v>
      </c>
      <c r="G11" s="7" t="s">
        <v>30</v>
      </c>
      <c r="H11" s="765"/>
      <c r="I11" s="7" t="s">
        <v>250</v>
      </c>
      <c r="J11" s="53" t="s">
        <v>120</v>
      </c>
      <c r="K11" s="53"/>
      <c r="L11" s="255"/>
      <c r="M11" s="154"/>
      <c r="N11" s="154"/>
      <c r="O11" s="154"/>
      <c r="P11" s="207">
        <v>2671</v>
      </c>
      <c r="Q11" s="207">
        <v>176000</v>
      </c>
      <c r="R11" s="207">
        <v>110833</v>
      </c>
      <c r="S11" s="207">
        <f t="shared" si="54"/>
        <v>12571.428571428571</v>
      </c>
      <c r="T11" s="207">
        <f t="shared" si="55"/>
        <v>65.89292399850244</v>
      </c>
      <c r="U11" s="207">
        <f t="shared" si="56"/>
        <v>41.494945713216026</v>
      </c>
      <c r="V11" s="207">
        <f t="shared" si="57"/>
        <v>99.936881779573142</v>
      </c>
      <c r="W11" s="207">
        <f t="shared" si="58"/>
        <v>7916.6428571428569</v>
      </c>
      <c r="X11" s="207">
        <f t="shared" si="59"/>
        <v>190.78571428571428</v>
      </c>
      <c r="Y11" s="208">
        <v>748.11</v>
      </c>
      <c r="Z11" s="904">
        <f t="shared" si="51"/>
        <v>52.414825907899662</v>
      </c>
      <c r="AA11" s="208" t="s">
        <v>206</v>
      </c>
      <c r="AB11" s="210"/>
      <c r="AC11" s="210"/>
      <c r="AD11" s="7" t="s">
        <v>16</v>
      </c>
      <c r="AE11" s="771">
        <f t="shared" si="0"/>
        <v>14</v>
      </c>
      <c r="AF11" s="771">
        <f t="shared" si="1"/>
        <v>14</v>
      </c>
      <c r="AG11" s="8"/>
      <c r="AH11" s="7">
        <v>14</v>
      </c>
      <c r="AI11" s="53"/>
      <c r="AJ11" s="53"/>
      <c r="AK11" s="57"/>
      <c r="AL11" s="9">
        <v>1109.03</v>
      </c>
      <c r="AM11" s="57"/>
      <c r="AN11" s="82">
        <v>1109.03</v>
      </c>
      <c r="AO11" s="9">
        <f t="shared" si="2"/>
        <v>79.216428571428565</v>
      </c>
      <c r="AP11" s="78">
        <f>3/AE11</f>
        <v>0.21428571428571427</v>
      </c>
      <c r="AQ11" s="78">
        <f>3/AE11</f>
        <v>0.21428571428571427</v>
      </c>
      <c r="AR11" s="78">
        <f>6/AE11</f>
        <v>0.42857142857142855</v>
      </c>
      <c r="AS11" s="78">
        <f>1/AE11</f>
        <v>7.1428571428571425E-2</v>
      </c>
      <c r="AT11" s="78">
        <f>1/AE11</f>
        <v>7.1428571428571425E-2</v>
      </c>
      <c r="AU11" s="9">
        <v>1000</v>
      </c>
      <c r="AV11" s="106"/>
      <c r="AW11" s="78">
        <f t="shared" si="53"/>
        <v>0</v>
      </c>
      <c r="AX11" s="57">
        <v>3</v>
      </c>
      <c r="AY11" s="56" t="s">
        <v>549</v>
      </c>
      <c r="AZ11" s="9" t="s">
        <v>121</v>
      </c>
      <c r="BA11" s="57"/>
      <c r="BB11" s="57"/>
      <c r="BC11" s="57"/>
      <c r="BD11" s="184"/>
      <c r="BE11" s="184">
        <v>40963</v>
      </c>
      <c r="BF11" s="418" t="s">
        <v>11</v>
      </c>
      <c r="BG11" s="418" t="s">
        <v>229</v>
      </c>
      <c r="BH11" s="1"/>
      <c r="BI11" s="204">
        <v>41170</v>
      </c>
      <c r="BJ11" s="99"/>
      <c r="BK11" s="99"/>
      <c r="BL11" s="204">
        <v>41248</v>
      </c>
      <c r="BM11" s="99"/>
      <c r="BN11" s="422"/>
      <c r="BO11" s="201"/>
      <c r="BP11" s="102"/>
      <c r="BQ11" s="102"/>
      <c r="BR11" s="297"/>
      <c r="BS11" s="298">
        <f t="shared" si="3"/>
        <v>731</v>
      </c>
      <c r="BT11" s="298">
        <f t="shared" si="4"/>
        <v>1096</v>
      </c>
      <c r="BU11" s="298"/>
      <c r="BV11" s="298" t="str">
        <f>IF(FK11&lt;$BS$11,"oui","non")</f>
        <v>non</v>
      </c>
      <c r="BW11" s="672" t="e">
        <f t="shared" si="5"/>
        <v>#NUM!</v>
      </c>
      <c r="BX11" s="672" t="e">
        <f t="shared" si="6"/>
        <v>#NUM!</v>
      </c>
      <c r="BY11" s="672" t="e">
        <f t="shared" si="7"/>
        <v>#NUM!</v>
      </c>
      <c r="BZ11" s="820"/>
      <c r="CA11" s="821"/>
      <c r="CB11" s="820"/>
      <c r="CC11" s="820"/>
      <c r="CD11" s="820"/>
      <c r="CE11" s="820"/>
      <c r="CF11" s="822"/>
      <c r="CG11" s="822"/>
      <c r="CH11" s="822"/>
      <c r="CI11" s="822"/>
      <c r="CJ11" s="822"/>
      <c r="CK11" s="822"/>
      <c r="CL11" s="822"/>
      <c r="CM11" s="822"/>
      <c r="CN11" s="822"/>
      <c r="CO11" s="822"/>
      <c r="CP11" s="822"/>
      <c r="CQ11" s="822"/>
      <c r="CR11" s="822"/>
      <c r="CS11" s="156" t="s">
        <v>68</v>
      </c>
      <c r="CT11" s="307">
        <v>41255</v>
      </c>
      <c r="CU11" s="250"/>
      <c r="CV11" s="157">
        <v>2312263.67</v>
      </c>
      <c r="CW11" s="581">
        <f t="shared" ref="CW11:CW34" si="61">DATE(YEAR(CT11),MONTH(CT11)+18,DAY(CT11))</f>
        <v>41802</v>
      </c>
      <c r="CX11" s="405"/>
      <c r="CY11" s="340">
        <v>41467</v>
      </c>
      <c r="CZ11" s="250">
        <v>41897</v>
      </c>
      <c r="DA11" s="597">
        <f t="shared" si="60"/>
        <v>1.6666666666666667</v>
      </c>
      <c r="DB11" s="122"/>
      <c r="DC11" s="114"/>
      <c r="DD11" s="114"/>
      <c r="DE11" s="523" t="str">
        <f t="shared" si="8"/>
        <v>0</v>
      </c>
      <c r="DF11" s="122"/>
      <c r="DG11" s="122"/>
      <c r="DH11" s="523" t="str">
        <f t="shared" si="9"/>
        <v>0</v>
      </c>
      <c r="DI11" s="125"/>
      <c r="DJ11" s="122"/>
      <c r="DK11" s="523" t="str">
        <f t="shared" si="10"/>
        <v>0</v>
      </c>
      <c r="DL11" s="125"/>
      <c r="DM11" s="122"/>
      <c r="DN11" s="523" t="str">
        <f t="shared" si="11"/>
        <v>0</v>
      </c>
      <c r="DO11" s="125"/>
      <c r="DP11" s="569"/>
      <c r="DQ11" s="523" t="str">
        <f t="shared" si="12"/>
        <v>0</v>
      </c>
      <c r="DR11" s="453"/>
      <c r="DS11" s="231"/>
      <c r="DT11" s="533"/>
      <c r="DU11" s="528"/>
      <c r="DV11" s="529" t="str">
        <f t="shared" si="13"/>
        <v>0</v>
      </c>
      <c r="DW11" s="533"/>
      <c r="DX11" s="349">
        <v>41309</v>
      </c>
      <c r="DY11" s="341">
        <v>2013</v>
      </c>
      <c r="DZ11" s="443">
        <f t="shared" si="14"/>
        <v>4.6333333333333337</v>
      </c>
      <c r="EA11" s="529" t="str">
        <f t="shared" si="15"/>
        <v>0</v>
      </c>
      <c r="EB11" s="116">
        <v>13</v>
      </c>
      <c r="EC11" s="116">
        <f t="shared" si="16"/>
        <v>20</v>
      </c>
      <c r="ED11" s="315"/>
      <c r="EE11" s="314"/>
      <c r="EF11" s="685" t="str">
        <f t="shared" si="17"/>
        <v>0</v>
      </c>
      <c r="EG11" s="698"/>
      <c r="EH11" s="613"/>
      <c r="EI11" s="614" t="str">
        <f t="shared" si="18"/>
        <v>0</v>
      </c>
      <c r="EJ11" s="254"/>
      <c r="EK11" s="315"/>
      <c r="EL11" s="685" t="str">
        <f t="shared" si="19"/>
        <v>0</v>
      </c>
      <c r="EM11" s="314"/>
      <c r="EN11" s="315"/>
      <c r="EO11" s="685" t="str">
        <f t="shared" si="20"/>
        <v>0</v>
      </c>
      <c r="EP11" s="322"/>
      <c r="EQ11" s="322"/>
      <c r="ER11" s="685" t="str">
        <f t="shared" si="21"/>
        <v>0</v>
      </c>
      <c r="ES11" s="322"/>
      <c r="ET11" s="323"/>
      <c r="EU11" s="685" t="str">
        <f t="shared" si="22"/>
        <v>0</v>
      </c>
      <c r="EV11" s="323"/>
      <c r="EW11" s="323"/>
      <c r="EX11" s="685" t="str">
        <f t="shared" si="23"/>
        <v>0</v>
      </c>
      <c r="EY11" s="323"/>
      <c r="EZ11" s="323"/>
      <c r="FA11" s="323"/>
      <c r="FB11" s="455">
        <f t="shared" si="24"/>
        <v>41702</v>
      </c>
      <c r="FC11" s="349">
        <v>41943</v>
      </c>
      <c r="FD11" s="707">
        <f t="shared" si="25"/>
        <v>8.0333333333333332</v>
      </c>
      <c r="FE11" s="455"/>
      <c r="FF11" s="115">
        <v>41983</v>
      </c>
      <c r="FG11" s="115" t="s">
        <v>128</v>
      </c>
      <c r="FH11" s="115">
        <v>41949</v>
      </c>
      <c r="FI11" s="455"/>
      <c r="FJ11" s="455">
        <f t="shared" si="26"/>
        <v>41733</v>
      </c>
      <c r="FK11" s="349">
        <v>41947</v>
      </c>
      <c r="FL11" s="590">
        <v>2014</v>
      </c>
      <c r="FM11" s="704">
        <f t="shared" si="27"/>
        <v>7.1333333333333337</v>
      </c>
      <c r="FN11" s="694">
        <f>69329.9630502528/12</f>
        <v>5777.4969208543998</v>
      </c>
      <c r="FO11" s="231">
        <f t="shared" si="28"/>
        <v>41212.811368761388</v>
      </c>
      <c r="FP11" s="115"/>
      <c r="FQ11" s="552"/>
      <c r="FR11" s="692">
        <f t="shared" si="29"/>
        <v>123760</v>
      </c>
      <c r="FS11" s="556"/>
      <c r="FT11" s="556"/>
      <c r="FU11" s="556"/>
      <c r="FV11" s="556"/>
      <c r="FW11" s="553"/>
      <c r="FX11" s="566" t="s">
        <v>718</v>
      </c>
      <c r="FY11" s="553"/>
      <c r="FZ11" s="553"/>
      <c r="GA11" s="122"/>
      <c r="GB11" s="122"/>
      <c r="GC11" s="122"/>
      <c r="GD11" s="122"/>
      <c r="GE11" s="122" t="s">
        <v>128</v>
      </c>
      <c r="GF11" s="114"/>
      <c r="GG11" s="315" t="s">
        <v>171</v>
      </c>
      <c r="GH11" s="677">
        <v>19707.689999999999</v>
      </c>
      <c r="GI11" s="194">
        <v>41969</v>
      </c>
      <c r="GJ11" s="194">
        <v>41984</v>
      </c>
      <c r="GK11" s="194">
        <v>42324</v>
      </c>
      <c r="GL11" s="194">
        <v>42324</v>
      </c>
      <c r="GM11" s="194"/>
      <c r="GN11" s="122" t="s">
        <v>168</v>
      </c>
      <c r="GO11" s="122">
        <v>42426</v>
      </c>
      <c r="GP11" s="194">
        <v>42906</v>
      </c>
      <c r="GQ11" s="194"/>
      <c r="GR11" s="194" t="s">
        <v>128</v>
      </c>
      <c r="GS11" s="121"/>
      <c r="GT11" s="194">
        <v>42426</v>
      </c>
      <c r="GU11" s="194"/>
      <c r="GV11" s="155"/>
      <c r="GW11" s="575"/>
      <c r="GX11" s="10">
        <v>2368881</v>
      </c>
      <c r="GY11" s="426">
        <f>HJ11+HO11+HV11+IO11+HT11+HZ11+HW11</f>
        <v>2368881</v>
      </c>
      <c r="GZ11" s="797">
        <f t="shared" si="31"/>
        <v>2368881</v>
      </c>
      <c r="HA11" s="12">
        <f t="shared" si="32"/>
        <v>0</v>
      </c>
      <c r="HB11" s="49">
        <f t="shared" si="33"/>
        <v>2135.9936160428483</v>
      </c>
      <c r="HC11" s="49">
        <f t="shared" si="34"/>
        <v>169205.78571428571</v>
      </c>
      <c r="HD11" s="10"/>
      <c r="HE11" s="11">
        <v>2068826</v>
      </c>
      <c r="HF11" s="12">
        <f t="shared" si="35"/>
        <v>2068826</v>
      </c>
      <c r="HG11" s="127">
        <f t="shared" si="36"/>
        <v>0</v>
      </c>
      <c r="HH11" s="128"/>
      <c r="HI11" s="10">
        <v>745095</v>
      </c>
      <c r="HJ11" s="11">
        <v>745095</v>
      </c>
      <c r="HK11" s="67"/>
      <c r="HL11" s="23">
        <f t="shared" si="37"/>
        <v>53221.071428571428</v>
      </c>
      <c r="HM11" s="37">
        <f t="shared" si="38"/>
        <v>0</v>
      </c>
      <c r="HN11" s="10">
        <v>1240121</v>
      </c>
      <c r="HO11" s="11">
        <f t="shared" si="39"/>
        <v>1240121</v>
      </c>
      <c r="HP11" s="13">
        <v>347814</v>
      </c>
      <c r="HQ11" s="13">
        <v>892307</v>
      </c>
      <c r="HR11" s="37">
        <f t="shared" si="40"/>
        <v>0</v>
      </c>
      <c r="HS11" s="629">
        <f t="shared" si="41"/>
        <v>88580.071428571435</v>
      </c>
      <c r="HT11" s="11">
        <v>100000</v>
      </c>
      <c r="HU11" s="10">
        <f>89905+70000</f>
        <v>159905</v>
      </c>
      <c r="HV11" s="15">
        <v>89905</v>
      </c>
      <c r="HW11" s="66">
        <v>70000</v>
      </c>
      <c r="HX11" s="40">
        <f t="shared" si="42"/>
        <v>3.7952518509794288E-2</v>
      </c>
      <c r="HY11" s="303"/>
      <c r="HZ11" s="15">
        <v>0</v>
      </c>
      <c r="IA11" s="24">
        <f>HV11-HU11+HW11</f>
        <v>0</v>
      </c>
      <c r="IB11" s="23">
        <f t="shared" si="43"/>
        <v>6421.7857142857147</v>
      </c>
      <c r="IC11" s="49">
        <f t="shared" si="44"/>
        <v>59642.857142857145</v>
      </c>
      <c r="ID11" s="24">
        <f t="shared" si="45"/>
        <v>0</v>
      </c>
      <c r="IE11" s="48"/>
      <c r="IF11" s="48"/>
      <c r="IG11" s="39">
        <v>339632.49384750001</v>
      </c>
      <c r="IH11" s="39">
        <v>210000</v>
      </c>
      <c r="II11" s="23">
        <f t="shared" si="46"/>
        <v>74642.857142857145</v>
      </c>
      <c r="IJ11" s="39">
        <v>0</v>
      </c>
      <c r="IK11" s="23">
        <f t="shared" si="47"/>
        <v>74642.857142857145</v>
      </c>
      <c r="IL11" s="50">
        <f t="shared" si="48"/>
        <v>0.40351792401683728</v>
      </c>
      <c r="IM11" s="39">
        <v>118789.62334999999</v>
      </c>
      <c r="IN11" s="39"/>
      <c r="IO11" s="432">
        <v>123760</v>
      </c>
      <c r="IP11" s="41">
        <f t="shared" si="49"/>
        <v>2708513.4938475001</v>
      </c>
      <c r="IQ11" s="231"/>
      <c r="IR11" s="231">
        <f t="shared" si="50"/>
        <v>0</v>
      </c>
      <c r="IS11" s="113"/>
      <c r="IT11" s="231"/>
      <c r="IU11" s="231"/>
      <c r="IV11" s="113"/>
      <c r="IW11" s="113"/>
      <c r="IX11" s="231"/>
      <c r="IY11" s="113"/>
      <c r="IZ11" s="231"/>
      <c r="JA11" s="113"/>
      <c r="JB11" s="231"/>
      <c r="JC11" s="114"/>
      <c r="JD11" s="321"/>
      <c r="JE11" s="313"/>
      <c r="JF11" s="313"/>
      <c r="JG11" s="122"/>
      <c r="JH11" s="231"/>
      <c r="JI11" s="122"/>
      <c r="JJ11" s="231"/>
      <c r="JK11" s="322"/>
      <c r="JL11" s="322"/>
      <c r="JM11" s="322"/>
      <c r="JN11" s="322"/>
      <c r="JO11" s="269"/>
      <c r="JP11" s="269"/>
      <c r="JQ11" s="269"/>
      <c r="JR11" s="269"/>
      <c r="JS11" s="269"/>
      <c r="JT11" s="269"/>
      <c r="JU11" s="231"/>
      <c r="JV11" s="122"/>
      <c r="JW11" s="114"/>
      <c r="JX11" s="122"/>
      <c r="JY11" s="122"/>
      <c r="JZ11" s="114"/>
    </row>
    <row r="12" spans="1:286" ht="15" customHeight="1">
      <c r="A12" s="83" t="s">
        <v>971</v>
      </c>
      <c r="B12" s="98"/>
      <c r="C12" s="7" t="s">
        <v>35</v>
      </c>
      <c r="D12" s="7" t="s">
        <v>112</v>
      </c>
      <c r="E12" s="7">
        <v>2012</v>
      </c>
      <c r="F12" s="7" t="s">
        <v>84</v>
      </c>
      <c r="G12" s="7" t="s">
        <v>378</v>
      </c>
      <c r="H12" s="765" t="s">
        <v>610</v>
      </c>
      <c r="I12" s="7" t="s">
        <v>250</v>
      </c>
      <c r="J12" s="53"/>
      <c r="K12" s="53"/>
      <c r="L12" s="395" t="s">
        <v>585</v>
      </c>
      <c r="M12" s="154"/>
      <c r="N12" s="154"/>
      <c r="O12" s="154"/>
      <c r="P12" s="207">
        <v>12495</v>
      </c>
      <c r="Q12" s="207">
        <v>825000</v>
      </c>
      <c r="R12" s="207">
        <v>546365</v>
      </c>
      <c r="S12" s="207">
        <f t="shared" si="54"/>
        <v>12692.307692307691</v>
      </c>
      <c r="T12" s="207">
        <f t="shared" si="55"/>
        <v>66.026410564225685</v>
      </c>
      <c r="U12" s="207">
        <f t="shared" si="56"/>
        <v>43.726690676270508</v>
      </c>
      <c r="V12" s="207">
        <f t="shared" si="57"/>
        <v>102.74383478695837</v>
      </c>
      <c r="W12" s="207">
        <f t="shared" si="58"/>
        <v>8405.6153846153848</v>
      </c>
      <c r="X12" s="207">
        <f t="shared" si="59"/>
        <v>192.23076923076923</v>
      </c>
      <c r="Y12" s="207"/>
      <c r="Z12" s="904">
        <f t="shared" si="51"/>
        <v>52.020808323329334</v>
      </c>
      <c r="AA12" s="208" t="s">
        <v>206</v>
      </c>
      <c r="AB12" s="210">
        <v>850</v>
      </c>
      <c r="AC12" s="211"/>
      <c r="AD12" s="7" t="s">
        <v>16</v>
      </c>
      <c r="AE12" s="771">
        <f t="shared" si="0"/>
        <v>65</v>
      </c>
      <c r="AF12" s="771">
        <f t="shared" si="1"/>
        <v>65</v>
      </c>
      <c r="AG12" s="8"/>
      <c r="AH12" s="7">
        <v>65</v>
      </c>
      <c r="AI12" s="53"/>
      <c r="AJ12" s="53"/>
      <c r="AK12" s="675"/>
      <c r="AL12" s="9">
        <v>5311.74</v>
      </c>
      <c r="AM12" s="57"/>
      <c r="AN12" s="82">
        <v>5317.74</v>
      </c>
      <c r="AO12" s="9">
        <f t="shared" si="2"/>
        <v>81.811384615384611</v>
      </c>
      <c r="AP12" s="78">
        <f>0/AE12</f>
        <v>0</v>
      </c>
      <c r="AQ12" s="78">
        <f>19/AE12</f>
        <v>0.29230769230769232</v>
      </c>
      <c r="AR12" s="78">
        <f>20/AE12</f>
        <v>0.30769230769230771</v>
      </c>
      <c r="AS12" s="78">
        <f>23/AE12</f>
        <v>0.35384615384615387</v>
      </c>
      <c r="AT12" s="78">
        <f>3/AE12</f>
        <v>4.6153846153846156E-2</v>
      </c>
      <c r="AU12" s="9" t="s">
        <v>203</v>
      </c>
      <c r="AV12" s="76">
        <v>2000</v>
      </c>
      <c r="AW12" s="78">
        <f t="shared" si="53"/>
        <v>0.1600640256102441</v>
      </c>
      <c r="AX12" s="57">
        <v>2.5</v>
      </c>
      <c r="AY12" s="56" t="s">
        <v>549</v>
      </c>
      <c r="AZ12" s="9" t="s">
        <v>120</v>
      </c>
      <c r="BA12" s="57"/>
      <c r="BB12" s="57"/>
      <c r="BC12" s="57"/>
      <c r="BD12" s="53"/>
      <c r="BE12" s="184">
        <v>40963</v>
      </c>
      <c r="BF12" s="418" t="s">
        <v>12</v>
      </c>
      <c r="BG12" s="418" t="s">
        <v>230</v>
      </c>
      <c r="BH12" s="1"/>
      <c r="BI12" s="204">
        <v>41091</v>
      </c>
      <c r="BJ12" s="99"/>
      <c r="BK12" s="99"/>
      <c r="BL12" s="204">
        <v>41134</v>
      </c>
      <c r="BM12" s="99"/>
      <c r="BN12" s="422"/>
      <c r="BO12" s="201"/>
      <c r="BP12" s="102"/>
      <c r="BQ12" s="102"/>
      <c r="BR12" s="298">
        <v>41319</v>
      </c>
      <c r="BS12" s="298">
        <f t="shared" si="3"/>
        <v>42049</v>
      </c>
      <c r="BT12" s="298">
        <f t="shared" si="4"/>
        <v>42414</v>
      </c>
      <c r="BU12" s="298"/>
      <c r="BV12" s="298" t="str">
        <f>IF(FK12&gt;BS12,"oui","non")</f>
        <v>oui</v>
      </c>
      <c r="BW12" s="672" t="e">
        <f t="shared" si="5"/>
        <v>#NUM!</v>
      </c>
      <c r="BX12" s="672" t="e">
        <f t="shared" si="6"/>
        <v>#NUM!</v>
      </c>
      <c r="BY12" s="672" t="e">
        <f t="shared" si="7"/>
        <v>#NUM!</v>
      </c>
      <c r="BZ12" s="820"/>
      <c r="CA12" s="821"/>
      <c r="CB12" s="820"/>
      <c r="CC12" s="820"/>
      <c r="CD12" s="820"/>
      <c r="CE12" s="820"/>
      <c r="CF12" s="822"/>
      <c r="CG12" s="822"/>
      <c r="CH12" s="822"/>
      <c r="CI12" s="822"/>
      <c r="CJ12" s="822"/>
      <c r="CK12" s="822"/>
      <c r="CL12" s="822"/>
      <c r="CM12" s="822"/>
      <c r="CN12" s="822"/>
      <c r="CO12" s="822"/>
      <c r="CP12" s="822"/>
      <c r="CQ12" s="822"/>
      <c r="CR12" s="822"/>
      <c r="CS12" s="156" t="s">
        <v>144</v>
      </c>
      <c r="CT12" s="307">
        <v>41261</v>
      </c>
      <c r="CU12" s="250"/>
      <c r="CV12" s="157">
        <v>9654414.4900000002</v>
      </c>
      <c r="CW12" s="581">
        <f t="shared" si="61"/>
        <v>41808</v>
      </c>
      <c r="CX12" s="405">
        <f>DATE(YEAR(CT12),MONTH(CT12)+24,DAY(CT12))</f>
        <v>41991</v>
      </c>
      <c r="CY12" s="340">
        <v>41785</v>
      </c>
      <c r="CZ12" s="250">
        <v>41927</v>
      </c>
      <c r="DA12" s="597">
        <f t="shared" si="60"/>
        <v>31.733333333333334</v>
      </c>
      <c r="DB12" s="122"/>
      <c r="DC12" s="114"/>
      <c r="DD12" s="114"/>
      <c r="DE12" s="523" t="str">
        <f t="shared" si="8"/>
        <v>0</v>
      </c>
      <c r="DF12" s="122"/>
      <c r="DG12" s="122"/>
      <c r="DH12" s="523" t="str">
        <f t="shared" si="9"/>
        <v>0</v>
      </c>
      <c r="DI12" s="125"/>
      <c r="DJ12" s="122"/>
      <c r="DK12" s="523" t="str">
        <f t="shared" si="10"/>
        <v>0</v>
      </c>
      <c r="DL12" s="125"/>
      <c r="DM12" s="122"/>
      <c r="DN12" s="523" t="str">
        <f t="shared" si="11"/>
        <v>0</v>
      </c>
      <c r="DO12" s="125"/>
      <c r="DP12" s="569"/>
      <c r="DQ12" s="523" t="str">
        <f t="shared" si="12"/>
        <v>0</v>
      </c>
      <c r="DR12" s="238"/>
      <c r="DS12" s="231"/>
      <c r="DT12" s="533"/>
      <c r="DU12" s="528"/>
      <c r="DV12" s="529" t="str">
        <f t="shared" si="13"/>
        <v>0</v>
      </c>
      <c r="DW12" s="533"/>
      <c r="DX12" s="347">
        <v>41320</v>
      </c>
      <c r="DY12" s="341">
        <v>2013</v>
      </c>
      <c r="DZ12" s="443">
        <f t="shared" si="14"/>
        <v>7.6333333333333337</v>
      </c>
      <c r="EA12" s="529" t="str">
        <f t="shared" si="15"/>
        <v>0</v>
      </c>
      <c r="EB12" s="116">
        <v>21</v>
      </c>
      <c r="EC12" s="116">
        <f t="shared" si="16"/>
        <v>51</v>
      </c>
      <c r="ED12" s="122"/>
      <c r="EE12" s="231"/>
      <c r="EF12" s="523" t="str">
        <f t="shared" si="17"/>
        <v>0</v>
      </c>
      <c r="EG12" s="570"/>
      <c r="EH12" s="567"/>
      <c r="EI12" s="526" t="str">
        <f t="shared" si="18"/>
        <v>0</v>
      </c>
      <c r="EJ12" s="125"/>
      <c r="EK12" s="315"/>
      <c r="EL12" s="523" t="str">
        <f t="shared" si="19"/>
        <v>0</v>
      </c>
      <c r="EM12" s="231"/>
      <c r="EN12" s="122"/>
      <c r="EO12" s="523" t="str">
        <f t="shared" si="20"/>
        <v>0</v>
      </c>
      <c r="EP12" s="114"/>
      <c r="EQ12" s="114"/>
      <c r="ER12" s="523" t="str">
        <f t="shared" si="21"/>
        <v>0</v>
      </c>
      <c r="ES12" s="114"/>
      <c r="ET12" s="114"/>
      <c r="EU12" s="523" t="str">
        <f t="shared" si="22"/>
        <v>0</v>
      </c>
      <c r="EV12" s="114"/>
      <c r="EW12" s="114"/>
      <c r="EX12" s="523" t="str">
        <f t="shared" si="23"/>
        <v>0</v>
      </c>
      <c r="EY12" s="114"/>
      <c r="EZ12" s="114"/>
      <c r="FA12" s="114"/>
      <c r="FB12" s="572">
        <f t="shared" si="24"/>
        <v>41958</v>
      </c>
      <c r="FC12" s="348">
        <v>42875</v>
      </c>
      <c r="FD12" s="707">
        <f t="shared" si="25"/>
        <v>30.566666666666666</v>
      </c>
      <c r="FE12" s="455">
        <f>DATE(YEAR(CY12)+2,MONTH(CY12),DAY(CY12))</f>
        <v>42516</v>
      </c>
      <c r="FF12" s="115">
        <v>42879</v>
      </c>
      <c r="FG12" s="115">
        <v>42535</v>
      </c>
      <c r="FH12" s="115">
        <v>42864</v>
      </c>
      <c r="FI12" s="455"/>
      <c r="FJ12" s="455">
        <f t="shared" si="26"/>
        <v>41988</v>
      </c>
      <c r="FK12" s="349">
        <v>42879</v>
      </c>
      <c r="FL12" s="343">
        <v>2017</v>
      </c>
      <c r="FM12" s="704">
        <f t="shared" si="27"/>
        <v>29.7</v>
      </c>
      <c r="FN12" s="444">
        <f>329858.71178776/12</f>
        <v>27488.225982313335</v>
      </c>
      <c r="FO12" s="314">
        <f t="shared" si="28"/>
        <v>816400.31167470606</v>
      </c>
      <c r="FP12" s="185" t="s">
        <v>128</v>
      </c>
      <c r="FQ12" s="552"/>
      <c r="FR12" s="692">
        <f t="shared" si="29"/>
        <v>36111</v>
      </c>
      <c r="FS12" s="556"/>
      <c r="FT12" s="556"/>
      <c r="FU12" s="556"/>
      <c r="FV12" s="556"/>
      <c r="FW12" s="553"/>
      <c r="FX12" s="566" t="s">
        <v>719</v>
      </c>
      <c r="FY12" s="553"/>
      <c r="FZ12" s="553"/>
      <c r="GA12" s="121"/>
      <c r="GB12" s="235" t="s">
        <v>128</v>
      </c>
      <c r="GC12" s="121"/>
      <c r="GD12" s="121"/>
      <c r="GE12" s="194">
        <v>43186</v>
      </c>
      <c r="GF12" s="398" t="s">
        <v>312</v>
      </c>
      <c r="GG12" s="315">
        <f>DATE(YEAR(FC12)+1,MONTH(FC12),DAY(FC12))</f>
        <v>43240</v>
      </c>
      <c r="GH12" s="677">
        <v>206245</v>
      </c>
      <c r="GI12" s="194" t="s">
        <v>128</v>
      </c>
      <c r="GJ12" s="194">
        <v>42907</v>
      </c>
      <c r="GK12" s="121"/>
      <c r="GL12" s="121"/>
      <c r="GM12" s="316">
        <v>43185</v>
      </c>
      <c r="GN12" s="121"/>
      <c r="GO12" s="181" t="s">
        <v>589</v>
      </c>
      <c r="GP12" s="183" t="s">
        <v>773</v>
      </c>
      <c r="GQ12" s="53"/>
      <c r="GR12" s="316">
        <v>43223</v>
      </c>
      <c r="GS12" s="114" t="s">
        <v>128</v>
      </c>
      <c r="GT12" s="121"/>
      <c r="GU12" s="121"/>
      <c r="GV12" s="155"/>
      <c r="GW12" s="610">
        <v>9682468.3900000006</v>
      </c>
      <c r="GX12" s="10">
        <v>10302885.028743383</v>
      </c>
      <c r="GY12" s="426">
        <f>HJ12+HO12+HV12+IO12+HT12+HZ12+HY12</f>
        <v>10359154.550000001</v>
      </c>
      <c r="GZ12" s="797">
        <f t="shared" si="31"/>
        <v>10359154.550000001</v>
      </c>
      <c r="HA12" s="12">
        <f t="shared" si="32"/>
        <v>56269.521256618202</v>
      </c>
      <c r="HB12" s="49">
        <f t="shared" si="33"/>
        <v>1950.2375022120814</v>
      </c>
      <c r="HC12" s="49">
        <f t="shared" si="34"/>
        <v>159371.60846153848</v>
      </c>
      <c r="HD12" s="10">
        <v>9295451</v>
      </c>
      <c r="HE12" s="11"/>
      <c r="HF12" s="12">
        <f t="shared" si="35"/>
        <v>-9295451</v>
      </c>
      <c r="HG12" s="127">
        <f t="shared" si="36"/>
        <v>0.92116484310196667</v>
      </c>
      <c r="HH12" s="128"/>
      <c r="HI12" s="10">
        <v>3195831</v>
      </c>
      <c r="HJ12" s="11">
        <v>3195831</v>
      </c>
      <c r="HK12" s="67"/>
      <c r="HL12" s="23">
        <f t="shared" si="37"/>
        <v>49166.630769230767</v>
      </c>
      <c r="HM12" s="37">
        <f t="shared" si="38"/>
        <v>0</v>
      </c>
      <c r="HN12" s="10">
        <v>6112292.5499999998</v>
      </c>
      <c r="HO12" s="11">
        <f t="shared" si="39"/>
        <v>6112292.5499999998</v>
      </c>
      <c r="HP12" s="13">
        <v>1264343</v>
      </c>
      <c r="HQ12" s="13">
        <v>4847949.55</v>
      </c>
      <c r="HR12" s="37">
        <f t="shared" si="40"/>
        <v>0</v>
      </c>
      <c r="HS12" s="629">
        <f t="shared" si="41"/>
        <v>94035.27</v>
      </c>
      <c r="HT12" s="11">
        <v>0</v>
      </c>
      <c r="HU12" s="10">
        <v>790394</v>
      </c>
      <c r="HV12" s="15">
        <v>790394</v>
      </c>
      <c r="HW12" s="66"/>
      <c r="HX12" s="40">
        <f t="shared" si="42"/>
        <v>7.6299083693079944E-2</v>
      </c>
      <c r="HY12" s="93">
        <v>224526</v>
      </c>
      <c r="HZ12" s="15">
        <v>0</v>
      </c>
      <c r="IA12" s="24">
        <f>HV12-HU12</f>
        <v>0</v>
      </c>
      <c r="IB12" s="23">
        <f t="shared" si="43"/>
        <v>12159.907692307692</v>
      </c>
      <c r="IC12" s="49">
        <f t="shared" si="44"/>
        <v>61326.538461538461</v>
      </c>
      <c r="ID12" s="24">
        <f t="shared" si="45"/>
        <v>0</v>
      </c>
      <c r="IE12" s="48"/>
      <c r="IF12" s="48"/>
      <c r="IG12" s="39">
        <v>1951680.4950927752</v>
      </c>
      <c r="IH12" s="39">
        <v>1300000</v>
      </c>
      <c r="II12" s="23">
        <f t="shared" si="46"/>
        <v>81326.538461538468</v>
      </c>
      <c r="IJ12" s="39">
        <v>0</v>
      </c>
      <c r="IK12" s="23">
        <f t="shared" si="47"/>
        <v>81326.538461538468</v>
      </c>
      <c r="IL12" s="50">
        <f t="shared" si="48"/>
        <v>0.44977679130011533</v>
      </c>
      <c r="IM12" s="39">
        <v>557838.66500000004</v>
      </c>
      <c r="IN12" s="431"/>
      <c r="IO12" s="432">
        <v>36111</v>
      </c>
      <c r="IP12" s="41">
        <f t="shared" si="49"/>
        <v>12310835.045092776</v>
      </c>
      <c r="IQ12" s="231"/>
      <c r="IR12" s="231">
        <f t="shared" si="50"/>
        <v>0</v>
      </c>
      <c r="IS12" s="113"/>
      <c r="IT12" s="231"/>
      <c r="IU12" s="231"/>
      <c r="IV12" s="113"/>
      <c r="IW12" s="113"/>
      <c r="IX12" s="231"/>
      <c r="IY12" s="113"/>
      <c r="IZ12" s="231"/>
      <c r="JA12" s="113"/>
      <c r="JB12" s="231"/>
      <c r="JC12" s="114"/>
      <c r="JD12" s="321"/>
      <c r="JE12" s="313"/>
      <c r="JF12" s="313"/>
      <c r="JG12" s="122"/>
      <c r="JH12" s="231"/>
      <c r="JI12" s="122"/>
      <c r="JJ12" s="231"/>
      <c r="JK12" s="114"/>
      <c r="JL12" s="114"/>
      <c r="JM12" s="114"/>
      <c r="JN12" s="114"/>
      <c r="JO12" s="269"/>
      <c r="JP12" s="269"/>
      <c r="JQ12" s="269"/>
      <c r="JR12" s="269"/>
      <c r="JS12" s="269"/>
      <c r="JT12" s="269"/>
      <c r="JU12" s="231"/>
      <c r="JV12" s="122"/>
      <c r="JW12" s="114"/>
      <c r="JX12" s="122"/>
      <c r="JY12" s="122"/>
      <c r="JZ12" s="114"/>
    </row>
    <row r="13" spans="1:286" ht="24.95" customHeight="1">
      <c r="A13" s="20" t="s">
        <v>73</v>
      </c>
      <c r="B13" s="54"/>
      <c r="C13" s="7" t="s">
        <v>77</v>
      </c>
      <c r="D13" s="7" t="s">
        <v>114</v>
      </c>
      <c r="E13" s="7">
        <v>2012</v>
      </c>
      <c r="F13" s="7" t="s">
        <v>79</v>
      </c>
      <c r="G13" s="7" t="s">
        <v>54</v>
      </c>
      <c r="H13" s="765"/>
      <c r="I13" s="7" t="s">
        <v>250</v>
      </c>
      <c r="J13" s="53"/>
      <c r="K13" s="53"/>
      <c r="L13" s="255"/>
      <c r="M13" s="154"/>
      <c r="N13" s="154"/>
      <c r="O13" s="154"/>
      <c r="P13" s="207">
        <v>606</v>
      </c>
      <c r="Q13" s="207">
        <v>89040</v>
      </c>
      <c r="R13" s="207">
        <v>51520</v>
      </c>
      <c r="S13" s="207">
        <f t="shared" si="54"/>
        <v>12720</v>
      </c>
      <c r="T13" s="207">
        <f t="shared" si="55"/>
        <v>146.93069306930693</v>
      </c>
      <c r="U13" s="207">
        <f t="shared" si="56"/>
        <v>85.016501650165011</v>
      </c>
      <c r="V13" s="207">
        <f t="shared" si="57"/>
        <v>96.464949071300168</v>
      </c>
      <c r="W13" s="207">
        <f t="shared" si="58"/>
        <v>7360</v>
      </c>
      <c r="X13" s="207">
        <f t="shared" si="59"/>
        <v>86.571428571428569</v>
      </c>
      <c r="Y13" s="208">
        <v>300</v>
      </c>
      <c r="Z13" s="904">
        <f t="shared" si="51"/>
        <v>115.51155115511551</v>
      </c>
      <c r="AA13" s="208" t="s">
        <v>206</v>
      </c>
      <c r="AB13" s="210">
        <v>606</v>
      </c>
      <c r="AC13" s="210"/>
      <c r="AD13" s="7" t="s">
        <v>16</v>
      </c>
      <c r="AE13" s="771">
        <f t="shared" si="0"/>
        <v>7</v>
      </c>
      <c r="AF13" s="771">
        <f t="shared" si="1"/>
        <v>7</v>
      </c>
      <c r="AG13" s="8"/>
      <c r="AH13" s="7">
        <v>7</v>
      </c>
      <c r="AI13" s="53"/>
      <c r="AJ13" s="53"/>
      <c r="AK13" s="58"/>
      <c r="AL13" s="9">
        <v>534.08000000000004</v>
      </c>
      <c r="AM13" s="57"/>
      <c r="AN13" s="82">
        <v>534.08000000000004</v>
      </c>
      <c r="AO13" s="9">
        <f t="shared" si="2"/>
        <v>76.297142857142859</v>
      </c>
      <c r="AP13" s="78"/>
      <c r="AQ13" s="78">
        <f>2/AH13</f>
        <v>0.2857142857142857</v>
      </c>
      <c r="AR13" s="78">
        <f>4/AH13</f>
        <v>0.5714285714285714</v>
      </c>
      <c r="AS13" s="78">
        <f>1/AH13</f>
        <v>0.14285714285714285</v>
      </c>
      <c r="AT13" s="78"/>
      <c r="AU13" s="9">
        <v>217.58</v>
      </c>
      <c r="AV13" s="76">
        <v>238</v>
      </c>
      <c r="AW13" s="78">
        <f t="shared" si="53"/>
        <v>0.39273927392739272</v>
      </c>
      <c r="AX13" s="57">
        <v>2</v>
      </c>
      <c r="AY13" s="56" t="s">
        <v>549</v>
      </c>
      <c r="AZ13" s="9" t="s">
        <v>120</v>
      </c>
      <c r="BA13" s="57"/>
      <c r="BB13" s="57"/>
      <c r="BC13" s="57"/>
      <c r="BD13" s="53"/>
      <c r="BE13" s="184">
        <v>40963</v>
      </c>
      <c r="BF13" s="418" t="s">
        <v>11</v>
      </c>
      <c r="BG13" s="418" t="s">
        <v>229</v>
      </c>
      <c r="BH13" s="1"/>
      <c r="BI13" s="204">
        <v>41171</v>
      </c>
      <c r="BJ13" s="99"/>
      <c r="BK13" s="99"/>
      <c r="BL13" s="204">
        <v>41225</v>
      </c>
      <c r="BM13" s="99"/>
      <c r="BN13" s="422"/>
      <c r="BO13" s="201"/>
      <c r="BP13" s="102"/>
      <c r="BQ13" s="102"/>
      <c r="BR13" s="297"/>
      <c r="BS13" s="298">
        <f t="shared" si="3"/>
        <v>731</v>
      </c>
      <c r="BT13" s="298">
        <f t="shared" si="4"/>
        <v>1096</v>
      </c>
      <c r="BU13" s="298"/>
      <c r="BV13" s="298" t="str">
        <f>IF(FK13&lt;$BS$11,"oui","non")</f>
        <v>non</v>
      </c>
      <c r="BW13" s="672" t="e">
        <f t="shared" si="5"/>
        <v>#NUM!</v>
      </c>
      <c r="BX13" s="672" t="e">
        <f t="shared" si="6"/>
        <v>#NUM!</v>
      </c>
      <c r="BY13" s="672" t="e">
        <f t="shared" si="7"/>
        <v>#NUM!</v>
      </c>
      <c r="BZ13" s="820"/>
      <c r="CA13" s="821"/>
      <c r="CB13" s="821"/>
      <c r="CC13" s="820"/>
      <c r="CD13" s="820"/>
      <c r="CE13" s="820"/>
      <c r="CF13" s="823"/>
      <c r="CG13" s="822"/>
      <c r="CH13" s="822"/>
      <c r="CI13" s="822"/>
      <c r="CJ13" s="822"/>
      <c r="CK13" s="822"/>
      <c r="CL13" s="822"/>
      <c r="CM13" s="823"/>
      <c r="CN13" s="823"/>
      <c r="CO13" s="822"/>
      <c r="CP13" s="822"/>
      <c r="CQ13" s="822"/>
      <c r="CR13" s="822"/>
      <c r="CS13" s="156" t="s">
        <v>68</v>
      </c>
      <c r="CT13" s="307">
        <v>41255</v>
      </c>
      <c r="CU13" s="250"/>
      <c r="CV13" s="157">
        <v>1051215.9099999999</v>
      </c>
      <c r="CW13" s="581">
        <f t="shared" si="61"/>
        <v>41802</v>
      </c>
      <c r="CX13" s="405"/>
      <c r="CY13" s="340">
        <v>41612</v>
      </c>
      <c r="CZ13" s="250">
        <v>41835</v>
      </c>
      <c r="DA13" s="597">
        <f t="shared" si="60"/>
        <v>1.9666666666666666</v>
      </c>
      <c r="DB13" s="122"/>
      <c r="DC13" s="114"/>
      <c r="DD13" s="114"/>
      <c r="DE13" s="523" t="str">
        <f t="shared" si="8"/>
        <v>0</v>
      </c>
      <c r="DF13" s="122"/>
      <c r="DG13" s="122"/>
      <c r="DH13" s="523" t="str">
        <f t="shared" si="9"/>
        <v>0</v>
      </c>
      <c r="DI13" s="125"/>
      <c r="DJ13" s="122"/>
      <c r="DK13" s="523" t="str">
        <f t="shared" si="10"/>
        <v>0</v>
      </c>
      <c r="DL13" s="125"/>
      <c r="DM13" s="122"/>
      <c r="DN13" s="523" t="str">
        <f t="shared" si="11"/>
        <v>0</v>
      </c>
      <c r="DO13" s="125"/>
      <c r="DP13" s="569"/>
      <c r="DQ13" s="523" t="str">
        <f t="shared" si="12"/>
        <v>0</v>
      </c>
      <c r="DR13" s="453"/>
      <c r="DS13" s="231"/>
      <c r="DT13" s="533"/>
      <c r="DU13" s="528"/>
      <c r="DV13" s="529" t="str">
        <f t="shared" si="13"/>
        <v>0</v>
      </c>
      <c r="DW13" s="533"/>
      <c r="DX13" s="349">
        <v>41400</v>
      </c>
      <c r="DY13" s="341">
        <v>2013</v>
      </c>
      <c r="DZ13" s="443">
        <f t="shared" si="14"/>
        <v>7.6333333333333337</v>
      </c>
      <c r="EA13" s="529" t="str">
        <f t="shared" si="15"/>
        <v>0</v>
      </c>
      <c r="EB13" s="125">
        <v>10</v>
      </c>
      <c r="EC13" s="116">
        <f t="shared" si="16"/>
        <v>14</v>
      </c>
      <c r="ED13" s="315"/>
      <c r="EE13" s="314"/>
      <c r="EF13" s="685" t="str">
        <f t="shared" si="17"/>
        <v>0</v>
      </c>
      <c r="EG13" s="698"/>
      <c r="EH13" s="613"/>
      <c r="EI13" s="614" t="str">
        <f t="shared" si="18"/>
        <v>0</v>
      </c>
      <c r="EJ13" s="254"/>
      <c r="EK13" s="315"/>
      <c r="EL13" s="685" t="str">
        <f t="shared" si="19"/>
        <v>0</v>
      </c>
      <c r="EM13" s="314"/>
      <c r="EN13" s="315"/>
      <c r="EO13" s="685" t="str">
        <f t="shared" si="20"/>
        <v>0</v>
      </c>
      <c r="EP13" s="322"/>
      <c r="EQ13" s="322"/>
      <c r="ER13" s="685" t="str">
        <f t="shared" si="21"/>
        <v>0</v>
      </c>
      <c r="ES13" s="322"/>
      <c r="ET13" s="323"/>
      <c r="EU13" s="685" t="str">
        <f t="shared" si="22"/>
        <v>0</v>
      </c>
      <c r="EV13" s="315"/>
      <c r="EW13" s="314"/>
      <c r="EX13" s="685" t="str">
        <f t="shared" si="23"/>
        <v>0</v>
      </c>
      <c r="EY13" s="314"/>
      <c r="EZ13" s="314"/>
      <c r="FA13" s="314"/>
      <c r="FB13" s="455">
        <f t="shared" si="24"/>
        <v>41704</v>
      </c>
      <c r="FC13" s="351">
        <v>41831</v>
      </c>
      <c r="FD13" s="707">
        <f t="shared" si="25"/>
        <v>4.2333333333333334</v>
      </c>
      <c r="FE13" s="600"/>
      <c r="FF13" s="126">
        <v>41883</v>
      </c>
      <c r="FG13" s="115" t="s">
        <v>128</v>
      </c>
      <c r="FH13" s="115">
        <v>41894</v>
      </c>
      <c r="FI13" s="455"/>
      <c r="FJ13" s="455">
        <f t="shared" si="26"/>
        <v>41735</v>
      </c>
      <c r="FK13" s="349">
        <v>41894</v>
      </c>
      <c r="FL13" s="590">
        <v>2014</v>
      </c>
      <c r="FM13" s="704">
        <f t="shared" si="27"/>
        <v>5.3</v>
      </c>
      <c r="FN13" s="694">
        <f>33787/12</f>
        <v>2815.5833333333335</v>
      </c>
      <c r="FO13" s="231">
        <f t="shared" si="28"/>
        <v>14922.591666666667</v>
      </c>
      <c r="FP13" s="126"/>
      <c r="FQ13" s="556"/>
      <c r="FR13" s="692">
        <f t="shared" si="29"/>
        <v>50607</v>
      </c>
      <c r="FS13" s="556"/>
      <c r="FT13" s="556"/>
      <c r="FU13" s="556"/>
      <c r="FV13" s="556"/>
      <c r="FW13" s="558"/>
      <c r="FX13" s="576"/>
      <c r="FY13" s="558"/>
      <c r="FZ13" s="558"/>
      <c r="GA13" s="122"/>
      <c r="GB13" s="122"/>
      <c r="GC13" s="122"/>
      <c r="GD13" s="122"/>
      <c r="GE13" s="194" t="s">
        <v>128</v>
      </c>
      <c r="GF13" s="122">
        <v>42082</v>
      </c>
      <c r="GG13" s="122">
        <f>DATE(YEAR(FC13)+1,MONTH(FC13),DAY(FC13))</f>
        <v>42196</v>
      </c>
      <c r="GH13" s="677">
        <v>10711</v>
      </c>
      <c r="GI13" s="122">
        <v>41915</v>
      </c>
      <c r="GJ13" s="122">
        <v>41918</v>
      </c>
      <c r="GK13" s="122" t="s">
        <v>128</v>
      </c>
      <c r="GL13" s="122">
        <v>42346</v>
      </c>
      <c r="GM13" s="122"/>
      <c r="GN13" s="122" t="s">
        <v>128</v>
      </c>
      <c r="GO13" s="122" t="s">
        <v>128</v>
      </c>
      <c r="GP13" s="122"/>
      <c r="GQ13" s="113">
        <v>42851</v>
      </c>
      <c r="GR13" s="194" t="s">
        <v>128</v>
      </c>
      <c r="GS13" s="122" t="s">
        <v>128</v>
      </c>
      <c r="GT13" s="194" t="s">
        <v>128</v>
      </c>
      <c r="GU13" s="194" t="s">
        <v>128</v>
      </c>
      <c r="GV13" s="155"/>
      <c r="GW13" s="575"/>
      <c r="GX13" s="10">
        <v>1127563</v>
      </c>
      <c r="GY13" s="426">
        <f>HJ13+HO13+HV13+IO13+HT13+HZ13</f>
        <v>1127563</v>
      </c>
      <c r="GZ13" s="797">
        <f t="shared" si="31"/>
        <v>1127563</v>
      </c>
      <c r="HA13" s="12">
        <f t="shared" si="32"/>
        <v>0</v>
      </c>
      <c r="HB13" s="49">
        <f t="shared" si="33"/>
        <v>2111.2249101258235</v>
      </c>
      <c r="HC13" s="49">
        <f t="shared" si="34"/>
        <v>161080.42857142858</v>
      </c>
      <c r="HD13" s="10">
        <v>970725</v>
      </c>
      <c r="HE13" s="11"/>
      <c r="HF13" s="12">
        <f t="shared" si="35"/>
        <v>-970725</v>
      </c>
      <c r="HG13" s="127">
        <f t="shared" si="36"/>
        <v>0.87898434499890454</v>
      </c>
      <c r="HH13" s="128"/>
      <c r="HI13" s="10">
        <v>294297</v>
      </c>
      <c r="HJ13" s="11">
        <v>294297</v>
      </c>
      <c r="HK13" s="67"/>
      <c r="HL13" s="23">
        <f t="shared" si="37"/>
        <v>42042.428571428572</v>
      </c>
      <c r="HM13" s="37">
        <f t="shared" si="38"/>
        <v>0</v>
      </c>
      <c r="HN13" s="10">
        <v>604971</v>
      </c>
      <c r="HO13" s="11">
        <f t="shared" si="39"/>
        <v>604971</v>
      </c>
      <c r="HP13" s="13">
        <v>112853</v>
      </c>
      <c r="HQ13" s="13">
        <v>492118</v>
      </c>
      <c r="HR13" s="37">
        <f t="shared" si="40"/>
        <v>0</v>
      </c>
      <c r="HS13" s="629">
        <f t="shared" si="41"/>
        <v>86424.428571428565</v>
      </c>
      <c r="HT13" s="11">
        <v>0</v>
      </c>
      <c r="HU13" s="10">
        <v>177688</v>
      </c>
      <c r="HV13" s="15">
        <v>177688</v>
      </c>
      <c r="HW13" s="66"/>
      <c r="HX13" s="40">
        <f t="shared" si="42"/>
        <v>0.15758587325054121</v>
      </c>
      <c r="HY13" s="303"/>
      <c r="HZ13" s="15">
        <v>0</v>
      </c>
      <c r="IA13" s="24">
        <f>HV13-HU13</f>
        <v>0</v>
      </c>
      <c r="IB13" s="23">
        <f t="shared" si="43"/>
        <v>25384</v>
      </c>
      <c r="IC13" s="49">
        <f t="shared" si="44"/>
        <v>67426.428571428565</v>
      </c>
      <c r="ID13" s="24">
        <f t="shared" si="45"/>
        <v>0</v>
      </c>
      <c r="IE13" s="48"/>
      <c r="IF13" s="48"/>
      <c r="IG13" s="39">
        <v>176884.08837750001</v>
      </c>
      <c r="IH13" s="39">
        <v>119543.69426743503</v>
      </c>
      <c r="II13" s="23">
        <f t="shared" si="46"/>
        <v>84504.099181062149</v>
      </c>
      <c r="IJ13" s="39">
        <v>0</v>
      </c>
      <c r="IK13" s="23">
        <f t="shared" si="47"/>
        <v>84504.099181062149</v>
      </c>
      <c r="IL13" s="50">
        <f t="shared" si="48"/>
        <v>0.47252544420817433</v>
      </c>
      <c r="IM13" s="39">
        <v>52601.919999999998</v>
      </c>
      <c r="IN13" s="39"/>
      <c r="IO13" s="432">
        <v>50607</v>
      </c>
      <c r="IP13" s="41">
        <f t="shared" si="49"/>
        <v>1304447.0883775</v>
      </c>
      <c r="IQ13" s="231"/>
      <c r="IR13" s="231">
        <f t="shared" si="50"/>
        <v>0</v>
      </c>
      <c r="IS13" s="113"/>
      <c r="IT13" s="231"/>
      <c r="IU13" s="231"/>
      <c r="IV13" s="113"/>
      <c r="IW13" s="113"/>
      <c r="IX13" s="231"/>
      <c r="IY13" s="113"/>
      <c r="IZ13" s="231"/>
      <c r="JA13" s="113"/>
      <c r="JB13" s="231"/>
      <c r="JC13" s="114"/>
      <c r="JD13" s="321"/>
      <c r="JE13" s="313"/>
      <c r="JF13" s="313"/>
      <c r="JG13" s="122"/>
      <c r="JH13" s="231"/>
      <c r="JI13" s="122"/>
      <c r="JJ13" s="231"/>
      <c r="JK13" s="322"/>
      <c r="JL13" s="322"/>
      <c r="JM13" s="322"/>
      <c r="JN13" s="322"/>
      <c r="JO13" s="269"/>
      <c r="JP13" s="269"/>
      <c r="JQ13" s="122"/>
      <c r="JR13" s="231"/>
      <c r="JS13" s="122"/>
      <c r="JT13" s="231"/>
      <c r="JU13" s="231"/>
      <c r="JV13" s="122"/>
      <c r="JW13" s="114"/>
      <c r="JX13" s="122"/>
      <c r="JY13" s="122"/>
      <c r="JZ13" s="114"/>
    </row>
    <row r="14" spans="1:286" ht="15" customHeight="1">
      <c r="A14" s="415" t="s">
        <v>398</v>
      </c>
      <c r="B14" s="56"/>
      <c r="C14" s="7" t="s">
        <v>35</v>
      </c>
      <c r="D14" s="7" t="s">
        <v>112</v>
      </c>
      <c r="E14" s="7">
        <v>2012</v>
      </c>
      <c r="F14" s="7" t="s">
        <v>80</v>
      </c>
      <c r="G14" s="7" t="s">
        <v>30</v>
      </c>
      <c r="H14" s="765" t="s">
        <v>643</v>
      </c>
      <c r="I14" s="7" t="s">
        <v>250</v>
      </c>
      <c r="J14" s="53" t="s">
        <v>344</v>
      </c>
      <c r="K14" s="53"/>
      <c r="L14" s="255"/>
      <c r="M14" s="154"/>
      <c r="N14" s="154"/>
      <c r="O14" s="154"/>
      <c r="P14" s="207">
        <v>8821</v>
      </c>
      <c r="Q14" s="207">
        <v>530000</v>
      </c>
      <c r="R14" s="207">
        <v>289110</v>
      </c>
      <c r="S14" s="207">
        <f t="shared" si="54"/>
        <v>13250</v>
      </c>
      <c r="T14" s="207">
        <f t="shared" si="55"/>
        <v>60.083890715338399</v>
      </c>
      <c r="U14" s="207">
        <f t="shared" si="56"/>
        <v>32.775195556059401</v>
      </c>
      <c r="V14" s="207">
        <f t="shared" si="57"/>
        <v>111.55441514093337</v>
      </c>
      <c r="W14" s="207">
        <f t="shared" si="58"/>
        <v>7227.75</v>
      </c>
      <c r="X14" s="207">
        <f t="shared" si="59"/>
        <v>220.52500000000001</v>
      </c>
      <c r="Y14" s="207"/>
      <c r="Z14" s="904">
        <f t="shared" si="51"/>
        <v>45.346332615349731</v>
      </c>
      <c r="AA14" s="208" t="s">
        <v>206</v>
      </c>
      <c r="AB14" s="210"/>
      <c r="AC14" s="211"/>
      <c r="AD14" s="7" t="s">
        <v>16</v>
      </c>
      <c r="AE14" s="771">
        <f t="shared" si="0"/>
        <v>40</v>
      </c>
      <c r="AF14" s="771">
        <f t="shared" si="1"/>
        <v>40</v>
      </c>
      <c r="AG14" s="8"/>
      <c r="AH14" s="7">
        <v>40</v>
      </c>
      <c r="AI14" s="53"/>
      <c r="AJ14" s="53"/>
      <c r="AK14" s="57"/>
      <c r="AL14" s="9">
        <v>2591.65</v>
      </c>
      <c r="AM14" s="57"/>
      <c r="AN14" s="82">
        <v>2591.65</v>
      </c>
      <c r="AO14" s="9">
        <f t="shared" si="2"/>
        <v>64.791250000000005</v>
      </c>
      <c r="AP14" s="78">
        <f>4/AE14</f>
        <v>0.1</v>
      </c>
      <c r="AQ14" s="78">
        <f>12/AE14</f>
        <v>0.3</v>
      </c>
      <c r="AR14" s="78">
        <f>13/AE14</f>
        <v>0.32500000000000001</v>
      </c>
      <c r="AS14" s="78">
        <f>9/AE14</f>
        <v>0.22500000000000001</v>
      </c>
      <c r="AT14" s="78">
        <f>2/AE14</f>
        <v>0.05</v>
      </c>
      <c r="AU14" s="416">
        <v>1150</v>
      </c>
      <c r="AV14" s="617"/>
      <c r="AW14" s="79">
        <f t="shared" si="53"/>
        <v>0</v>
      </c>
      <c r="AX14" s="58">
        <v>2.5</v>
      </c>
      <c r="AY14" s="56" t="s">
        <v>549</v>
      </c>
      <c r="AZ14" s="9" t="s">
        <v>121</v>
      </c>
      <c r="BA14" s="57"/>
      <c r="BB14" s="57"/>
      <c r="BC14" s="57"/>
      <c r="BD14" s="53"/>
      <c r="BE14" s="184">
        <v>40963</v>
      </c>
      <c r="BF14" s="418" t="s">
        <v>12</v>
      </c>
      <c r="BG14" s="418" t="s">
        <v>231</v>
      </c>
      <c r="BH14" s="1"/>
      <c r="BI14" s="204">
        <v>41094</v>
      </c>
      <c r="BJ14" s="99"/>
      <c r="BK14" s="99"/>
      <c r="BL14" s="204">
        <v>41134</v>
      </c>
      <c r="BM14" s="99"/>
      <c r="BN14" s="422"/>
      <c r="BO14" s="201"/>
      <c r="BP14" s="102"/>
      <c r="BQ14" s="102"/>
      <c r="BR14" s="298">
        <v>41319</v>
      </c>
      <c r="BS14" s="298">
        <f t="shared" si="3"/>
        <v>42049</v>
      </c>
      <c r="BT14" s="298">
        <f t="shared" si="4"/>
        <v>42414</v>
      </c>
      <c r="BU14" s="298"/>
      <c r="BV14" s="298" t="str">
        <f>IF(FK14&gt;BS14,"oui","non")</f>
        <v>oui</v>
      </c>
      <c r="BW14" s="672">
        <f t="shared" si="5"/>
        <v>8</v>
      </c>
      <c r="BX14" s="672">
        <f t="shared" si="6"/>
        <v>114909.510455786</v>
      </c>
      <c r="BY14" s="672">
        <f t="shared" si="7"/>
        <v>0</v>
      </c>
      <c r="BZ14" s="820"/>
      <c r="CA14" s="821"/>
      <c r="CB14" s="820"/>
      <c r="CC14" s="820"/>
      <c r="CD14" s="820"/>
      <c r="CE14" s="820"/>
      <c r="CF14" s="822"/>
      <c r="CG14" s="822"/>
      <c r="CH14" s="822"/>
      <c r="CI14" s="822"/>
      <c r="CJ14" s="822"/>
      <c r="CK14" s="822"/>
      <c r="CL14" s="822"/>
      <c r="CM14" s="822"/>
      <c r="CN14" s="822"/>
      <c r="CO14" s="822"/>
      <c r="CP14" s="822"/>
      <c r="CQ14" s="822"/>
      <c r="CR14" s="822"/>
      <c r="CS14" s="156" t="s">
        <v>149</v>
      </c>
      <c r="CT14" s="307">
        <v>41261</v>
      </c>
      <c r="CU14" s="250"/>
      <c r="CV14" s="157"/>
      <c r="CW14" s="581">
        <f t="shared" si="61"/>
        <v>41808</v>
      </c>
      <c r="CX14" s="405">
        <f t="shared" ref="CX14:CX34" si="62">DATE(YEAR(CT14),MONTH(CT14)+24,DAY(CT14))</f>
        <v>41991</v>
      </c>
      <c r="CY14" s="340">
        <v>41570</v>
      </c>
      <c r="CZ14" s="250">
        <v>41988</v>
      </c>
      <c r="DA14" s="597">
        <f t="shared" si="60"/>
        <v>5.4333333333333336</v>
      </c>
      <c r="DB14" s="122"/>
      <c r="DC14" s="122"/>
      <c r="DD14" s="122"/>
      <c r="DE14" s="523" t="str">
        <f t="shared" si="8"/>
        <v>0</v>
      </c>
      <c r="DF14" s="122"/>
      <c r="DG14" s="122"/>
      <c r="DH14" s="523" t="str">
        <f t="shared" si="9"/>
        <v>0</v>
      </c>
      <c r="DI14" s="122"/>
      <c r="DJ14" s="122"/>
      <c r="DK14" s="523" t="str">
        <f t="shared" si="10"/>
        <v>0</v>
      </c>
      <c r="DL14" s="122"/>
      <c r="DM14" s="122"/>
      <c r="DN14" s="523" t="str">
        <f t="shared" si="11"/>
        <v>0</v>
      </c>
      <c r="DO14" s="125"/>
      <c r="DP14" s="569"/>
      <c r="DQ14" s="523" t="str">
        <f t="shared" si="12"/>
        <v>0</v>
      </c>
      <c r="DR14" s="453"/>
      <c r="DS14" s="231"/>
      <c r="DT14" s="533"/>
      <c r="DU14" s="528"/>
      <c r="DV14" s="529" t="str">
        <f t="shared" si="13"/>
        <v>0</v>
      </c>
      <c r="DW14" s="533"/>
      <c r="DX14" s="347">
        <v>41309</v>
      </c>
      <c r="DY14" s="341">
        <v>2013</v>
      </c>
      <c r="DZ14" s="443">
        <f t="shared" si="14"/>
        <v>7.166666666666667</v>
      </c>
      <c r="EA14" s="529" t="str">
        <f t="shared" si="15"/>
        <v>0</v>
      </c>
      <c r="EB14" s="116">
        <v>15</v>
      </c>
      <c r="EC14" s="116">
        <f t="shared" si="16"/>
        <v>26</v>
      </c>
      <c r="ED14" s="315"/>
      <c r="EE14" s="314"/>
      <c r="EF14" s="685" t="str">
        <f t="shared" si="17"/>
        <v>0</v>
      </c>
      <c r="EG14" s="698"/>
      <c r="EH14" s="613"/>
      <c r="EI14" s="614" t="str">
        <f t="shared" si="18"/>
        <v>0</v>
      </c>
      <c r="EJ14" s="254"/>
      <c r="EK14" s="315"/>
      <c r="EL14" s="685" t="str">
        <f t="shared" si="19"/>
        <v>0</v>
      </c>
      <c r="EM14" s="314"/>
      <c r="EN14" s="315"/>
      <c r="EO14" s="685" t="str">
        <f t="shared" si="20"/>
        <v>0</v>
      </c>
      <c r="EP14" s="322"/>
      <c r="EQ14" s="322"/>
      <c r="ER14" s="685" t="str">
        <f t="shared" si="21"/>
        <v>0</v>
      </c>
      <c r="ES14" s="322"/>
      <c r="ET14" s="315"/>
      <c r="EU14" s="685" t="str">
        <f t="shared" si="22"/>
        <v>0</v>
      </c>
      <c r="EV14" s="315"/>
      <c r="EW14" s="315"/>
      <c r="EX14" s="685" t="str">
        <f t="shared" si="23"/>
        <v>0</v>
      </c>
      <c r="EY14" s="323"/>
      <c r="EZ14" s="323"/>
      <c r="FA14" s="323"/>
      <c r="FB14" s="455">
        <f t="shared" si="24"/>
        <v>41763</v>
      </c>
      <c r="FC14" s="349">
        <v>42111</v>
      </c>
      <c r="FD14" s="707">
        <f t="shared" si="25"/>
        <v>11.6</v>
      </c>
      <c r="FE14" s="455"/>
      <c r="FF14" s="185">
        <v>42202</v>
      </c>
      <c r="FG14" s="115" t="s">
        <v>128</v>
      </c>
      <c r="FH14" s="186">
        <v>42151</v>
      </c>
      <c r="FI14" s="455"/>
      <c r="FJ14" s="455">
        <f t="shared" si="26"/>
        <v>41794</v>
      </c>
      <c r="FK14" s="351">
        <v>42151</v>
      </c>
      <c r="FL14" s="456">
        <v>2015</v>
      </c>
      <c r="FM14" s="702">
        <f t="shared" si="27"/>
        <v>11.9</v>
      </c>
      <c r="FN14" s="694">
        <f>172364.265683679/12</f>
        <v>14363.68880697325</v>
      </c>
      <c r="FO14" s="231">
        <f t="shared" si="28"/>
        <v>170927.89680298168</v>
      </c>
      <c r="FP14" s="115"/>
      <c r="FQ14" s="552"/>
      <c r="FR14" s="692">
        <f t="shared" si="29"/>
        <v>51532.92</v>
      </c>
      <c r="FS14" s="556"/>
      <c r="FT14" s="556"/>
      <c r="FU14" s="556"/>
      <c r="FV14" s="556"/>
      <c r="FW14" s="553"/>
      <c r="FX14" s="566" t="s">
        <v>722</v>
      </c>
      <c r="FY14" s="553"/>
      <c r="FZ14" s="553"/>
      <c r="GA14" s="122" t="s">
        <v>128</v>
      </c>
      <c r="GB14" s="122"/>
      <c r="GC14" s="122" t="s">
        <v>128</v>
      </c>
      <c r="GD14" s="122" t="s">
        <v>128</v>
      </c>
      <c r="GE14" s="194">
        <v>42628</v>
      </c>
      <c r="GF14" s="194">
        <v>42831</v>
      </c>
      <c r="GG14" s="315">
        <f>DATE(YEAR(FC14)+1,MONTH(FC14),DAY(FC14))</f>
        <v>42477</v>
      </c>
      <c r="GH14" s="677">
        <v>45341</v>
      </c>
      <c r="GI14" s="194">
        <v>42170</v>
      </c>
      <c r="GJ14" s="233" t="s">
        <v>365</v>
      </c>
      <c r="GK14" s="194">
        <v>42647</v>
      </c>
      <c r="GL14" s="121"/>
      <c r="GM14" s="122">
        <v>42079</v>
      </c>
      <c r="GN14" s="121"/>
      <c r="GO14" s="194">
        <v>42426</v>
      </c>
      <c r="GP14" s="113">
        <v>42797</v>
      </c>
      <c r="GQ14" s="113"/>
      <c r="GR14" s="121"/>
      <c r="GS14" s="121"/>
      <c r="GT14" s="194">
        <v>42978</v>
      </c>
      <c r="GU14" s="121"/>
      <c r="GV14" s="155"/>
      <c r="GW14" s="610">
        <v>5246631</v>
      </c>
      <c r="GX14" s="10">
        <v>5090210.4499999993</v>
      </c>
      <c r="GY14" s="426">
        <f>HJ14+HO14+HV14+IO14+HT14+HZ14</f>
        <v>5090210.4499999993</v>
      </c>
      <c r="GZ14" s="797">
        <f t="shared" si="31"/>
        <v>5090210.4499999993</v>
      </c>
      <c r="HA14" s="12">
        <f t="shared" si="32"/>
        <v>0</v>
      </c>
      <c r="HB14" s="49">
        <f t="shared" si="33"/>
        <v>1964.0809715818104</v>
      </c>
      <c r="HC14" s="49">
        <f t="shared" si="34"/>
        <v>127255.26124999998</v>
      </c>
      <c r="HD14" s="10">
        <v>4689965</v>
      </c>
      <c r="HE14" s="11"/>
      <c r="HF14" s="12">
        <f t="shared" si="35"/>
        <v>-4689965</v>
      </c>
      <c r="HG14" s="127">
        <f t="shared" si="36"/>
        <v>0.9407183282569388</v>
      </c>
      <c r="HH14" s="128"/>
      <c r="HI14" s="10">
        <v>1480537</v>
      </c>
      <c r="HJ14" s="11">
        <v>1480537</v>
      </c>
      <c r="HK14" s="67"/>
      <c r="HL14" s="23">
        <f t="shared" si="37"/>
        <v>37013.425000000003</v>
      </c>
      <c r="HM14" s="37">
        <f t="shared" si="38"/>
        <v>0</v>
      </c>
      <c r="HN14" s="10">
        <v>2895140.53</v>
      </c>
      <c r="HO14" s="11">
        <f t="shared" si="39"/>
        <v>2895140.53</v>
      </c>
      <c r="HP14" s="13">
        <v>565518</v>
      </c>
      <c r="HQ14" s="13">
        <v>2329622.5299999998</v>
      </c>
      <c r="HR14" s="37">
        <f t="shared" si="40"/>
        <v>0</v>
      </c>
      <c r="HS14" s="629">
        <f t="shared" si="41"/>
        <v>72378.513249999989</v>
      </c>
      <c r="HT14" s="11">
        <v>0</v>
      </c>
      <c r="HU14" s="10">
        <v>663000</v>
      </c>
      <c r="HV14" s="15">
        <v>663000</v>
      </c>
      <c r="HW14" s="66"/>
      <c r="HX14" s="40">
        <f t="shared" si="42"/>
        <v>0.13025001746244108</v>
      </c>
      <c r="HY14" s="303"/>
      <c r="HZ14" s="15">
        <v>0</v>
      </c>
      <c r="IA14" s="24">
        <f>HV14-HU14</f>
        <v>0</v>
      </c>
      <c r="IB14" s="23">
        <f t="shared" si="43"/>
        <v>16575</v>
      </c>
      <c r="IC14" s="49">
        <f t="shared" si="44"/>
        <v>53588.425000000003</v>
      </c>
      <c r="ID14" s="24">
        <f t="shared" si="45"/>
        <v>0</v>
      </c>
      <c r="IE14" s="48"/>
      <c r="IF14" s="48"/>
      <c r="IG14" s="39">
        <v>1151902.8490725001</v>
      </c>
      <c r="IH14" s="39">
        <v>800000</v>
      </c>
      <c r="II14" s="23">
        <f t="shared" si="46"/>
        <v>73588.425000000003</v>
      </c>
      <c r="IJ14" s="39">
        <v>0</v>
      </c>
      <c r="IK14" s="23">
        <f t="shared" si="47"/>
        <v>73588.425000000003</v>
      </c>
      <c r="IL14" s="50">
        <f t="shared" si="48"/>
        <v>0.4949673218743304</v>
      </c>
      <c r="IM14" s="39">
        <v>295181.31</v>
      </c>
      <c r="IN14" s="431"/>
      <c r="IO14" s="432">
        <v>51532.92</v>
      </c>
      <c r="IP14" s="96">
        <f t="shared" si="49"/>
        <v>6242113.2990724994</v>
      </c>
      <c r="IQ14" s="231"/>
      <c r="IR14" s="231">
        <f t="shared" si="50"/>
        <v>0</v>
      </c>
      <c r="IS14" s="113"/>
      <c r="IT14" s="231"/>
      <c r="IU14" s="231"/>
      <c r="IV14" s="113"/>
      <c r="IW14" s="113"/>
      <c r="IX14" s="231"/>
      <c r="IY14" s="113"/>
      <c r="IZ14" s="231"/>
      <c r="JA14" s="113"/>
      <c r="JB14" s="231"/>
      <c r="JC14" s="114"/>
      <c r="JD14" s="321"/>
      <c r="JE14" s="313"/>
      <c r="JF14" s="313"/>
      <c r="JG14" s="122"/>
      <c r="JH14" s="231"/>
      <c r="JI14" s="122"/>
      <c r="JJ14" s="231"/>
      <c r="JK14" s="322"/>
      <c r="JL14" s="322"/>
      <c r="JM14" s="322"/>
      <c r="JN14" s="322"/>
      <c r="JO14" s="122"/>
      <c r="JP14" s="231"/>
      <c r="JQ14" s="269"/>
      <c r="JR14" s="269"/>
      <c r="JS14" s="269"/>
      <c r="JT14" s="269"/>
      <c r="JU14" s="231"/>
      <c r="JV14" s="122"/>
      <c r="JW14" s="114"/>
      <c r="JX14" s="122"/>
      <c r="JY14" s="122"/>
      <c r="JZ14" s="114"/>
    </row>
    <row r="15" spans="1:286" ht="15" customHeight="1">
      <c r="A15" s="415" t="s">
        <v>316</v>
      </c>
      <c r="B15" s="56"/>
      <c r="C15" s="7" t="s">
        <v>35</v>
      </c>
      <c r="D15" s="7" t="s">
        <v>112</v>
      </c>
      <c r="E15" s="7">
        <v>2012</v>
      </c>
      <c r="F15" s="7" t="s">
        <v>83</v>
      </c>
      <c r="G15" s="7" t="s">
        <v>89</v>
      </c>
      <c r="H15" s="765"/>
      <c r="I15" s="7" t="s">
        <v>250</v>
      </c>
      <c r="J15" s="53"/>
      <c r="K15" s="53"/>
      <c r="L15" s="255"/>
      <c r="M15" s="154"/>
      <c r="N15" s="154"/>
      <c r="O15" s="154"/>
      <c r="P15" s="207">
        <v>5530</v>
      </c>
      <c r="Q15" s="207">
        <f>R15</f>
        <v>1300000</v>
      </c>
      <c r="R15" s="207">
        <v>1300000</v>
      </c>
      <c r="S15" s="207">
        <f t="shared" si="54"/>
        <v>17333.333333333332</v>
      </c>
      <c r="T15" s="207">
        <f t="shared" si="55"/>
        <v>235.08137432188065</v>
      </c>
      <c r="U15" s="207">
        <f t="shared" si="56"/>
        <v>235.08137432188065</v>
      </c>
      <c r="V15" s="207">
        <f t="shared" si="57"/>
        <v>198.20517589947033</v>
      </c>
      <c r="W15" s="207">
        <f t="shared" si="58"/>
        <v>17333.333333333332</v>
      </c>
      <c r="X15" s="207">
        <f t="shared" si="59"/>
        <v>73.733333333333334</v>
      </c>
      <c r="Y15" s="207"/>
      <c r="Z15" s="904">
        <f t="shared" si="51"/>
        <v>135.62386980108499</v>
      </c>
      <c r="AA15" s="208" t="s">
        <v>207</v>
      </c>
      <c r="AB15" s="210"/>
      <c r="AC15" s="211"/>
      <c r="AD15" s="7" t="s">
        <v>16</v>
      </c>
      <c r="AE15" s="771">
        <f t="shared" si="0"/>
        <v>75</v>
      </c>
      <c r="AF15" s="771">
        <f t="shared" si="1"/>
        <v>75</v>
      </c>
      <c r="AG15" s="8"/>
      <c r="AH15" s="7">
        <v>75</v>
      </c>
      <c r="AI15" s="53"/>
      <c r="AJ15" s="53"/>
      <c r="AK15" s="675"/>
      <c r="AL15" s="9">
        <v>6558.86</v>
      </c>
      <c r="AM15" s="57"/>
      <c r="AN15" s="82">
        <v>6558.86</v>
      </c>
      <c r="AO15" s="9">
        <f t="shared" si="2"/>
        <v>87.451466666666661</v>
      </c>
      <c r="AP15" s="78">
        <f>5/AE15</f>
        <v>6.6666666666666666E-2</v>
      </c>
      <c r="AQ15" s="78">
        <f>10/AE15</f>
        <v>0.13333333333333333</v>
      </c>
      <c r="AR15" s="78">
        <f>30/AE15</f>
        <v>0.4</v>
      </c>
      <c r="AS15" s="78">
        <f>25/AE15</f>
        <v>0.33333333333333331</v>
      </c>
      <c r="AT15" s="78">
        <f>5/AE15</f>
        <v>6.6666666666666666E-2</v>
      </c>
      <c r="AU15" s="9">
        <v>697.88</v>
      </c>
      <c r="AV15" s="76">
        <v>0</v>
      </c>
      <c r="AW15" s="78">
        <f t="shared" si="53"/>
        <v>0</v>
      </c>
      <c r="AX15" s="57">
        <v>7</v>
      </c>
      <c r="AY15" s="56" t="s">
        <v>549</v>
      </c>
      <c r="AZ15" s="9" t="s">
        <v>120</v>
      </c>
      <c r="BA15" s="57"/>
      <c r="BB15" s="57"/>
      <c r="BC15" s="57"/>
      <c r="BD15" s="53"/>
      <c r="BE15" s="184">
        <v>40963</v>
      </c>
      <c r="BF15" s="418" t="s">
        <v>12</v>
      </c>
      <c r="BG15" s="418" t="s">
        <v>232</v>
      </c>
      <c r="BH15" s="1"/>
      <c r="BI15" s="204">
        <v>41094</v>
      </c>
      <c r="BJ15" s="99"/>
      <c r="BK15" s="99"/>
      <c r="BL15" s="204">
        <v>41183</v>
      </c>
      <c r="BM15" s="99"/>
      <c r="BN15" s="422"/>
      <c r="BO15" s="201"/>
      <c r="BP15" s="102"/>
      <c r="BQ15" s="102"/>
      <c r="BR15" s="298">
        <v>41319</v>
      </c>
      <c r="BS15" s="298">
        <f t="shared" si="3"/>
        <v>42049</v>
      </c>
      <c r="BT15" s="298">
        <f t="shared" si="4"/>
        <v>42414</v>
      </c>
      <c r="BU15" s="298"/>
      <c r="BV15" s="298" t="str">
        <f>IF(FK15&gt;BS15,"oui","non")</f>
        <v>oui</v>
      </c>
      <c r="BW15" s="672">
        <f t="shared" si="5"/>
        <v>2</v>
      </c>
      <c r="BX15" s="672">
        <f t="shared" si="6"/>
        <v>66605.829392276341</v>
      </c>
      <c r="BY15" s="672">
        <f t="shared" si="7"/>
        <v>0</v>
      </c>
      <c r="BZ15" s="820"/>
      <c r="CA15" s="821"/>
      <c r="CB15" s="821"/>
      <c r="CC15" s="820"/>
      <c r="CD15" s="820"/>
      <c r="CE15" s="820"/>
      <c r="CF15" s="823"/>
      <c r="CG15" s="822"/>
      <c r="CH15" s="822"/>
      <c r="CI15" s="822"/>
      <c r="CJ15" s="822"/>
      <c r="CK15" s="822"/>
      <c r="CL15" s="822"/>
      <c r="CM15" s="822"/>
      <c r="CN15" s="823"/>
      <c r="CO15" s="822"/>
      <c r="CP15" s="822"/>
      <c r="CQ15" s="822"/>
      <c r="CR15" s="822"/>
      <c r="CS15" s="156" t="s">
        <v>149</v>
      </c>
      <c r="CT15" s="307">
        <v>41270</v>
      </c>
      <c r="CU15" s="250"/>
      <c r="CV15" s="157">
        <v>12054387.02</v>
      </c>
      <c r="CW15" s="581">
        <f t="shared" si="61"/>
        <v>41817</v>
      </c>
      <c r="CX15" s="405">
        <f t="shared" si="62"/>
        <v>42000</v>
      </c>
      <c r="CY15" s="340">
        <v>41617</v>
      </c>
      <c r="CZ15" s="250">
        <v>42297</v>
      </c>
      <c r="DA15" s="597">
        <f t="shared" si="60"/>
        <v>1.1666666666666667</v>
      </c>
      <c r="DB15" s="122"/>
      <c r="DC15" s="122"/>
      <c r="DD15" s="122"/>
      <c r="DE15" s="523" t="str">
        <f t="shared" si="8"/>
        <v>0</v>
      </c>
      <c r="DF15" s="122"/>
      <c r="DG15" s="122"/>
      <c r="DH15" s="523" t="str">
        <f t="shared" si="9"/>
        <v>0</v>
      </c>
      <c r="DI15" s="122"/>
      <c r="DJ15" s="122"/>
      <c r="DK15" s="523" t="str">
        <f t="shared" si="10"/>
        <v>0</v>
      </c>
      <c r="DL15" s="122"/>
      <c r="DM15" s="122"/>
      <c r="DN15" s="523" t="str">
        <f t="shared" si="11"/>
        <v>0</v>
      </c>
      <c r="DO15" s="125"/>
      <c r="DP15" s="569"/>
      <c r="DQ15" s="523" t="str">
        <f t="shared" si="12"/>
        <v>0</v>
      </c>
      <c r="DR15" s="453"/>
      <c r="DS15" s="231"/>
      <c r="DT15" s="533"/>
      <c r="DU15" s="528"/>
      <c r="DV15" s="529" t="str">
        <f t="shared" si="13"/>
        <v>0</v>
      </c>
      <c r="DW15" s="533"/>
      <c r="DX15" s="347">
        <v>41428</v>
      </c>
      <c r="DY15" s="341">
        <v>2013</v>
      </c>
      <c r="DZ15" s="443">
        <f t="shared" si="14"/>
        <v>11.133333333333333</v>
      </c>
      <c r="EA15" s="529" t="str">
        <f t="shared" si="15"/>
        <v>0</v>
      </c>
      <c r="EB15" s="240">
        <v>20</v>
      </c>
      <c r="EC15" s="240">
        <f t="shared" si="16"/>
        <v>28</v>
      </c>
      <c r="ED15" s="315"/>
      <c r="EE15" s="314"/>
      <c r="EF15" s="685" t="str">
        <f t="shared" si="17"/>
        <v>0</v>
      </c>
      <c r="EG15" s="698"/>
      <c r="EH15" s="613"/>
      <c r="EI15" s="614" t="str">
        <f t="shared" si="18"/>
        <v>0</v>
      </c>
      <c r="EJ15" s="254"/>
      <c r="EK15" s="315"/>
      <c r="EL15" s="685" t="str">
        <f t="shared" si="19"/>
        <v>0</v>
      </c>
      <c r="EM15" s="314"/>
      <c r="EN15" s="315"/>
      <c r="EO15" s="685" t="str">
        <f t="shared" si="20"/>
        <v>0</v>
      </c>
      <c r="EP15" s="322"/>
      <c r="EQ15" s="322"/>
      <c r="ER15" s="685" t="str">
        <f t="shared" si="21"/>
        <v>0</v>
      </c>
      <c r="ES15" s="322"/>
      <c r="ET15" s="323"/>
      <c r="EU15" s="685" t="str">
        <f t="shared" si="22"/>
        <v>0</v>
      </c>
      <c r="EV15" s="315"/>
      <c r="EW15" s="315"/>
      <c r="EX15" s="685" t="str">
        <f t="shared" si="23"/>
        <v>0</v>
      </c>
      <c r="EY15" s="323"/>
      <c r="EZ15" s="323"/>
      <c r="FA15" s="323"/>
      <c r="FB15" s="455">
        <f t="shared" si="24"/>
        <v>42038</v>
      </c>
      <c r="FC15" s="347">
        <v>42296</v>
      </c>
      <c r="FD15" s="707">
        <f t="shared" si="25"/>
        <v>8.6</v>
      </c>
      <c r="FE15" s="626">
        <f>DATE(YEAR(CY15)+2,MONTH(CY15),DAY(CY15))</f>
        <v>42347</v>
      </c>
      <c r="FF15" s="115">
        <v>42332</v>
      </c>
      <c r="FG15" s="115" t="s">
        <v>128</v>
      </c>
      <c r="FH15" s="115">
        <v>42332</v>
      </c>
      <c r="FI15" s="455"/>
      <c r="FJ15" s="455">
        <f t="shared" si="26"/>
        <v>42066</v>
      </c>
      <c r="FK15" s="349">
        <v>42332</v>
      </c>
      <c r="FL15" s="343">
        <v>2015</v>
      </c>
      <c r="FM15" s="704">
        <f t="shared" si="27"/>
        <v>8.8666666666666671</v>
      </c>
      <c r="FN15" s="694">
        <f>399634.976353658/12</f>
        <v>33302.91469613817</v>
      </c>
      <c r="FO15" s="314">
        <f t="shared" si="28"/>
        <v>295285.84363909176</v>
      </c>
      <c r="FP15" s="115"/>
      <c r="FQ15" s="552"/>
      <c r="FR15" s="692">
        <f t="shared" si="29"/>
        <v>0</v>
      </c>
      <c r="FS15" s="556"/>
      <c r="FT15" s="556"/>
      <c r="FU15" s="556"/>
      <c r="FV15" s="556"/>
      <c r="FW15" s="553"/>
      <c r="FX15" s="566" t="s">
        <v>725</v>
      </c>
      <c r="FY15" s="553"/>
      <c r="FZ15" s="553"/>
      <c r="GA15" s="121">
        <v>42679</v>
      </c>
      <c r="GB15" s="121"/>
      <c r="GC15" s="121"/>
      <c r="GD15" s="121"/>
      <c r="GE15" s="121"/>
      <c r="GF15" s="115">
        <v>42656</v>
      </c>
      <c r="GG15" s="315"/>
      <c r="GH15" s="677">
        <v>114015</v>
      </c>
      <c r="GI15" s="115" t="s">
        <v>128</v>
      </c>
      <c r="GJ15" s="115">
        <v>42424</v>
      </c>
      <c r="GK15" s="121"/>
      <c r="GL15" s="121"/>
      <c r="GM15" s="121"/>
      <c r="GN15" s="121"/>
      <c r="GO15" s="121"/>
      <c r="GP15" s="233">
        <v>43136</v>
      </c>
      <c r="GQ15" s="233"/>
      <c r="GR15" s="233">
        <v>42808</v>
      </c>
      <c r="GS15" s="233"/>
      <c r="GT15" s="121"/>
      <c r="GU15" s="121"/>
      <c r="GV15" s="155"/>
      <c r="GW15" s="610">
        <v>11693100</v>
      </c>
      <c r="GX15" s="10">
        <v>12349548.309999999</v>
      </c>
      <c r="GY15" s="426">
        <f>HJ15+HO15+HV15+IO15+HT15+HZ15</f>
        <v>12349548.309999999</v>
      </c>
      <c r="GZ15" s="797">
        <f t="shared" si="31"/>
        <v>12349548.309999999</v>
      </c>
      <c r="HA15" s="12">
        <f t="shared" si="32"/>
        <v>0</v>
      </c>
      <c r="HB15" s="49">
        <f t="shared" si="33"/>
        <v>1882.8803038942742</v>
      </c>
      <c r="HC15" s="49">
        <f t="shared" si="34"/>
        <v>164660.64413333332</v>
      </c>
      <c r="HD15" s="10"/>
      <c r="HE15" s="11"/>
      <c r="HF15" s="12">
        <f t="shared" si="35"/>
        <v>0</v>
      </c>
      <c r="HG15" s="127">
        <f t="shared" si="36"/>
        <v>0</v>
      </c>
      <c r="HH15" s="128"/>
      <c r="HI15" s="10">
        <v>3816022.8</v>
      </c>
      <c r="HJ15" s="11">
        <v>3816022.8</v>
      </c>
      <c r="HK15" s="67"/>
      <c r="HL15" s="23">
        <f t="shared" si="37"/>
        <v>50880.303999999996</v>
      </c>
      <c r="HM15" s="37">
        <f t="shared" si="38"/>
        <v>0</v>
      </c>
      <c r="HN15" s="10">
        <v>7538525.5099999998</v>
      </c>
      <c r="HO15" s="11">
        <f t="shared" si="39"/>
        <v>7538525.5099999998</v>
      </c>
      <c r="HP15" s="13">
        <v>1459253.6</v>
      </c>
      <c r="HQ15" s="13">
        <v>6079271.9100000001</v>
      </c>
      <c r="HR15" s="37">
        <f t="shared" si="40"/>
        <v>0</v>
      </c>
      <c r="HS15" s="629">
        <f t="shared" si="41"/>
        <v>100513.67346666666</v>
      </c>
      <c r="HT15" s="11">
        <v>0</v>
      </c>
      <c r="HU15" s="10">
        <v>995000</v>
      </c>
      <c r="HV15" s="15">
        <v>995000</v>
      </c>
      <c r="HW15" s="66"/>
      <c r="HX15" s="40">
        <f t="shared" si="42"/>
        <v>8.0569748384586873E-2</v>
      </c>
      <c r="HY15" s="303"/>
      <c r="HZ15" s="15">
        <v>0</v>
      </c>
      <c r="IA15" s="24">
        <f>HV15-HU15</f>
        <v>0</v>
      </c>
      <c r="IB15" s="23">
        <f t="shared" si="43"/>
        <v>13266.666666666666</v>
      </c>
      <c r="IC15" s="49">
        <f t="shared" si="44"/>
        <v>64146.970666666661</v>
      </c>
      <c r="ID15" s="24">
        <f t="shared" si="45"/>
        <v>0</v>
      </c>
      <c r="IE15" s="48"/>
      <c r="IF15" s="48"/>
      <c r="IG15" s="39">
        <v>0</v>
      </c>
      <c r="IH15" s="39">
        <v>0</v>
      </c>
      <c r="II15" s="23">
        <f t="shared" si="46"/>
        <v>64146.970666666661</v>
      </c>
      <c r="IJ15" s="39">
        <v>0</v>
      </c>
      <c r="IK15" s="23">
        <f t="shared" si="47"/>
        <v>64146.970666666661</v>
      </c>
      <c r="IL15" s="50">
        <f t="shared" si="48"/>
        <v>0.38957075021960869</v>
      </c>
      <c r="IM15" s="39"/>
      <c r="IN15" s="39"/>
      <c r="IO15" s="11"/>
      <c r="IP15" s="41">
        <f t="shared" si="49"/>
        <v>12349548.309999999</v>
      </c>
      <c r="IQ15" s="231"/>
      <c r="IR15" s="231">
        <f t="shared" si="50"/>
        <v>0</v>
      </c>
      <c r="IS15" s="113"/>
      <c r="IT15" s="231"/>
      <c r="IU15" s="231"/>
      <c r="IV15" s="113"/>
      <c r="IW15" s="113"/>
      <c r="IX15" s="231"/>
      <c r="IY15" s="113"/>
      <c r="IZ15" s="231"/>
      <c r="JA15" s="113"/>
      <c r="JB15" s="231"/>
      <c r="JC15" s="114"/>
      <c r="JD15" s="321"/>
      <c r="JE15" s="313"/>
      <c r="JF15" s="313"/>
      <c r="JG15" s="122"/>
      <c r="JH15" s="231"/>
      <c r="JI15" s="122"/>
      <c r="JJ15" s="231"/>
      <c r="JK15" s="322"/>
      <c r="JL15" s="322"/>
      <c r="JM15" s="322"/>
      <c r="JN15" s="322"/>
      <c r="JO15" s="269"/>
      <c r="JP15" s="269"/>
      <c r="JQ15" s="269"/>
      <c r="JR15" s="269"/>
      <c r="JS15" s="269"/>
      <c r="JT15" s="269"/>
      <c r="JU15" s="231"/>
      <c r="JV15" s="122"/>
      <c r="JW15" s="114"/>
      <c r="JX15" s="122"/>
      <c r="JY15" s="122"/>
      <c r="JZ15" s="114"/>
    </row>
    <row r="16" spans="1:286" ht="15" customHeight="1">
      <c r="A16" s="20" t="s">
        <v>76</v>
      </c>
      <c r="B16" s="54"/>
      <c r="C16" s="7" t="s">
        <v>34</v>
      </c>
      <c r="D16" s="7" t="s">
        <v>113</v>
      </c>
      <c r="E16" s="7">
        <v>2012</v>
      </c>
      <c r="F16" s="7" t="s">
        <v>87</v>
      </c>
      <c r="G16" s="7" t="s">
        <v>374</v>
      </c>
      <c r="H16" s="765" t="s">
        <v>610</v>
      </c>
      <c r="I16" s="7" t="s">
        <v>250</v>
      </c>
      <c r="J16" s="53">
        <f>(11539.6+5727.49)/1.085</f>
        <v>15914.36866359447</v>
      </c>
      <c r="K16" s="53"/>
      <c r="L16" s="395" t="s">
        <v>600</v>
      </c>
      <c r="M16" s="154"/>
      <c r="N16" s="154"/>
      <c r="O16" s="154"/>
      <c r="P16" s="207">
        <v>6156.15</v>
      </c>
      <c r="Q16" s="207">
        <v>164070</v>
      </c>
      <c r="R16" s="207">
        <v>163875</v>
      </c>
      <c r="S16" s="207">
        <f t="shared" si="54"/>
        <v>7457.727272727273</v>
      </c>
      <c r="T16" s="207">
        <f t="shared" si="55"/>
        <v>26.651397383104701</v>
      </c>
      <c r="U16" s="207">
        <f t="shared" si="56"/>
        <v>26.619721741672961</v>
      </c>
      <c r="V16" s="207">
        <f t="shared" si="57"/>
        <v>97.053597867930122</v>
      </c>
      <c r="W16" s="207">
        <f t="shared" si="58"/>
        <v>7448.863636363636</v>
      </c>
      <c r="X16" s="207">
        <f t="shared" si="59"/>
        <v>279.82499999999999</v>
      </c>
      <c r="Y16" s="208"/>
      <c r="Z16" s="904">
        <f t="shared" si="51"/>
        <v>35.736621102474764</v>
      </c>
      <c r="AA16" s="208" t="s">
        <v>193</v>
      </c>
      <c r="AB16" s="210">
        <v>890</v>
      </c>
      <c r="AC16" s="211"/>
      <c r="AD16" s="7" t="s">
        <v>16</v>
      </c>
      <c r="AE16" s="771">
        <f t="shared" si="0"/>
        <v>22</v>
      </c>
      <c r="AF16" s="771">
        <f t="shared" si="1"/>
        <v>22</v>
      </c>
      <c r="AG16" s="8"/>
      <c r="AH16" s="7">
        <v>22</v>
      </c>
      <c r="AI16" s="53"/>
      <c r="AJ16" s="53"/>
      <c r="AK16" s="57"/>
      <c r="AL16" s="9">
        <v>1688.5</v>
      </c>
      <c r="AM16" s="57"/>
      <c r="AN16" s="82">
        <v>1688.5</v>
      </c>
      <c r="AO16" s="9">
        <f t="shared" si="2"/>
        <v>76.75</v>
      </c>
      <c r="AP16" s="78">
        <v>0</v>
      </c>
      <c r="AQ16" s="78">
        <f>4/AE16</f>
        <v>0.18181818181818182</v>
      </c>
      <c r="AR16" s="78">
        <f>8/AE16</f>
        <v>0.36363636363636365</v>
      </c>
      <c r="AS16" s="78">
        <f>6/AE16</f>
        <v>0.27272727272727271</v>
      </c>
      <c r="AT16" s="78">
        <f>4/AE16</f>
        <v>0.18181818181818182</v>
      </c>
      <c r="AU16" s="9">
        <f>96.15+803.85+941.6</f>
        <v>1841.6</v>
      </c>
      <c r="AV16" s="76"/>
      <c r="AW16" s="78">
        <f t="shared" si="53"/>
        <v>0</v>
      </c>
      <c r="AX16" s="57">
        <v>1.5</v>
      </c>
      <c r="AY16" s="59" t="s">
        <v>548</v>
      </c>
      <c r="AZ16" s="9" t="s">
        <v>121</v>
      </c>
      <c r="BA16" s="57"/>
      <c r="BB16" s="57"/>
      <c r="BC16" s="57"/>
      <c r="BD16" s="53"/>
      <c r="BE16" s="184">
        <v>40963</v>
      </c>
      <c r="BF16" s="418" t="s">
        <v>11</v>
      </c>
      <c r="BG16" s="418" t="s">
        <v>227</v>
      </c>
      <c r="BH16" s="1"/>
      <c r="BI16" s="204">
        <v>41177</v>
      </c>
      <c r="BJ16" s="99"/>
      <c r="BK16" s="99"/>
      <c r="BL16" s="204">
        <v>41197</v>
      </c>
      <c r="BM16" s="99"/>
      <c r="BN16" s="422"/>
      <c r="BO16" s="201"/>
      <c r="BP16" s="102"/>
      <c r="BQ16" s="102"/>
      <c r="BR16" s="298">
        <v>41319</v>
      </c>
      <c r="BS16" s="298">
        <f t="shared" si="3"/>
        <v>42049</v>
      </c>
      <c r="BT16" s="298">
        <f t="shared" si="4"/>
        <v>42414</v>
      </c>
      <c r="BU16" s="298"/>
      <c r="BV16" s="298" t="str">
        <f>IF(FK16&gt;BS14,"oui","non")</f>
        <v>oui</v>
      </c>
      <c r="BW16" s="672">
        <f t="shared" si="5"/>
        <v>0</v>
      </c>
      <c r="BX16" s="672">
        <f t="shared" si="6"/>
        <v>0</v>
      </c>
      <c r="BY16" s="672">
        <f t="shared" si="7"/>
        <v>0</v>
      </c>
      <c r="BZ16" s="820"/>
      <c r="CA16" s="821"/>
      <c r="CB16" s="820"/>
      <c r="CC16" s="820"/>
      <c r="CD16" s="820"/>
      <c r="CE16" s="820"/>
      <c r="CF16" s="822"/>
      <c r="CG16" s="822"/>
      <c r="CH16" s="822"/>
      <c r="CI16" s="822"/>
      <c r="CJ16" s="822"/>
      <c r="CK16" s="822"/>
      <c r="CL16" s="822"/>
      <c r="CM16" s="822"/>
      <c r="CN16" s="822"/>
      <c r="CO16" s="822"/>
      <c r="CP16" s="822"/>
      <c r="CQ16" s="822"/>
      <c r="CR16" s="822"/>
      <c r="CS16" s="156" t="s">
        <v>68</v>
      </c>
      <c r="CT16" s="307">
        <v>41256</v>
      </c>
      <c r="CU16" s="250" t="s">
        <v>128</v>
      </c>
      <c r="CV16" s="157">
        <v>3339290.63</v>
      </c>
      <c r="CW16" s="581">
        <f t="shared" si="61"/>
        <v>41803</v>
      </c>
      <c r="CX16" s="405">
        <f t="shared" si="62"/>
        <v>41986</v>
      </c>
      <c r="CY16" s="340">
        <v>41569</v>
      </c>
      <c r="CZ16" s="250">
        <v>42051</v>
      </c>
      <c r="DA16" s="597">
        <f t="shared" si="60"/>
        <v>11.933333333333334</v>
      </c>
      <c r="DB16" s="122"/>
      <c r="DC16" s="122"/>
      <c r="DD16" s="122"/>
      <c r="DE16" s="523" t="str">
        <f t="shared" si="8"/>
        <v>0</v>
      </c>
      <c r="DF16" s="122"/>
      <c r="DG16" s="122"/>
      <c r="DH16" s="523" t="str">
        <f t="shared" si="9"/>
        <v>0</v>
      </c>
      <c r="DI16" s="122"/>
      <c r="DJ16" s="122"/>
      <c r="DK16" s="523" t="str">
        <f t="shared" si="10"/>
        <v>0</v>
      </c>
      <c r="DL16" s="122"/>
      <c r="DM16" s="122"/>
      <c r="DN16" s="523" t="str">
        <f t="shared" si="11"/>
        <v>0</v>
      </c>
      <c r="DO16" s="125"/>
      <c r="DP16" s="569"/>
      <c r="DQ16" s="523" t="str">
        <f t="shared" si="12"/>
        <v>0</v>
      </c>
      <c r="DR16" s="453"/>
      <c r="DS16" s="231"/>
      <c r="DT16" s="533"/>
      <c r="DU16" s="528"/>
      <c r="DV16" s="529" t="str">
        <f t="shared" si="13"/>
        <v>0</v>
      </c>
      <c r="DW16" s="533"/>
      <c r="DX16" s="347">
        <v>41295</v>
      </c>
      <c r="DY16" s="341">
        <v>2013</v>
      </c>
      <c r="DZ16" s="443">
        <f t="shared" si="14"/>
        <v>3.9333333333333331</v>
      </c>
      <c r="EA16" s="529" t="str">
        <f t="shared" si="15"/>
        <v>0</v>
      </c>
      <c r="EB16" s="240">
        <v>14</v>
      </c>
      <c r="EC16" s="116">
        <f t="shared" si="16"/>
        <v>33</v>
      </c>
      <c r="ED16" s="315"/>
      <c r="EE16" s="314"/>
      <c r="EF16" s="685" t="str">
        <f t="shared" si="17"/>
        <v>0</v>
      </c>
      <c r="EG16" s="698"/>
      <c r="EH16" s="613"/>
      <c r="EI16" s="614" t="str">
        <f t="shared" si="18"/>
        <v>0</v>
      </c>
      <c r="EJ16" s="254"/>
      <c r="EK16" s="315"/>
      <c r="EL16" s="685" t="str">
        <f t="shared" si="19"/>
        <v>0</v>
      </c>
      <c r="EM16" s="314"/>
      <c r="EN16" s="315"/>
      <c r="EO16" s="685" t="str">
        <f t="shared" si="20"/>
        <v>0</v>
      </c>
      <c r="EP16" s="322"/>
      <c r="EQ16" s="322"/>
      <c r="ER16" s="685" t="str">
        <f t="shared" si="21"/>
        <v>0</v>
      </c>
      <c r="ES16" s="322"/>
      <c r="ET16" s="323"/>
      <c r="EU16" s="685" t="str">
        <f t="shared" si="22"/>
        <v>0</v>
      </c>
      <c r="EV16" s="315"/>
      <c r="EW16" s="315"/>
      <c r="EX16" s="685" t="str">
        <f t="shared" si="23"/>
        <v>0</v>
      </c>
      <c r="EY16" s="323"/>
      <c r="EZ16" s="323"/>
      <c r="FA16" s="323"/>
      <c r="FB16" s="455">
        <f t="shared" si="24"/>
        <v>41719</v>
      </c>
      <c r="FC16" s="349">
        <v>42326</v>
      </c>
      <c r="FD16" s="707">
        <f t="shared" si="25"/>
        <v>20.233333333333334</v>
      </c>
      <c r="FE16" s="455"/>
      <c r="FF16" s="115">
        <v>42338</v>
      </c>
      <c r="FG16" s="115" t="s">
        <v>128</v>
      </c>
      <c r="FH16" s="115" t="s">
        <v>128</v>
      </c>
      <c r="FI16" s="455"/>
      <c r="FJ16" s="455">
        <f t="shared" si="26"/>
        <v>41750</v>
      </c>
      <c r="FK16" s="349">
        <v>42409</v>
      </c>
      <c r="FL16" s="343">
        <v>2016</v>
      </c>
      <c r="FM16" s="704">
        <f t="shared" si="27"/>
        <v>21.966666666666665</v>
      </c>
      <c r="FN16" s="694">
        <f>106635.529075152/12</f>
        <v>8886.294089596</v>
      </c>
      <c r="FO16" s="314">
        <f t="shared" si="28"/>
        <v>195202.26016812545</v>
      </c>
      <c r="FP16" s="115"/>
      <c r="FQ16" s="552"/>
      <c r="FR16" s="692">
        <f t="shared" si="29"/>
        <v>406263</v>
      </c>
      <c r="FS16" s="556">
        <v>125069</v>
      </c>
      <c r="FT16" s="556"/>
      <c r="FU16" s="556"/>
      <c r="FV16" s="556"/>
      <c r="FW16" s="553"/>
      <c r="FX16" s="566" t="s">
        <v>727</v>
      </c>
      <c r="FY16" s="553"/>
      <c r="FZ16" s="553"/>
      <c r="GA16" s="200">
        <v>42321</v>
      </c>
      <c r="GB16" s="200"/>
      <c r="GC16" s="200" t="s">
        <v>521</v>
      </c>
      <c r="GD16" s="200">
        <v>42348</v>
      </c>
      <c r="GE16" s="200">
        <v>42430</v>
      </c>
      <c r="GF16" s="200">
        <v>42869</v>
      </c>
      <c r="GG16" s="200">
        <f t="shared" ref="GG16:GG26" si="63">DATE(YEAR(FC16)+1,MONTH(FC16),DAY(FC16))</f>
        <v>42692</v>
      </c>
      <c r="GH16" s="679">
        <v>56767</v>
      </c>
      <c r="GI16" s="122">
        <v>42530</v>
      </c>
      <c r="GJ16" s="122">
        <v>42531</v>
      </c>
      <c r="GK16" s="122" t="s">
        <v>128</v>
      </c>
      <c r="GL16" s="122">
        <v>42884</v>
      </c>
      <c r="GM16" s="122"/>
      <c r="GN16" s="121"/>
      <c r="GO16" s="320" t="s">
        <v>523</v>
      </c>
      <c r="GP16" s="320"/>
      <c r="GQ16" s="599" t="s">
        <v>526</v>
      </c>
      <c r="GR16" s="233">
        <v>42808</v>
      </c>
      <c r="GS16" s="233" t="s">
        <v>128</v>
      </c>
      <c r="GT16" s="233">
        <v>42947</v>
      </c>
      <c r="GU16" s="121"/>
      <c r="GV16" s="155"/>
      <c r="GW16" s="610">
        <v>3365389</v>
      </c>
      <c r="GX16" s="10">
        <v>3674939</v>
      </c>
      <c r="GY16" s="426">
        <f>HJ16+HO16+HV16+IO16+HT16+HZ16+HW16</f>
        <v>3899161</v>
      </c>
      <c r="GZ16" s="797">
        <f t="shared" si="31"/>
        <v>3899161</v>
      </c>
      <c r="HA16" s="12">
        <f t="shared" si="32"/>
        <v>224222</v>
      </c>
      <c r="HB16" s="49">
        <f t="shared" si="33"/>
        <v>2309.2454841575363</v>
      </c>
      <c r="HC16" s="49">
        <f t="shared" si="34"/>
        <v>177234.59090909091</v>
      </c>
      <c r="HD16" s="10">
        <v>3169080</v>
      </c>
      <c r="HE16" s="11"/>
      <c r="HF16" s="12">
        <f t="shared" si="35"/>
        <v>-3169080</v>
      </c>
      <c r="HG16" s="127">
        <f t="shared" si="36"/>
        <v>0.88045833685946884</v>
      </c>
      <c r="HH16" s="128"/>
      <c r="HI16" s="10">
        <v>929819</v>
      </c>
      <c r="HJ16" s="11">
        <v>929819</v>
      </c>
      <c r="HK16" s="67"/>
      <c r="HL16" s="23">
        <f t="shared" si="37"/>
        <v>42264.5</v>
      </c>
      <c r="HM16" s="37">
        <f t="shared" si="38"/>
        <v>0</v>
      </c>
      <c r="HN16" s="10">
        <v>1895079</v>
      </c>
      <c r="HO16" s="11">
        <f t="shared" si="39"/>
        <v>1895079</v>
      </c>
      <c r="HP16" s="13">
        <v>328778</v>
      </c>
      <c r="HQ16" s="13">
        <v>1566301</v>
      </c>
      <c r="HR16" s="37">
        <f t="shared" si="40"/>
        <v>0</v>
      </c>
      <c r="HS16" s="629">
        <f t="shared" si="41"/>
        <v>86139.954545454544</v>
      </c>
      <c r="HT16" s="11">
        <v>0</v>
      </c>
      <c r="HU16" s="10">
        <f>558000+110000</f>
        <v>668000</v>
      </c>
      <c r="HV16" s="15">
        <v>558000</v>
      </c>
      <c r="HW16" s="66">
        <v>110000</v>
      </c>
      <c r="HX16" s="40">
        <f t="shared" si="42"/>
        <v>0.14310770958162539</v>
      </c>
      <c r="HY16" s="631"/>
      <c r="HZ16" s="15">
        <v>0</v>
      </c>
      <c r="IA16" s="24">
        <f>HV16-HU16+HW16</f>
        <v>0</v>
      </c>
      <c r="IB16" s="23">
        <f t="shared" si="43"/>
        <v>25363.636363636364</v>
      </c>
      <c r="IC16" s="49">
        <f t="shared" si="44"/>
        <v>67628.136363636368</v>
      </c>
      <c r="ID16" s="24">
        <f t="shared" si="45"/>
        <v>0</v>
      </c>
      <c r="IE16" s="48"/>
      <c r="IF16" s="48"/>
      <c r="IG16" s="39">
        <v>1214321.7850000001</v>
      </c>
      <c r="IH16" s="39">
        <v>440000</v>
      </c>
      <c r="II16" s="23">
        <f t="shared" si="46"/>
        <v>87628.136363636368</v>
      </c>
      <c r="IJ16" s="39">
        <v>91493</v>
      </c>
      <c r="IK16" s="23">
        <f t="shared" si="47"/>
        <v>91786.909090909088</v>
      </c>
      <c r="IL16" s="50">
        <f t="shared" si="48"/>
        <v>0.40825799874371793</v>
      </c>
      <c r="IM16" s="39">
        <v>167316.375</v>
      </c>
      <c r="IN16" s="431"/>
      <c r="IO16" s="432">
        <v>406263</v>
      </c>
      <c r="IP16" s="41">
        <f t="shared" si="49"/>
        <v>5113482.7850000001</v>
      </c>
      <c r="IQ16" s="231"/>
      <c r="IR16" s="231">
        <f t="shared" si="50"/>
        <v>0</v>
      </c>
      <c r="IS16" s="113"/>
      <c r="IT16" s="231"/>
      <c r="IU16" s="231"/>
      <c r="IV16" s="113"/>
      <c r="IW16" s="113"/>
      <c r="IX16" s="231"/>
      <c r="IY16" s="113"/>
      <c r="IZ16" s="231"/>
      <c r="JA16" s="113"/>
      <c r="JB16" s="231"/>
      <c r="JC16" s="114"/>
      <c r="JD16" s="321"/>
      <c r="JE16" s="313"/>
      <c r="JF16" s="313"/>
      <c r="JG16" s="122"/>
      <c r="JH16" s="231"/>
      <c r="JI16" s="122"/>
      <c r="JJ16" s="231"/>
      <c r="JK16" s="322"/>
      <c r="JL16" s="322"/>
      <c r="JM16" s="322"/>
      <c r="JN16" s="322"/>
      <c r="JO16" s="269"/>
      <c r="JP16" s="269"/>
      <c r="JQ16" s="269"/>
      <c r="JR16" s="269"/>
      <c r="JS16" s="269"/>
      <c r="JT16" s="269"/>
      <c r="JU16" s="231"/>
      <c r="JV16" s="122"/>
      <c r="JW16" s="114"/>
      <c r="JX16" s="122"/>
      <c r="JY16" s="122"/>
      <c r="JZ16" s="114"/>
    </row>
    <row r="17" spans="1:286" ht="15" customHeight="1">
      <c r="A17" s="850" t="s">
        <v>75</v>
      </c>
      <c r="B17" s="901"/>
      <c r="C17" s="7" t="s">
        <v>34</v>
      </c>
      <c r="D17" s="7" t="s">
        <v>113</v>
      </c>
      <c r="E17" s="7">
        <v>2012</v>
      </c>
      <c r="F17" s="7" t="s">
        <v>86</v>
      </c>
      <c r="G17" s="7" t="s">
        <v>54</v>
      </c>
      <c r="H17" s="765" t="s">
        <v>463</v>
      </c>
      <c r="I17" s="7" t="s">
        <v>250</v>
      </c>
      <c r="J17" s="53"/>
      <c r="K17" s="53" t="s">
        <v>369</v>
      </c>
      <c r="L17" s="255" t="s">
        <v>493</v>
      </c>
      <c r="M17" s="154"/>
      <c r="N17" s="154"/>
      <c r="O17" s="154"/>
      <c r="P17" s="207">
        <v>7382</v>
      </c>
      <c r="Q17" s="207">
        <v>243429</v>
      </c>
      <c r="R17" s="207">
        <v>239545</v>
      </c>
      <c r="S17" s="207">
        <f t="shared" si="54"/>
        <v>10142.875</v>
      </c>
      <c r="T17" s="207">
        <f t="shared" si="55"/>
        <v>32.976022758060147</v>
      </c>
      <c r="U17" s="207">
        <f t="shared" si="56"/>
        <v>32.449878081820643</v>
      </c>
      <c r="V17" s="207">
        <f t="shared" si="57"/>
        <v>118.47636852830038</v>
      </c>
      <c r="W17" s="207">
        <f t="shared" si="58"/>
        <v>9981.0416666666661</v>
      </c>
      <c r="X17" s="207">
        <f t="shared" si="59"/>
        <v>307.58333333333331</v>
      </c>
      <c r="Y17" s="208"/>
      <c r="Z17" s="904">
        <f t="shared" si="51"/>
        <v>32.511514494716877</v>
      </c>
      <c r="AA17" s="208" t="s">
        <v>193</v>
      </c>
      <c r="AB17" s="210">
        <v>750</v>
      </c>
      <c r="AC17" s="211">
        <v>0.3</v>
      </c>
      <c r="AD17" s="7" t="s">
        <v>16</v>
      </c>
      <c r="AE17" s="771">
        <f t="shared" si="0"/>
        <v>24</v>
      </c>
      <c r="AF17" s="771">
        <f t="shared" si="1"/>
        <v>24</v>
      </c>
      <c r="AG17" s="8"/>
      <c r="AH17" s="7">
        <v>24</v>
      </c>
      <c r="AI17" s="53"/>
      <c r="AJ17" s="53"/>
      <c r="AK17" s="57"/>
      <c r="AL17" s="9">
        <v>2021.88</v>
      </c>
      <c r="AM17" s="57"/>
      <c r="AN17" s="82">
        <v>2021.88</v>
      </c>
      <c r="AO17" s="9">
        <f t="shared" si="2"/>
        <v>84.245000000000005</v>
      </c>
      <c r="AP17" s="59"/>
      <c r="AQ17" s="59"/>
      <c r="AR17" s="59"/>
      <c r="AS17" s="59"/>
      <c r="AT17" s="59"/>
      <c r="AU17" s="9">
        <v>1700</v>
      </c>
      <c r="AV17" s="76">
        <v>486</v>
      </c>
      <c r="AW17" s="78">
        <f t="shared" si="53"/>
        <v>6.5835816851801676E-2</v>
      </c>
      <c r="AX17" s="57">
        <v>1.5</v>
      </c>
      <c r="AY17" s="56" t="s">
        <v>549</v>
      </c>
      <c r="AZ17" s="9" t="s">
        <v>121</v>
      </c>
      <c r="BA17" s="57"/>
      <c r="BB17" s="57"/>
      <c r="BC17" s="57"/>
      <c r="BD17" s="53"/>
      <c r="BE17" s="184">
        <v>40963</v>
      </c>
      <c r="BF17" s="418" t="s">
        <v>11</v>
      </c>
      <c r="BG17" s="418" t="s">
        <v>227</v>
      </c>
      <c r="BH17" s="1"/>
      <c r="BI17" s="204">
        <v>41170</v>
      </c>
      <c r="BJ17" s="99"/>
      <c r="BK17" s="99"/>
      <c r="BL17" s="204">
        <v>41232</v>
      </c>
      <c r="BM17" s="99"/>
      <c r="BN17" s="422"/>
      <c r="BO17" s="201"/>
      <c r="BP17" s="102"/>
      <c r="BQ17" s="102"/>
      <c r="BR17" s="298">
        <v>41319</v>
      </c>
      <c r="BS17" s="298">
        <f t="shared" si="3"/>
        <v>42049</v>
      </c>
      <c r="BT17" s="298">
        <f t="shared" si="4"/>
        <v>42414</v>
      </c>
      <c r="BU17" s="298"/>
      <c r="BV17" s="298" t="str">
        <f t="shared" ref="BV17:BV35" si="64">IF(FK17&gt;BS17,"oui","non")</f>
        <v>oui</v>
      </c>
      <c r="BW17" s="672" t="e">
        <f t="shared" si="5"/>
        <v>#NUM!</v>
      </c>
      <c r="BX17" s="672" t="e">
        <f t="shared" si="6"/>
        <v>#NUM!</v>
      </c>
      <c r="BY17" s="672" t="e">
        <f t="shared" si="7"/>
        <v>#NUM!</v>
      </c>
      <c r="BZ17" s="820"/>
      <c r="CA17" s="821"/>
      <c r="CB17" s="820"/>
      <c r="CC17" s="820"/>
      <c r="CD17" s="820"/>
      <c r="CE17" s="820"/>
      <c r="CF17" s="822"/>
      <c r="CG17" s="822"/>
      <c r="CH17" s="822"/>
      <c r="CI17" s="822"/>
      <c r="CJ17" s="822"/>
      <c r="CK17" s="822"/>
      <c r="CL17" s="822"/>
      <c r="CM17" s="822"/>
      <c r="CN17" s="822"/>
      <c r="CO17" s="822"/>
      <c r="CP17" s="822"/>
      <c r="CQ17" s="822"/>
      <c r="CR17" s="822"/>
      <c r="CS17" s="156" t="s">
        <v>68</v>
      </c>
      <c r="CT17" s="307">
        <v>41256</v>
      </c>
      <c r="CU17" s="250"/>
      <c r="CV17" s="157">
        <f>3849124.53/1.021</f>
        <v>3769955.4652301664</v>
      </c>
      <c r="CW17" s="581">
        <f t="shared" si="61"/>
        <v>41803</v>
      </c>
      <c r="CX17" s="405">
        <f t="shared" si="62"/>
        <v>41986</v>
      </c>
      <c r="CY17" s="340">
        <v>41850</v>
      </c>
      <c r="CZ17" s="250">
        <v>42109</v>
      </c>
      <c r="DA17" s="597">
        <f t="shared" si="60"/>
        <v>17.266666666666666</v>
      </c>
      <c r="DB17" s="122"/>
      <c r="DC17" s="122"/>
      <c r="DD17" s="122"/>
      <c r="DE17" s="523" t="str">
        <f t="shared" si="8"/>
        <v>0</v>
      </c>
      <c r="DF17" s="122"/>
      <c r="DG17" s="122"/>
      <c r="DH17" s="523" t="str">
        <f t="shared" si="9"/>
        <v>0</v>
      </c>
      <c r="DI17" s="122"/>
      <c r="DJ17" s="122"/>
      <c r="DK17" s="523" t="str">
        <f t="shared" si="10"/>
        <v>0</v>
      </c>
      <c r="DL17" s="122"/>
      <c r="DM17" s="122"/>
      <c r="DN17" s="523" t="str">
        <f t="shared" si="11"/>
        <v>0</v>
      </c>
      <c r="DO17" s="125"/>
      <c r="DP17" s="569"/>
      <c r="DQ17" s="523" t="str">
        <f t="shared" si="12"/>
        <v>0</v>
      </c>
      <c r="DR17" s="453"/>
      <c r="DS17" s="231"/>
      <c r="DT17" s="533"/>
      <c r="DU17" s="528"/>
      <c r="DV17" s="529" t="str">
        <f t="shared" si="13"/>
        <v>0</v>
      </c>
      <c r="DW17" s="533"/>
      <c r="DX17" s="347">
        <v>41572</v>
      </c>
      <c r="DY17" s="341">
        <v>2013</v>
      </c>
      <c r="DZ17" s="443">
        <f t="shared" si="14"/>
        <v>13.4</v>
      </c>
      <c r="EA17" s="529" t="str">
        <f t="shared" si="15"/>
        <v>0</v>
      </c>
      <c r="EB17" s="116">
        <v>17</v>
      </c>
      <c r="EC17" s="116">
        <f t="shared" si="16"/>
        <v>34</v>
      </c>
      <c r="ED17" s="315"/>
      <c r="EE17" s="314"/>
      <c r="EF17" s="685" t="str">
        <f t="shared" si="17"/>
        <v>0</v>
      </c>
      <c r="EG17" s="698"/>
      <c r="EH17" s="613"/>
      <c r="EI17" s="614" t="str">
        <f t="shared" si="18"/>
        <v>0</v>
      </c>
      <c r="EJ17" s="254"/>
      <c r="EK17" s="315"/>
      <c r="EL17" s="685" t="str">
        <f t="shared" si="19"/>
        <v>0</v>
      </c>
      <c r="EM17" s="314"/>
      <c r="EN17" s="315"/>
      <c r="EO17" s="685" t="str">
        <f t="shared" si="20"/>
        <v>0</v>
      </c>
      <c r="EP17" s="323"/>
      <c r="EQ17" s="323"/>
      <c r="ER17" s="685" t="str">
        <f t="shared" si="21"/>
        <v>0</v>
      </c>
      <c r="ES17" s="323"/>
      <c r="ET17" s="323"/>
      <c r="EU17" s="685" t="str">
        <f t="shared" si="22"/>
        <v>0</v>
      </c>
      <c r="EV17" s="315"/>
      <c r="EW17" s="315"/>
      <c r="EX17" s="685" t="str">
        <f t="shared" si="23"/>
        <v>0</v>
      </c>
      <c r="EY17" s="323"/>
      <c r="EZ17" s="323"/>
      <c r="FA17" s="323"/>
      <c r="FB17" s="455">
        <f t="shared" si="24"/>
        <v>42088</v>
      </c>
      <c r="FC17" s="347">
        <v>42619</v>
      </c>
      <c r="FD17" s="707">
        <f t="shared" si="25"/>
        <v>17.7</v>
      </c>
      <c r="FE17" s="455">
        <f>DATE(YEAR(CY17)+2,MONTH(CY17),DAY(CY17))</f>
        <v>42581</v>
      </c>
      <c r="FF17" s="115">
        <v>42633</v>
      </c>
      <c r="FG17" s="115">
        <v>42342</v>
      </c>
      <c r="FH17" s="115" t="s">
        <v>128</v>
      </c>
      <c r="FI17" s="455"/>
      <c r="FJ17" s="455">
        <f t="shared" si="26"/>
        <v>42119</v>
      </c>
      <c r="FK17" s="349">
        <v>42627</v>
      </c>
      <c r="FL17" s="343">
        <v>2016</v>
      </c>
      <c r="FM17" s="704">
        <f t="shared" si="27"/>
        <v>16.933333333333334</v>
      </c>
      <c r="FN17" s="694">
        <f>100906.540336335/12</f>
        <v>8408.8783613612504</v>
      </c>
      <c r="FO17" s="314">
        <f t="shared" si="28"/>
        <v>142390.34025238384</v>
      </c>
      <c r="FP17" s="115" t="s">
        <v>128</v>
      </c>
      <c r="FQ17" s="552"/>
      <c r="FR17" s="692">
        <f t="shared" si="29"/>
        <v>8439</v>
      </c>
      <c r="FS17" s="556"/>
      <c r="FT17" s="556"/>
      <c r="FU17" s="556"/>
      <c r="FV17" s="556"/>
      <c r="FW17" s="553"/>
      <c r="FX17" s="566" t="s">
        <v>729</v>
      </c>
      <c r="FY17" s="553"/>
      <c r="FZ17" s="553"/>
      <c r="GA17" s="200">
        <v>42702</v>
      </c>
      <c r="GB17" s="200"/>
      <c r="GC17" s="200" t="s">
        <v>128</v>
      </c>
      <c r="GD17" s="122" t="s">
        <v>128</v>
      </c>
      <c r="GE17" s="200">
        <v>42766</v>
      </c>
      <c r="GF17" s="200">
        <v>42979</v>
      </c>
      <c r="GG17" s="122">
        <f t="shared" si="63"/>
        <v>42984</v>
      </c>
      <c r="GH17" s="677">
        <v>57355</v>
      </c>
      <c r="GI17" s="200">
        <v>42716</v>
      </c>
      <c r="GJ17" s="200">
        <v>42755</v>
      </c>
      <c r="GK17" s="122"/>
      <c r="GL17" s="122"/>
      <c r="GM17" s="647"/>
      <c r="GN17" s="121"/>
      <c r="GO17" s="233">
        <v>42829</v>
      </c>
      <c r="GP17" s="657" t="s">
        <v>776</v>
      </c>
      <c r="GQ17" s="599"/>
      <c r="GR17" s="233">
        <v>42808</v>
      </c>
      <c r="GS17" s="181" t="s">
        <v>128</v>
      </c>
      <c r="GT17" s="233">
        <v>43214</v>
      </c>
      <c r="GU17" s="194" t="s">
        <v>128</v>
      </c>
      <c r="GV17" s="155"/>
      <c r="GW17" s="610">
        <v>3907101</v>
      </c>
      <c r="GX17" s="10">
        <v>4128660.85</v>
      </c>
      <c r="GY17" s="426">
        <f>HJ17+HO17+HV17+IO17+HT17+HZ17+HY17</f>
        <v>4111004</v>
      </c>
      <c r="GZ17" s="797">
        <f t="shared" si="31"/>
        <v>4111004</v>
      </c>
      <c r="HA17" s="12">
        <f t="shared" si="32"/>
        <v>-17656.850000000093</v>
      </c>
      <c r="HB17" s="49">
        <f t="shared" si="33"/>
        <v>2033.2581557758126</v>
      </c>
      <c r="HC17" s="49">
        <f t="shared" si="34"/>
        <v>171291.83333333334</v>
      </c>
      <c r="HD17" s="10">
        <v>3645377</v>
      </c>
      <c r="HE17" s="11"/>
      <c r="HF17" s="12">
        <f t="shared" si="35"/>
        <v>-3645377</v>
      </c>
      <c r="HG17" s="127">
        <f t="shared" si="36"/>
        <v>0.90148599079045189</v>
      </c>
      <c r="HH17" s="128"/>
      <c r="HI17" s="10">
        <v>1196851</v>
      </c>
      <c r="HJ17" s="11">
        <v>1196851</v>
      </c>
      <c r="HK17" s="67"/>
      <c r="HL17" s="23">
        <f t="shared" si="37"/>
        <v>49868.791666666664</v>
      </c>
      <c r="HM17" s="37">
        <f t="shared" si="38"/>
        <v>0</v>
      </c>
      <c r="HN17" s="10">
        <v>2362522</v>
      </c>
      <c r="HO17" s="11">
        <f t="shared" si="39"/>
        <v>2362522</v>
      </c>
      <c r="HP17" s="13">
        <v>585357</v>
      </c>
      <c r="HQ17" s="13">
        <v>1777165</v>
      </c>
      <c r="HR17" s="37">
        <f t="shared" si="40"/>
        <v>0</v>
      </c>
      <c r="HS17" s="629">
        <f t="shared" si="41"/>
        <v>98438.416666666672</v>
      </c>
      <c r="HT17" s="11">
        <v>0</v>
      </c>
      <c r="HU17" s="10">
        <f>264000+120000</f>
        <v>384000</v>
      </c>
      <c r="HV17" s="15">
        <v>384000</v>
      </c>
      <c r="HW17" s="66"/>
      <c r="HX17" s="40">
        <f t="shared" si="42"/>
        <v>9.3407839058293307E-2</v>
      </c>
      <c r="HY17" s="631">
        <v>159192</v>
      </c>
      <c r="HZ17" s="15">
        <v>0</v>
      </c>
      <c r="IA17" s="24">
        <f>HV17-HU17</f>
        <v>0</v>
      </c>
      <c r="IB17" s="23">
        <f t="shared" si="43"/>
        <v>16000</v>
      </c>
      <c r="IC17" s="49">
        <f t="shared" si="44"/>
        <v>65868.791666666672</v>
      </c>
      <c r="ID17" s="24">
        <f t="shared" si="45"/>
        <v>0</v>
      </c>
      <c r="IE17" s="48"/>
      <c r="IF17" s="48"/>
      <c r="IG17" s="39">
        <v>913316.69861249998</v>
      </c>
      <c r="IH17" s="39">
        <v>480000</v>
      </c>
      <c r="II17" s="23">
        <f t="shared" si="46"/>
        <v>85868.791666666672</v>
      </c>
      <c r="IJ17" s="39">
        <v>148968.80577250005</v>
      </c>
      <c r="IK17" s="23">
        <f t="shared" si="47"/>
        <v>92075.825240520833</v>
      </c>
      <c r="IL17" s="50">
        <f t="shared" si="48"/>
        <v>0.46259577137783203</v>
      </c>
      <c r="IM17" s="39">
        <v>247321.11820000003</v>
      </c>
      <c r="IN17" s="431"/>
      <c r="IO17" s="432">
        <v>8439</v>
      </c>
      <c r="IP17" s="41">
        <f t="shared" si="49"/>
        <v>5024320.6986125</v>
      </c>
      <c r="IQ17" s="231"/>
      <c r="IR17" s="231">
        <f t="shared" si="50"/>
        <v>0</v>
      </c>
      <c r="IS17" s="113"/>
      <c r="IT17" s="231"/>
      <c r="IU17" s="231"/>
      <c r="IV17" s="113"/>
      <c r="IW17" s="113"/>
      <c r="IX17" s="231"/>
      <c r="IY17" s="113"/>
      <c r="IZ17" s="231"/>
      <c r="JA17" s="113"/>
      <c r="JB17" s="231"/>
      <c r="JC17" s="114"/>
      <c r="JD17" s="321"/>
      <c r="JE17" s="313"/>
      <c r="JF17" s="313"/>
      <c r="JG17" s="122"/>
      <c r="JH17" s="231"/>
      <c r="JI17" s="122"/>
      <c r="JJ17" s="231"/>
      <c r="JK17" s="114"/>
      <c r="JL17" s="114"/>
      <c r="JM17" s="114"/>
      <c r="JN17" s="114"/>
      <c r="JO17" s="269"/>
      <c r="JP17" s="269"/>
      <c r="JQ17" s="269"/>
      <c r="JR17" s="269"/>
      <c r="JS17" s="269"/>
      <c r="JT17" s="269"/>
      <c r="JU17" s="231"/>
      <c r="JV17" s="122"/>
      <c r="JW17" s="114"/>
      <c r="JX17" s="122"/>
      <c r="JY17" s="122"/>
      <c r="JZ17" s="114"/>
    </row>
    <row r="18" spans="1:286" ht="15" customHeight="1">
      <c r="A18" s="849" t="s">
        <v>381</v>
      </c>
      <c r="B18" s="902"/>
      <c r="C18" s="7" t="s">
        <v>35</v>
      </c>
      <c r="D18" s="7" t="s">
        <v>112</v>
      </c>
      <c r="E18" s="7">
        <v>2012</v>
      </c>
      <c r="F18" s="7" t="s">
        <v>85</v>
      </c>
      <c r="G18" s="7" t="s">
        <v>379</v>
      </c>
      <c r="H18" s="765" t="s">
        <v>838</v>
      </c>
      <c r="I18" s="53" t="s">
        <v>250</v>
      </c>
      <c r="J18" s="53"/>
      <c r="K18" s="53"/>
      <c r="L18" s="255"/>
      <c r="M18" s="154"/>
      <c r="N18" s="154"/>
      <c r="O18" s="154"/>
      <c r="P18" s="207">
        <v>2666</v>
      </c>
      <c r="Q18" s="207">
        <v>209000</v>
      </c>
      <c r="R18" s="207">
        <v>154394</v>
      </c>
      <c r="S18" s="207">
        <f t="shared" si="54"/>
        <v>12294.117647058823</v>
      </c>
      <c r="T18" s="207">
        <f t="shared" si="55"/>
        <v>78.394598649662413</v>
      </c>
      <c r="U18" s="207">
        <f t="shared" si="56"/>
        <v>57.912228057014254</v>
      </c>
      <c r="V18" s="207">
        <f t="shared" si="57"/>
        <v>124.49121109498468</v>
      </c>
      <c r="W18" s="207">
        <f t="shared" si="58"/>
        <v>9082</v>
      </c>
      <c r="X18" s="207">
        <f t="shared" si="59"/>
        <v>156.8235294117647</v>
      </c>
      <c r="Y18" s="207"/>
      <c r="Z18" s="904">
        <f t="shared" si="51"/>
        <v>63.765941485371343</v>
      </c>
      <c r="AA18" s="208" t="s">
        <v>188</v>
      </c>
      <c r="AB18" s="210"/>
      <c r="AC18" s="211"/>
      <c r="AD18" s="7" t="s">
        <v>16</v>
      </c>
      <c r="AE18" s="771">
        <f t="shared" si="0"/>
        <v>17</v>
      </c>
      <c r="AF18" s="771">
        <f t="shared" si="1"/>
        <v>17</v>
      </c>
      <c r="AG18" s="8"/>
      <c r="AH18" s="7">
        <v>17</v>
      </c>
      <c r="AI18" s="53"/>
      <c r="AJ18" s="53"/>
      <c r="AK18" s="57"/>
      <c r="AL18" s="9">
        <v>1240.2</v>
      </c>
      <c r="AM18" s="57"/>
      <c r="AN18" s="82">
        <v>1240.2</v>
      </c>
      <c r="AO18" s="9">
        <f t="shared" si="2"/>
        <v>72.952941176470588</v>
      </c>
      <c r="AP18" s="57"/>
      <c r="AQ18" s="57"/>
      <c r="AR18" s="57"/>
      <c r="AS18" s="57"/>
      <c r="AT18" s="57"/>
      <c r="AU18" s="9">
        <v>760</v>
      </c>
      <c r="AV18" s="76">
        <f>30*10</f>
        <v>300</v>
      </c>
      <c r="AW18" s="78">
        <f t="shared" si="53"/>
        <v>0.11252813203300825</v>
      </c>
      <c r="AX18" s="57">
        <v>3</v>
      </c>
      <c r="AY18" s="56" t="s">
        <v>549</v>
      </c>
      <c r="AZ18" s="9" t="s">
        <v>121</v>
      </c>
      <c r="BA18" s="57"/>
      <c r="BB18" s="57"/>
      <c r="BC18" s="57"/>
      <c r="BD18" s="291"/>
      <c r="BE18" s="236">
        <v>40963</v>
      </c>
      <c r="BF18" s="418" t="s">
        <v>11</v>
      </c>
      <c r="BG18" s="418" t="s">
        <v>226</v>
      </c>
      <c r="BH18" s="1"/>
      <c r="BI18" s="204">
        <v>41170</v>
      </c>
      <c r="BJ18" s="99"/>
      <c r="BK18" s="99"/>
      <c r="BL18" s="204">
        <v>41225</v>
      </c>
      <c r="BM18" s="99"/>
      <c r="BN18" s="422"/>
      <c r="BO18" s="201"/>
      <c r="BP18" s="102"/>
      <c r="BQ18" s="102"/>
      <c r="BR18" s="298">
        <v>41319</v>
      </c>
      <c r="BS18" s="298">
        <f t="shared" si="3"/>
        <v>42049</v>
      </c>
      <c r="BT18" s="298">
        <f t="shared" si="4"/>
        <v>42414</v>
      </c>
      <c r="BU18" s="298"/>
      <c r="BV18" s="298" t="str">
        <f t="shared" si="64"/>
        <v>oui</v>
      </c>
      <c r="BW18" s="672" t="e">
        <f t="shared" si="5"/>
        <v>#NUM!</v>
      </c>
      <c r="BX18" s="672" t="e">
        <f t="shared" si="6"/>
        <v>#NUM!</v>
      </c>
      <c r="BY18" s="672" t="e">
        <f t="shared" si="7"/>
        <v>#NUM!</v>
      </c>
      <c r="BZ18" s="820"/>
      <c r="CA18" s="821"/>
      <c r="CB18" s="820"/>
      <c r="CC18" s="820"/>
      <c r="CD18" s="820"/>
      <c r="CE18" s="820"/>
      <c r="CF18" s="822"/>
      <c r="CG18" s="822"/>
      <c r="CH18" s="822"/>
      <c r="CI18" s="822"/>
      <c r="CJ18" s="822"/>
      <c r="CK18" s="822"/>
      <c r="CL18" s="822"/>
      <c r="CM18" s="822"/>
      <c r="CN18" s="822"/>
      <c r="CO18" s="822"/>
      <c r="CP18" s="822"/>
      <c r="CQ18" s="822"/>
      <c r="CR18" s="822"/>
      <c r="CS18" s="156" t="s">
        <v>144</v>
      </c>
      <c r="CT18" s="307">
        <v>41255</v>
      </c>
      <c r="CU18" s="250"/>
      <c r="CV18" s="157">
        <f>2504271.14/1.021</f>
        <v>2452763.1145935361</v>
      </c>
      <c r="CW18" s="581">
        <f t="shared" si="61"/>
        <v>41802</v>
      </c>
      <c r="CX18" s="405">
        <f t="shared" si="62"/>
        <v>41985</v>
      </c>
      <c r="CY18" s="340">
        <v>41744</v>
      </c>
      <c r="CZ18" s="250">
        <v>42047</v>
      </c>
      <c r="DA18" s="597">
        <f t="shared" si="60"/>
        <v>22.633333333333333</v>
      </c>
      <c r="DB18" s="122"/>
      <c r="DC18" s="122"/>
      <c r="DD18" s="122"/>
      <c r="DE18" s="523" t="str">
        <f t="shared" si="8"/>
        <v>0</v>
      </c>
      <c r="DF18" s="122"/>
      <c r="DG18" s="122"/>
      <c r="DH18" s="523" t="str">
        <f t="shared" si="9"/>
        <v>0</v>
      </c>
      <c r="DI18" s="122"/>
      <c r="DJ18" s="122"/>
      <c r="DK18" s="523" t="str">
        <f t="shared" si="10"/>
        <v>0</v>
      </c>
      <c r="DL18" s="122"/>
      <c r="DM18" s="122"/>
      <c r="DN18" s="523" t="str">
        <f t="shared" si="11"/>
        <v>0</v>
      </c>
      <c r="DO18" s="125"/>
      <c r="DP18" s="569"/>
      <c r="DQ18" s="523" t="str">
        <f t="shared" si="12"/>
        <v>0</v>
      </c>
      <c r="DR18" s="453"/>
      <c r="DS18" s="231"/>
      <c r="DT18" s="533"/>
      <c r="DU18" s="528"/>
      <c r="DV18" s="529" t="str">
        <f t="shared" si="13"/>
        <v>0</v>
      </c>
      <c r="DW18" s="533"/>
      <c r="DX18" s="350">
        <v>41309</v>
      </c>
      <c r="DY18" s="341">
        <v>2013</v>
      </c>
      <c r="DZ18" s="443">
        <f t="shared" si="14"/>
        <v>4.6333333333333337</v>
      </c>
      <c r="EA18" s="529" t="str">
        <f t="shared" si="15"/>
        <v>0</v>
      </c>
      <c r="EB18" s="254">
        <v>14</v>
      </c>
      <c r="EC18" s="325">
        <f t="shared" si="16"/>
        <v>46</v>
      </c>
      <c r="ED18" s="122"/>
      <c r="EE18" s="231"/>
      <c r="EF18" s="523" t="str">
        <f t="shared" si="17"/>
        <v>0</v>
      </c>
      <c r="EG18" s="570"/>
      <c r="EH18" s="567"/>
      <c r="EI18" s="526" t="str">
        <f t="shared" si="18"/>
        <v>0</v>
      </c>
      <c r="EJ18" s="125"/>
      <c r="EK18" s="315"/>
      <c r="EL18" s="523" t="str">
        <f t="shared" si="19"/>
        <v>0</v>
      </c>
      <c r="EM18" s="122"/>
      <c r="EN18" s="122"/>
      <c r="EO18" s="523" t="str">
        <f t="shared" si="20"/>
        <v>0</v>
      </c>
      <c r="EP18" s="122"/>
      <c r="EQ18" s="122"/>
      <c r="ER18" s="523" t="str">
        <f t="shared" si="21"/>
        <v>0</v>
      </c>
      <c r="ES18" s="122"/>
      <c r="ET18" s="122"/>
      <c r="EU18" s="523" t="str">
        <f t="shared" si="22"/>
        <v>0</v>
      </c>
      <c r="EV18" s="122"/>
      <c r="EW18" s="122"/>
      <c r="EX18" s="523" t="str">
        <f t="shared" si="23"/>
        <v>0</v>
      </c>
      <c r="EY18" s="122"/>
      <c r="EZ18" s="122"/>
      <c r="FA18" s="122"/>
      <c r="FB18" s="812">
        <f t="shared" si="24"/>
        <v>41733</v>
      </c>
      <c r="FC18" s="350">
        <v>42713</v>
      </c>
      <c r="FD18" s="707">
        <f t="shared" si="25"/>
        <v>32.666666666666664</v>
      </c>
      <c r="FE18" s="733">
        <f>DATE(YEAR(CY18)+2,MONTH(CY18),DAY(CY18))</f>
        <v>42475</v>
      </c>
      <c r="FF18" s="315">
        <v>42788</v>
      </c>
      <c r="FG18" s="315" t="s">
        <v>128</v>
      </c>
      <c r="FH18" s="315" t="s">
        <v>128</v>
      </c>
      <c r="FI18" s="601"/>
      <c r="FJ18" s="455">
        <f t="shared" si="26"/>
        <v>41763</v>
      </c>
      <c r="FK18" s="349">
        <v>42726</v>
      </c>
      <c r="FL18" s="343">
        <v>2016</v>
      </c>
      <c r="FM18" s="704">
        <f t="shared" si="27"/>
        <v>32.1</v>
      </c>
      <c r="FN18" s="695">
        <f>79535/12</f>
        <v>6627.916666666667</v>
      </c>
      <c r="FO18" s="314">
        <f t="shared" si="28"/>
        <v>212756.12500000003</v>
      </c>
      <c r="FP18" s="315" t="s">
        <v>128</v>
      </c>
      <c r="FQ18" s="552"/>
      <c r="FR18" s="692">
        <f t="shared" si="29"/>
        <v>0</v>
      </c>
      <c r="FS18" s="556"/>
      <c r="FT18" s="556"/>
      <c r="FU18" s="556"/>
      <c r="FV18" s="556"/>
      <c r="FW18" s="553"/>
      <c r="FX18" s="566" t="s">
        <v>730</v>
      </c>
      <c r="FY18" s="553"/>
      <c r="FZ18" s="553"/>
      <c r="GA18" s="118" t="s">
        <v>520</v>
      </c>
      <c r="GB18" s="118"/>
      <c r="GC18" s="320" t="s">
        <v>565</v>
      </c>
      <c r="GD18" s="118" t="s">
        <v>782</v>
      </c>
      <c r="GE18" s="200">
        <v>42928</v>
      </c>
      <c r="GF18" s="200">
        <v>43000</v>
      </c>
      <c r="GG18" s="122">
        <f t="shared" si="63"/>
        <v>43078</v>
      </c>
      <c r="GH18" s="677">
        <v>41687</v>
      </c>
      <c r="GI18" s="194">
        <v>42779</v>
      </c>
      <c r="GJ18" s="194">
        <v>42779</v>
      </c>
      <c r="GK18" s="121"/>
      <c r="GL18" s="121"/>
      <c r="GM18" s="647"/>
      <c r="GN18" s="121"/>
      <c r="GO18" s="121">
        <v>42915</v>
      </c>
      <c r="GP18" s="183" t="s">
        <v>775</v>
      </c>
      <c r="GQ18" s="121"/>
      <c r="GR18" s="233">
        <v>42808</v>
      </c>
      <c r="GS18" s="233" t="s">
        <v>128</v>
      </c>
      <c r="GT18" s="121" t="s">
        <v>128</v>
      </c>
      <c r="GU18" s="121" t="s">
        <v>128</v>
      </c>
      <c r="GV18" s="155"/>
      <c r="GW18" s="610">
        <v>2618300</v>
      </c>
      <c r="GX18" s="10">
        <v>3231832.2199999997</v>
      </c>
      <c r="GY18" s="426">
        <f>HJ18+HO18+HV18+IO18+HT18+HZ18+HY18+HW18</f>
        <v>3203900</v>
      </c>
      <c r="GZ18" s="797">
        <f t="shared" si="31"/>
        <v>3203900</v>
      </c>
      <c r="HA18" s="12">
        <f t="shared" si="32"/>
        <v>-27932.219999999739</v>
      </c>
      <c r="HB18" s="49">
        <f t="shared" si="33"/>
        <v>2583.373649411385</v>
      </c>
      <c r="HC18" s="49">
        <f t="shared" si="34"/>
        <v>188464.70588235295</v>
      </c>
      <c r="HD18" s="10">
        <v>2379882</v>
      </c>
      <c r="HE18" s="11"/>
      <c r="HF18" s="12">
        <f t="shared" si="35"/>
        <v>-2379882</v>
      </c>
      <c r="HG18" s="127">
        <f t="shared" si="36"/>
        <v>0.75185200115369855</v>
      </c>
      <c r="HH18" s="128"/>
      <c r="HI18" s="10">
        <v>750247</v>
      </c>
      <c r="HJ18" s="11">
        <v>750248</v>
      </c>
      <c r="HK18" s="67"/>
      <c r="HL18" s="23">
        <f t="shared" si="37"/>
        <v>44132.23529411765</v>
      </c>
      <c r="HM18" s="37">
        <f t="shared" si="38"/>
        <v>1</v>
      </c>
      <c r="HN18" s="10">
        <v>1395754</v>
      </c>
      <c r="HO18" s="11">
        <f t="shared" si="39"/>
        <v>1395754</v>
      </c>
      <c r="HP18" s="13">
        <v>259962</v>
      </c>
      <c r="HQ18" s="13">
        <v>1135792</v>
      </c>
      <c r="HR18" s="37">
        <f t="shared" si="40"/>
        <v>0</v>
      </c>
      <c r="HS18" s="629">
        <f t="shared" si="41"/>
        <v>82103.176470588238</v>
      </c>
      <c r="HT18" s="11">
        <v>0</v>
      </c>
      <c r="HU18" s="10">
        <f>254997+85000</f>
        <v>339997</v>
      </c>
      <c r="HV18" s="15">
        <v>254997</v>
      </c>
      <c r="HW18" s="66">
        <v>85000</v>
      </c>
      <c r="HX18" s="40">
        <f t="shared" si="42"/>
        <v>7.9589562720434465E-2</v>
      </c>
      <c r="HY18" s="631">
        <v>717901</v>
      </c>
      <c r="HZ18" s="15">
        <v>0</v>
      </c>
      <c r="IA18" s="24">
        <f>HV18-HU18+HW18</f>
        <v>0</v>
      </c>
      <c r="IB18" s="23">
        <f t="shared" si="43"/>
        <v>14999.823529411764</v>
      </c>
      <c r="IC18" s="49">
        <f t="shared" si="44"/>
        <v>59132.058823529413</v>
      </c>
      <c r="ID18" s="24">
        <f t="shared" si="45"/>
        <v>0</v>
      </c>
      <c r="IE18" s="48"/>
      <c r="IF18" s="48"/>
      <c r="IG18" s="39">
        <v>508572.84914999997</v>
      </c>
      <c r="IH18" s="39">
        <v>340000</v>
      </c>
      <c r="II18" s="23">
        <f t="shared" si="46"/>
        <v>79132.058823529413</v>
      </c>
      <c r="IJ18" s="39">
        <v>0</v>
      </c>
      <c r="IK18" s="23">
        <f t="shared" si="47"/>
        <v>79132.058823529413</v>
      </c>
      <c r="IL18" s="50">
        <f t="shared" si="48"/>
        <v>0.37842672261036625</v>
      </c>
      <c r="IM18" s="39">
        <v>157636.68239999999</v>
      </c>
      <c r="IN18" s="39"/>
      <c r="IO18" s="432"/>
      <c r="IP18" s="41">
        <f t="shared" si="49"/>
        <v>3712472.8491500001</v>
      </c>
      <c r="IQ18" s="231"/>
      <c r="IR18" s="231">
        <f t="shared" si="50"/>
        <v>0</v>
      </c>
      <c r="IS18" s="113"/>
      <c r="IT18" s="231"/>
      <c r="IU18" s="231"/>
      <c r="IV18" s="113"/>
      <c r="IW18" s="113"/>
      <c r="IX18" s="231"/>
      <c r="IY18" s="113"/>
      <c r="IZ18" s="231"/>
      <c r="JA18" s="113"/>
      <c r="JB18" s="231"/>
      <c r="JC18" s="114"/>
      <c r="JD18" s="321"/>
      <c r="JE18" s="313"/>
      <c r="JF18" s="313"/>
      <c r="JG18" s="122"/>
      <c r="JH18" s="231"/>
      <c r="JI18" s="122"/>
      <c r="JJ18" s="231"/>
      <c r="JK18" s="114"/>
      <c r="JL18" s="114"/>
      <c r="JM18" s="114"/>
      <c r="JN18" s="114"/>
      <c r="JO18" s="269"/>
      <c r="JP18" s="269"/>
      <c r="JQ18" s="269"/>
      <c r="JR18" s="269"/>
      <c r="JS18" s="269"/>
      <c r="JT18" s="269"/>
      <c r="JU18" s="231"/>
      <c r="JV18" s="122"/>
      <c r="JW18" s="114"/>
      <c r="JX18" s="122"/>
      <c r="JY18" s="122"/>
      <c r="JZ18" s="114"/>
    </row>
    <row r="19" spans="1:286" ht="15" customHeight="1">
      <c r="A19" s="20" t="s">
        <v>277</v>
      </c>
      <c r="B19" s="54"/>
      <c r="C19" s="7" t="s">
        <v>34</v>
      </c>
      <c r="D19" s="7" t="s">
        <v>113</v>
      </c>
      <c r="E19" s="7">
        <v>2012</v>
      </c>
      <c r="F19" s="7" t="s">
        <v>88</v>
      </c>
      <c r="G19" s="7" t="s">
        <v>54</v>
      </c>
      <c r="H19" s="765" t="s">
        <v>463</v>
      </c>
      <c r="I19" s="7" t="s">
        <v>250</v>
      </c>
      <c r="J19" s="53"/>
      <c r="K19" s="53"/>
      <c r="L19" s="395" t="s">
        <v>601</v>
      </c>
      <c r="M19" s="154"/>
      <c r="N19" s="154"/>
      <c r="O19" s="154"/>
      <c r="P19" s="207">
        <v>3000</v>
      </c>
      <c r="Q19" s="207">
        <v>200500</v>
      </c>
      <c r="R19" s="207">
        <v>112930</v>
      </c>
      <c r="S19" s="207">
        <f t="shared" si="54"/>
        <v>20050</v>
      </c>
      <c r="T19" s="207">
        <f t="shared" si="55"/>
        <v>66.833333333333329</v>
      </c>
      <c r="U19" s="207">
        <f t="shared" si="56"/>
        <v>37.643333333333331</v>
      </c>
      <c r="V19" s="207">
        <f t="shared" si="57"/>
        <v>120.70587229312298</v>
      </c>
      <c r="W19" s="207">
        <f t="shared" si="58"/>
        <v>11293</v>
      </c>
      <c r="X19" s="207">
        <f t="shared" si="59"/>
        <v>300</v>
      </c>
      <c r="Y19" s="208">
        <v>691.97</v>
      </c>
      <c r="Z19" s="904">
        <f t="shared" si="51"/>
        <v>33.333333333333336</v>
      </c>
      <c r="AA19" s="208" t="s">
        <v>193</v>
      </c>
      <c r="AB19" s="210">
        <v>850</v>
      </c>
      <c r="AC19" s="211">
        <v>0.3</v>
      </c>
      <c r="AD19" s="7" t="s">
        <v>16</v>
      </c>
      <c r="AE19" s="771">
        <f t="shared" si="0"/>
        <v>10</v>
      </c>
      <c r="AF19" s="771">
        <f t="shared" si="1"/>
        <v>10</v>
      </c>
      <c r="AG19" s="8"/>
      <c r="AH19" s="7">
        <v>10</v>
      </c>
      <c r="AI19" s="53"/>
      <c r="AJ19" s="53"/>
      <c r="AK19" s="57"/>
      <c r="AL19" s="9">
        <v>935.58</v>
      </c>
      <c r="AM19" s="57"/>
      <c r="AN19" s="82">
        <v>935.58</v>
      </c>
      <c r="AO19" s="9">
        <f t="shared" si="2"/>
        <v>93.558000000000007</v>
      </c>
      <c r="AP19" s="59"/>
      <c r="AQ19" s="59"/>
      <c r="AR19" s="78">
        <f>3/AE19</f>
        <v>0.3</v>
      </c>
      <c r="AS19" s="78">
        <f>5/AE19</f>
        <v>0.5</v>
      </c>
      <c r="AT19" s="78">
        <f>2/AE19</f>
        <v>0.2</v>
      </c>
      <c r="AU19" s="9">
        <v>884</v>
      </c>
      <c r="AV19" s="76">
        <v>91</v>
      </c>
      <c r="AW19" s="78">
        <f t="shared" si="53"/>
        <v>3.0333333333333334E-2</v>
      </c>
      <c r="AX19" s="57">
        <v>1.5</v>
      </c>
      <c r="AY19" s="59" t="s">
        <v>548</v>
      </c>
      <c r="AZ19" s="9" t="s">
        <v>121</v>
      </c>
      <c r="BA19" s="57"/>
      <c r="BB19" s="57"/>
      <c r="BC19" s="57"/>
      <c r="BD19" s="53"/>
      <c r="BE19" s="184">
        <v>40963</v>
      </c>
      <c r="BF19" s="418" t="s">
        <v>11</v>
      </c>
      <c r="BG19" s="418" t="s">
        <v>227</v>
      </c>
      <c r="BH19" s="1"/>
      <c r="BI19" s="204">
        <v>41179</v>
      </c>
      <c r="BJ19" s="99"/>
      <c r="BK19" s="99"/>
      <c r="BL19" s="204">
        <v>41190</v>
      </c>
      <c r="BM19" s="99"/>
      <c r="BN19" s="422"/>
      <c r="BO19" s="201"/>
      <c r="BP19" s="102"/>
      <c r="BQ19" s="102"/>
      <c r="BR19" s="298">
        <v>41319</v>
      </c>
      <c r="BS19" s="298">
        <f t="shared" si="3"/>
        <v>42049</v>
      </c>
      <c r="BT19" s="298">
        <f t="shared" si="4"/>
        <v>42414</v>
      </c>
      <c r="BU19" s="298"/>
      <c r="BV19" s="298" t="str">
        <f t="shared" si="64"/>
        <v>oui</v>
      </c>
      <c r="BW19" s="672">
        <f t="shared" si="5"/>
        <v>4</v>
      </c>
      <c r="BX19" s="672">
        <f t="shared" si="6"/>
        <v>18677.224538483835</v>
      </c>
      <c r="BY19" s="672">
        <f t="shared" si="7"/>
        <v>0</v>
      </c>
      <c r="BZ19" s="820"/>
      <c r="CA19" s="821"/>
      <c r="CB19" s="820"/>
      <c r="CC19" s="820"/>
      <c r="CD19" s="820"/>
      <c r="CE19" s="820"/>
      <c r="CF19" s="822"/>
      <c r="CG19" s="822"/>
      <c r="CH19" s="822"/>
      <c r="CI19" s="822"/>
      <c r="CJ19" s="822"/>
      <c r="CK19" s="822"/>
      <c r="CL19" s="822"/>
      <c r="CM19" s="822"/>
      <c r="CN19" s="822"/>
      <c r="CO19" s="822"/>
      <c r="CP19" s="822"/>
      <c r="CQ19" s="822"/>
      <c r="CR19" s="822"/>
      <c r="CS19" s="156" t="s">
        <v>144</v>
      </c>
      <c r="CT19" s="307">
        <v>41255</v>
      </c>
      <c r="CU19" s="250"/>
      <c r="CV19" s="157">
        <v>1784992.95</v>
      </c>
      <c r="CW19" s="581">
        <f t="shared" si="61"/>
        <v>41802</v>
      </c>
      <c r="CX19" s="405">
        <f t="shared" si="62"/>
        <v>41985</v>
      </c>
      <c r="CY19" s="340">
        <v>41746</v>
      </c>
      <c r="CZ19" s="250">
        <v>41985</v>
      </c>
      <c r="DA19" s="597">
        <f t="shared" si="60"/>
        <v>10.033333333333333</v>
      </c>
      <c r="DB19" s="122"/>
      <c r="DC19" s="122"/>
      <c r="DD19" s="122"/>
      <c r="DE19" s="523" t="str">
        <f t="shared" si="8"/>
        <v>0</v>
      </c>
      <c r="DF19" s="122"/>
      <c r="DG19" s="122"/>
      <c r="DH19" s="523" t="str">
        <f t="shared" si="9"/>
        <v>0</v>
      </c>
      <c r="DI19" s="122"/>
      <c r="DJ19" s="122"/>
      <c r="DK19" s="523" t="str">
        <f t="shared" si="10"/>
        <v>0</v>
      </c>
      <c r="DL19" s="122"/>
      <c r="DM19" s="122"/>
      <c r="DN19" s="523" t="str">
        <f t="shared" si="11"/>
        <v>0</v>
      </c>
      <c r="DO19" s="125"/>
      <c r="DP19" s="569"/>
      <c r="DQ19" s="523" t="str">
        <f t="shared" si="12"/>
        <v>0</v>
      </c>
      <c r="DR19" s="453"/>
      <c r="DS19" s="231"/>
      <c r="DT19" s="533"/>
      <c r="DU19" s="528"/>
      <c r="DV19" s="529" t="str">
        <f t="shared" si="13"/>
        <v>0</v>
      </c>
      <c r="DW19" s="533"/>
      <c r="DX19" s="347">
        <v>41451</v>
      </c>
      <c r="DY19" s="341">
        <v>2013</v>
      </c>
      <c r="DZ19" s="443">
        <f t="shared" si="14"/>
        <v>9.0666666666666664</v>
      </c>
      <c r="EA19" s="529" t="str">
        <f t="shared" si="15"/>
        <v>0</v>
      </c>
      <c r="EB19" s="240">
        <v>14</v>
      </c>
      <c r="EC19" s="125">
        <f t="shared" si="16"/>
        <v>26</v>
      </c>
      <c r="ED19" s="315"/>
      <c r="EE19" s="314"/>
      <c r="EF19" s="685" t="str">
        <f t="shared" si="17"/>
        <v>0</v>
      </c>
      <c r="EG19" s="698"/>
      <c r="EH19" s="613"/>
      <c r="EI19" s="614" t="str">
        <f t="shared" si="18"/>
        <v>0</v>
      </c>
      <c r="EJ19" s="254"/>
      <c r="EK19" s="315">
        <f ca="1">IF(EJ19&lt;TODAY(),TODAY(),EJ19)</f>
        <v>43423</v>
      </c>
      <c r="EL19" s="685" t="str">
        <f t="shared" ca="1" si="19"/>
        <v>0</v>
      </c>
      <c r="EM19" s="315"/>
      <c r="EN19" s="315"/>
      <c r="EO19" s="685" t="str">
        <f t="shared" si="20"/>
        <v>0</v>
      </c>
      <c r="EP19" s="315"/>
      <c r="EQ19" s="315"/>
      <c r="ER19" s="685" t="str">
        <f t="shared" si="21"/>
        <v>0</v>
      </c>
      <c r="ES19" s="315"/>
      <c r="ET19" s="315"/>
      <c r="EU19" s="685" t="str">
        <f t="shared" si="22"/>
        <v>0</v>
      </c>
      <c r="EV19" s="315"/>
      <c r="EW19" s="315"/>
      <c r="EX19" s="685" t="str">
        <f t="shared" si="23"/>
        <v>0</v>
      </c>
      <c r="EY19" s="315"/>
      <c r="EZ19" s="315"/>
      <c r="FA19" s="315"/>
      <c r="FB19" s="455">
        <f t="shared" si="24"/>
        <v>41877</v>
      </c>
      <c r="FC19" s="349">
        <v>42265</v>
      </c>
      <c r="FD19" s="707">
        <f t="shared" si="25"/>
        <v>12.933333333333334</v>
      </c>
      <c r="FE19" s="455"/>
      <c r="FF19" s="126">
        <v>42285</v>
      </c>
      <c r="FG19" s="234" t="s">
        <v>128</v>
      </c>
      <c r="FH19" s="126">
        <v>42277</v>
      </c>
      <c r="FI19" s="600"/>
      <c r="FJ19" s="455">
        <f t="shared" si="26"/>
        <v>41908</v>
      </c>
      <c r="FK19" s="351">
        <v>42286</v>
      </c>
      <c r="FL19" s="456">
        <v>2015</v>
      </c>
      <c r="FM19" s="702">
        <f t="shared" si="27"/>
        <v>12.6</v>
      </c>
      <c r="FN19" s="697">
        <f>56031.6736154515/12</f>
        <v>4669.3061346209588</v>
      </c>
      <c r="FO19" s="231">
        <f t="shared" si="28"/>
        <v>58833.257296224081</v>
      </c>
      <c r="FP19" s="126"/>
      <c r="FQ19" s="552"/>
      <c r="FR19" s="692">
        <f t="shared" si="29"/>
        <v>179385.62</v>
      </c>
      <c r="FS19" s="556"/>
      <c r="FT19" s="556"/>
      <c r="FU19" s="556"/>
      <c r="FV19" s="556"/>
      <c r="FW19" s="553"/>
      <c r="FX19" s="566" t="s">
        <v>731</v>
      </c>
      <c r="FY19" s="553"/>
      <c r="FZ19" s="553"/>
      <c r="GA19" s="126" t="s">
        <v>128</v>
      </c>
      <c r="GB19" s="126"/>
      <c r="GC19" s="122" t="s">
        <v>128</v>
      </c>
      <c r="GD19" s="122" t="s">
        <v>128</v>
      </c>
      <c r="GE19" s="122" t="s">
        <v>128</v>
      </c>
      <c r="GF19" s="619" t="s">
        <v>128</v>
      </c>
      <c r="GG19" s="122">
        <f t="shared" si="63"/>
        <v>42631</v>
      </c>
      <c r="GH19" s="677"/>
      <c r="GI19" s="194">
        <v>42311</v>
      </c>
      <c r="GJ19" s="233" t="s">
        <v>366</v>
      </c>
      <c r="GK19" s="233" t="s">
        <v>128</v>
      </c>
      <c r="GL19" s="233">
        <v>42781</v>
      </c>
      <c r="GM19" s="233">
        <v>42781</v>
      </c>
      <c r="GN19" s="121"/>
      <c r="GO19" s="233" t="s">
        <v>509</v>
      </c>
      <c r="GP19" s="280"/>
      <c r="GQ19" s="599" t="s">
        <v>591</v>
      </c>
      <c r="GR19" s="233">
        <v>42808</v>
      </c>
      <c r="GS19" s="181" t="s">
        <v>128</v>
      </c>
      <c r="GT19" s="233">
        <v>43214</v>
      </c>
      <c r="GU19" s="194" t="s">
        <v>128</v>
      </c>
      <c r="GV19" s="155"/>
      <c r="GW19" s="610">
        <v>1723671</v>
      </c>
      <c r="GX19" s="10">
        <v>2008085.62</v>
      </c>
      <c r="GY19" s="426">
        <f>HJ19+HO19+HV19+IO19+HZ19+HT19</f>
        <v>2108085.62</v>
      </c>
      <c r="GZ19" s="797">
        <f t="shared" si="31"/>
        <v>2108085.62</v>
      </c>
      <c r="HA19" s="12">
        <f t="shared" si="32"/>
        <v>100000</v>
      </c>
      <c r="HB19" s="49">
        <f t="shared" si="33"/>
        <v>2253.2392954103339</v>
      </c>
      <c r="HC19" s="49">
        <f t="shared" si="34"/>
        <v>210808.56200000001</v>
      </c>
      <c r="HD19" s="10">
        <v>1672116</v>
      </c>
      <c r="HE19" s="11"/>
      <c r="HF19" s="12">
        <f t="shared" si="35"/>
        <v>-1672116</v>
      </c>
      <c r="HG19" s="127">
        <f t="shared" si="36"/>
        <v>0.85017810943738525</v>
      </c>
      <c r="HH19" s="128"/>
      <c r="HI19" s="10">
        <v>553441</v>
      </c>
      <c r="HJ19" s="11">
        <v>553441</v>
      </c>
      <c r="HK19" s="67"/>
      <c r="HL19" s="23">
        <f t="shared" si="37"/>
        <v>55344.1</v>
      </c>
      <c r="HM19" s="37">
        <f t="shared" si="38"/>
        <v>0</v>
      </c>
      <c r="HN19" s="10">
        <v>1110259</v>
      </c>
      <c r="HO19" s="11">
        <f t="shared" si="39"/>
        <v>1110259</v>
      </c>
      <c r="HP19" s="13">
        <v>257996</v>
      </c>
      <c r="HQ19" s="13">
        <v>852263</v>
      </c>
      <c r="HR19" s="37">
        <f t="shared" si="40"/>
        <v>0</v>
      </c>
      <c r="HS19" s="629">
        <f t="shared" si="41"/>
        <v>111025.9</v>
      </c>
      <c r="HT19" s="11">
        <v>100000</v>
      </c>
      <c r="HU19" s="10">
        <v>165000</v>
      </c>
      <c r="HV19" s="15">
        <v>165000</v>
      </c>
      <c r="HW19" s="66"/>
      <c r="HX19" s="40">
        <f t="shared" si="42"/>
        <v>7.8270065710139419E-2</v>
      </c>
      <c r="HY19" s="303"/>
      <c r="HZ19" s="15">
        <v>0</v>
      </c>
      <c r="IA19" s="24">
        <f>HV19-HU19</f>
        <v>0</v>
      </c>
      <c r="IB19" s="23">
        <f t="shared" si="43"/>
        <v>16500</v>
      </c>
      <c r="IC19" s="49">
        <f t="shared" si="44"/>
        <v>71844.100000000006</v>
      </c>
      <c r="ID19" s="24">
        <f t="shared" si="45"/>
        <v>0</v>
      </c>
      <c r="IE19" s="48"/>
      <c r="IF19" s="48"/>
      <c r="IG19" s="39">
        <v>666201.89926500001</v>
      </c>
      <c r="IH19" s="39">
        <v>200000</v>
      </c>
      <c r="II19" s="23">
        <f t="shared" si="46"/>
        <v>91844.1</v>
      </c>
      <c r="IJ19" s="39">
        <v>206916.91</v>
      </c>
      <c r="IK19" s="23">
        <f t="shared" si="47"/>
        <v>112535.791</v>
      </c>
      <c r="IL19" s="50">
        <f t="shared" si="48"/>
        <v>0.42322822103740099</v>
      </c>
      <c r="IM19" s="39">
        <v>115301.53</v>
      </c>
      <c r="IN19" s="431"/>
      <c r="IO19" s="432">
        <v>179385.62</v>
      </c>
      <c r="IP19" s="41">
        <f t="shared" si="49"/>
        <v>2774287.5192650002</v>
      </c>
      <c r="IQ19" s="231"/>
      <c r="IR19" s="231">
        <f t="shared" si="50"/>
        <v>0</v>
      </c>
      <c r="IS19" s="113"/>
      <c r="IT19" s="231"/>
      <c r="IU19" s="231"/>
      <c r="IV19" s="113"/>
      <c r="IW19" s="113"/>
      <c r="IX19" s="231"/>
      <c r="IY19" s="113"/>
      <c r="IZ19" s="231"/>
      <c r="JA19" s="113"/>
      <c r="JB19" s="231"/>
      <c r="JC19" s="114"/>
      <c r="JD19" s="321"/>
      <c r="JE19" s="313"/>
      <c r="JF19" s="313"/>
      <c r="JG19" s="122"/>
      <c r="JH19" s="231"/>
      <c r="JI19" s="122"/>
      <c r="JJ19" s="231"/>
      <c r="JK19" s="322"/>
      <c r="JL19" s="322"/>
      <c r="JM19" s="322"/>
      <c r="JN19" s="322"/>
      <c r="JO19" s="269"/>
      <c r="JP19" s="269"/>
      <c r="JQ19" s="269"/>
      <c r="JR19" s="269"/>
      <c r="JS19" s="269"/>
      <c r="JT19" s="269"/>
      <c r="JU19" s="231"/>
      <c r="JV19" s="122"/>
      <c r="JW19" s="114"/>
      <c r="JX19" s="122"/>
      <c r="JY19" s="122"/>
      <c r="JZ19" s="114"/>
    </row>
    <row r="20" spans="1:286" ht="15" customHeight="1">
      <c r="A20" s="20" t="s">
        <v>90</v>
      </c>
      <c r="B20" s="54"/>
      <c r="C20" s="7" t="s">
        <v>35</v>
      </c>
      <c r="D20" s="7" t="s">
        <v>112</v>
      </c>
      <c r="E20" s="7">
        <v>2012</v>
      </c>
      <c r="F20" s="7" t="s">
        <v>81</v>
      </c>
      <c r="G20" s="7" t="s">
        <v>37</v>
      </c>
      <c r="H20" s="765"/>
      <c r="I20" s="7" t="s">
        <v>250</v>
      </c>
      <c r="J20" s="53"/>
      <c r="K20" s="53"/>
      <c r="L20" s="255"/>
      <c r="M20" s="154"/>
      <c r="N20" s="154"/>
      <c r="O20" s="154"/>
      <c r="P20" s="207">
        <v>3735</v>
      </c>
      <c r="Q20" s="207">
        <f>R20</f>
        <v>860000</v>
      </c>
      <c r="R20" s="207">
        <v>860000</v>
      </c>
      <c r="S20" s="207">
        <f>Q20/(AE20+AE139)</f>
        <v>29655.172413793105</v>
      </c>
      <c r="T20" s="207">
        <f t="shared" si="55"/>
        <v>230.25435073627844</v>
      </c>
      <c r="U20" s="207">
        <f t="shared" si="56"/>
        <v>230.25435073627844</v>
      </c>
      <c r="V20" s="207">
        <f>R20/(AN20+AN139)</f>
        <v>359.81005376231616</v>
      </c>
      <c r="W20" s="207">
        <f>R20/(AE20+AE139)</f>
        <v>29655.172413793105</v>
      </c>
      <c r="X20" s="207">
        <f>P20/(AE20+AE139)</f>
        <v>128.79310344827587</v>
      </c>
      <c r="Y20" s="207"/>
      <c r="Z20" s="904">
        <f t="shared" si="51"/>
        <v>77.643908969210173</v>
      </c>
      <c r="AA20" s="208" t="s">
        <v>194</v>
      </c>
      <c r="AB20" s="210"/>
      <c r="AC20" s="211"/>
      <c r="AD20" s="7" t="s">
        <v>15</v>
      </c>
      <c r="AE20" s="771">
        <f t="shared" si="0"/>
        <v>29</v>
      </c>
      <c r="AF20" s="771">
        <f t="shared" si="1"/>
        <v>29</v>
      </c>
      <c r="AG20" s="7">
        <v>29</v>
      </c>
      <c r="AH20" s="8"/>
      <c r="AI20" s="64"/>
      <c r="AJ20" s="64"/>
      <c r="AK20" s="57"/>
      <c r="AL20" s="9">
        <v>2390.15</v>
      </c>
      <c r="AM20" s="57"/>
      <c r="AN20" s="82">
        <v>2390.15</v>
      </c>
      <c r="AO20" s="9">
        <f t="shared" si="2"/>
        <v>82.418965517241389</v>
      </c>
      <c r="AP20" s="59"/>
      <c r="AQ20" s="59"/>
      <c r="AR20" s="59"/>
      <c r="AS20" s="59"/>
      <c r="AT20" s="59"/>
      <c r="AU20" s="9">
        <v>1046</v>
      </c>
      <c r="AV20" s="76">
        <v>0</v>
      </c>
      <c r="AW20" s="78">
        <f t="shared" si="53"/>
        <v>0</v>
      </c>
      <c r="AX20" s="57">
        <v>4</v>
      </c>
      <c r="AY20" s="56" t="s">
        <v>549</v>
      </c>
      <c r="AZ20" s="9" t="s">
        <v>120</v>
      </c>
      <c r="BA20" s="57"/>
      <c r="BB20" s="57"/>
      <c r="BC20" s="57"/>
      <c r="BD20" s="53"/>
      <c r="BE20" s="184">
        <v>40963</v>
      </c>
      <c r="BF20" s="418" t="s">
        <v>12</v>
      </c>
      <c r="BG20" s="418" t="s">
        <v>234</v>
      </c>
      <c r="BH20" s="1"/>
      <c r="BI20" s="204">
        <v>41053</v>
      </c>
      <c r="BJ20" s="99"/>
      <c r="BK20" s="99"/>
      <c r="BL20" s="204">
        <v>41193</v>
      </c>
      <c r="BM20" s="99"/>
      <c r="BN20" s="422"/>
      <c r="BO20" s="201"/>
      <c r="BP20" s="102"/>
      <c r="BQ20" s="102"/>
      <c r="BR20" s="298">
        <v>41319</v>
      </c>
      <c r="BS20" s="298">
        <f t="shared" si="3"/>
        <v>42049</v>
      </c>
      <c r="BT20" s="298">
        <f t="shared" si="4"/>
        <v>42414</v>
      </c>
      <c r="BU20" s="298"/>
      <c r="BV20" s="298" t="str">
        <f t="shared" si="64"/>
        <v>oui</v>
      </c>
      <c r="BW20" s="672">
        <f t="shared" si="5"/>
        <v>8</v>
      </c>
      <c r="BX20" s="672">
        <f t="shared" si="6"/>
        <v>123231.77509643867</v>
      </c>
      <c r="BY20" s="672">
        <f t="shared" si="7"/>
        <v>0</v>
      </c>
      <c r="BZ20" s="820"/>
      <c r="CA20" s="821"/>
      <c r="CB20" s="820"/>
      <c r="CC20" s="820"/>
      <c r="CD20" s="820"/>
      <c r="CE20" s="820"/>
      <c r="CF20" s="822"/>
      <c r="CG20" s="822"/>
      <c r="CH20" s="822"/>
      <c r="CI20" s="822"/>
      <c r="CJ20" s="822"/>
      <c r="CK20" s="822"/>
      <c r="CL20" s="822"/>
      <c r="CM20" s="822"/>
      <c r="CN20" s="822"/>
      <c r="CO20" s="822"/>
      <c r="CP20" s="822"/>
      <c r="CQ20" s="822"/>
      <c r="CR20" s="822"/>
      <c r="CS20" s="156" t="s">
        <v>138</v>
      </c>
      <c r="CT20" s="307">
        <v>41261</v>
      </c>
      <c r="CU20" s="250"/>
      <c r="CV20" s="157">
        <v>6314520.7599999998</v>
      </c>
      <c r="CW20" s="581">
        <f t="shared" si="61"/>
        <v>41808</v>
      </c>
      <c r="CX20" s="405">
        <f t="shared" si="62"/>
        <v>41991</v>
      </c>
      <c r="CY20" s="340">
        <v>41470</v>
      </c>
      <c r="CZ20" s="250">
        <v>42170</v>
      </c>
      <c r="DA20" s="597">
        <f t="shared" si="60"/>
        <v>-0.4</v>
      </c>
      <c r="DB20" s="122"/>
      <c r="DC20" s="122"/>
      <c r="DD20" s="122"/>
      <c r="DE20" s="523" t="str">
        <f t="shared" si="8"/>
        <v>0</v>
      </c>
      <c r="DF20" s="122"/>
      <c r="DG20" s="122"/>
      <c r="DH20" s="523" t="str">
        <f t="shared" si="9"/>
        <v>0</v>
      </c>
      <c r="DI20" s="122"/>
      <c r="DJ20" s="122"/>
      <c r="DK20" s="523" t="str">
        <f t="shared" si="10"/>
        <v>0</v>
      </c>
      <c r="DL20" s="122"/>
      <c r="DM20" s="122"/>
      <c r="DN20" s="523" t="str">
        <f t="shared" si="11"/>
        <v>0</v>
      </c>
      <c r="DO20" s="125"/>
      <c r="DP20" s="569"/>
      <c r="DQ20" s="523" t="str">
        <f t="shared" si="12"/>
        <v>0</v>
      </c>
      <c r="DR20" s="453"/>
      <c r="DS20" s="231"/>
      <c r="DT20" s="533"/>
      <c r="DU20" s="528"/>
      <c r="DV20" s="529" t="str">
        <f t="shared" si="13"/>
        <v>0</v>
      </c>
      <c r="DW20" s="533"/>
      <c r="DX20" s="347">
        <v>41309</v>
      </c>
      <c r="DY20" s="341">
        <v>2013</v>
      </c>
      <c r="DZ20" s="443">
        <f t="shared" si="14"/>
        <v>8.5333333333333332</v>
      </c>
      <c r="EA20" s="529" t="str">
        <f t="shared" si="15"/>
        <v>0</v>
      </c>
      <c r="EB20" s="116">
        <v>15</v>
      </c>
      <c r="EC20" s="116">
        <f t="shared" si="16"/>
        <v>27</v>
      </c>
      <c r="ED20" s="315"/>
      <c r="EE20" s="314"/>
      <c r="EF20" s="685" t="str">
        <f t="shared" si="17"/>
        <v>0</v>
      </c>
      <c r="EG20" s="698"/>
      <c r="EH20" s="613"/>
      <c r="EI20" s="614" t="str">
        <f t="shared" si="18"/>
        <v>0</v>
      </c>
      <c r="EJ20" s="254"/>
      <c r="EK20" s="315"/>
      <c r="EL20" s="685" t="str">
        <f t="shared" si="19"/>
        <v>0</v>
      </c>
      <c r="EM20" s="315"/>
      <c r="EN20" s="315"/>
      <c r="EO20" s="685" t="str">
        <f t="shared" si="20"/>
        <v>0</v>
      </c>
      <c r="EP20" s="315"/>
      <c r="EQ20" s="315"/>
      <c r="ER20" s="685" t="str">
        <f t="shared" si="21"/>
        <v>0</v>
      </c>
      <c r="ES20" s="315"/>
      <c r="ET20" s="315"/>
      <c r="EU20" s="685" t="str">
        <f t="shared" si="22"/>
        <v>0</v>
      </c>
      <c r="EV20" s="315"/>
      <c r="EW20" s="315"/>
      <c r="EX20" s="685" t="str">
        <f t="shared" si="23"/>
        <v>0</v>
      </c>
      <c r="EY20" s="315"/>
      <c r="EZ20" s="315"/>
      <c r="FA20" s="315"/>
      <c r="FB20" s="455">
        <f t="shared" si="24"/>
        <v>41763</v>
      </c>
      <c r="FC20" s="349">
        <v>42158</v>
      </c>
      <c r="FD20" s="707">
        <f t="shared" si="25"/>
        <v>13.166666666666666</v>
      </c>
      <c r="FE20" s="455"/>
      <c r="FF20" s="115">
        <v>41992</v>
      </c>
      <c r="FG20" s="115" t="s">
        <v>128</v>
      </c>
      <c r="FH20" s="115">
        <v>42158</v>
      </c>
      <c r="FI20" s="455"/>
      <c r="FJ20" s="455">
        <f t="shared" si="26"/>
        <v>41794</v>
      </c>
      <c r="FK20" s="351">
        <v>42158</v>
      </c>
      <c r="FL20" s="456">
        <v>2015</v>
      </c>
      <c r="FM20" s="702">
        <f t="shared" si="27"/>
        <v>12.133333333333333</v>
      </c>
      <c r="FN20" s="694">
        <f>184847.662644658/12</f>
        <v>15403.971887054833</v>
      </c>
      <c r="FO20" s="231">
        <f t="shared" si="28"/>
        <v>186901.52556293196</v>
      </c>
      <c r="FP20" s="115"/>
      <c r="FQ20" s="552"/>
      <c r="FR20" s="692">
        <f t="shared" si="29"/>
        <v>20258</v>
      </c>
      <c r="FS20" s="556"/>
      <c r="FT20" s="556"/>
      <c r="FU20" s="556"/>
      <c r="FV20" s="556"/>
      <c r="FW20" s="553"/>
      <c r="FX20" s="566"/>
      <c r="FY20" s="553"/>
      <c r="FZ20" s="553"/>
      <c r="GA20" s="122"/>
      <c r="GB20" s="122"/>
      <c r="GC20" s="121"/>
      <c r="GD20" s="121"/>
      <c r="GE20" s="121"/>
      <c r="GF20" s="262" t="s">
        <v>312</v>
      </c>
      <c r="GG20" s="315">
        <f t="shared" si="63"/>
        <v>42524</v>
      </c>
      <c r="GH20" s="677">
        <v>10000</v>
      </c>
      <c r="GI20" s="233" t="s">
        <v>297</v>
      </c>
      <c r="GJ20" s="194">
        <v>42353</v>
      </c>
      <c r="GK20" s="121"/>
      <c r="GL20" s="121"/>
      <c r="GM20" s="647"/>
      <c r="GN20" s="121"/>
      <c r="GO20" s="121"/>
      <c r="GP20" s="122">
        <v>43006</v>
      </c>
      <c r="GQ20" s="183"/>
      <c r="GR20" s="183"/>
      <c r="GS20" s="183"/>
      <c r="GT20" s="121"/>
      <c r="GU20" s="121"/>
      <c r="GV20" s="155"/>
      <c r="GW20" s="610">
        <v>4670611</v>
      </c>
      <c r="GX20" s="10">
        <v>4807009.38</v>
      </c>
      <c r="GY20" s="426">
        <f>HJ20+HO20+HV20+IO20+HT20+HZ20</f>
        <v>4681218.38</v>
      </c>
      <c r="GZ20" s="797">
        <f t="shared" si="31"/>
        <v>4681218.38</v>
      </c>
      <c r="HA20" s="12">
        <f t="shared" si="32"/>
        <v>-125791</v>
      </c>
      <c r="HB20" s="49">
        <f t="shared" si="33"/>
        <v>1958.5458569545842</v>
      </c>
      <c r="HC20" s="49">
        <f t="shared" si="34"/>
        <v>161421.32344827586</v>
      </c>
      <c r="HD20" s="10"/>
      <c r="HE20" s="11"/>
      <c r="HF20" s="12">
        <f t="shared" si="35"/>
        <v>0</v>
      </c>
      <c r="HG20" s="127">
        <f t="shared" si="36"/>
        <v>0</v>
      </c>
      <c r="HH20" s="128"/>
      <c r="HI20" s="10">
        <v>1473759.38</v>
      </c>
      <c r="HJ20" s="11">
        <v>1473759.38</v>
      </c>
      <c r="HK20" s="67"/>
      <c r="HL20" s="23">
        <f t="shared" si="37"/>
        <v>50819.28896551724</v>
      </c>
      <c r="HM20" s="37">
        <f t="shared" si="38"/>
        <v>0</v>
      </c>
      <c r="HN20" s="10">
        <v>3186090</v>
      </c>
      <c r="HO20" s="11">
        <f t="shared" si="39"/>
        <v>3186090</v>
      </c>
      <c r="HP20" s="13">
        <v>549227</v>
      </c>
      <c r="HQ20" s="13">
        <v>2636863</v>
      </c>
      <c r="HR20" s="37">
        <f t="shared" si="40"/>
        <v>0</v>
      </c>
      <c r="HS20" s="629">
        <f t="shared" si="41"/>
        <v>109865.1724137931</v>
      </c>
      <c r="HT20" s="11">
        <v>0</v>
      </c>
      <c r="HU20" s="10">
        <v>1111</v>
      </c>
      <c r="HV20" s="15">
        <v>1</v>
      </c>
      <c r="HW20" s="66"/>
      <c r="HX20" s="40">
        <f t="shared" si="42"/>
        <v>2.1361960045965641E-7</v>
      </c>
      <c r="HY20" s="303"/>
      <c r="HZ20" s="15">
        <v>1110</v>
      </c>
      <c r="IA20" s="24">
        <f>HV20-HU20+HZ20</f>
        <v>0</v>
      </c>
      <c r="IB20" s="23">
        <f t="shared" si="43"/>
        <v>3.4482758620689655E-2</v>
      </c>
      <c r="IC20" s="49">
        <f t="shared" si="44"/>
        <v>50819.323448275856</v>
      </c>
      <c r="ID20" s="24">
        <f t="shared" si="45"/>
        <v>0</v>
      </c>
      <c r="IE20" s="48"/>
      <c r="IF20" s="48"/>
      <c r="IG20" s="39">
        <v>0</v>
      </c>
      <c r="IH20" s="39">
        <v>0</v>
      </c>
      <c r="II20" s="23">
        <f t="shared" si="46"/>
        <v>50819.323448275856</v>
      </c>
      <c r="IJ20" s="39">
        <v>0</v>
      </c>
      <c r="IK20" s="23">
        <f t="shared" si="47"/>
        <v>50819.323448275856</v>
      </c>
      <c r="IL20" s="50">
        <f t="shared" si="48"/>
        <v>0.31482410354887136</v>
      </c>
      <c r="IM20" s="39"/>
      <c r="IN20" s="39"/>
      <c r="IO20" s="432">
        <v>20258</v>
      </c>
      <c r="IP20" s="41">
        <f t="shared" si="49"/>
        <v>4681218.38</v>
      </c>
      <c r="IQ20" s="231"/>
      <c r="IR20" s="231">
        <f t="shared" si="50"/>
        <v>0</v>
      </c>
      <c r="IS20" s="113"/>
      <c r="IT20" s="231"/>
      <c r="IU20" s="231"/>
      <c r="IV20" s="113"/>
      <c r="IW20" s="113"/>
      <c r="IX20" s="231"/>
      <c r="IY20" s="113"/>
      <c r="IZ20" s="231"/>
      <c r="JA20" s="113"/>
      <c r="JB20" s="231"/>
      <c r="JC20" s="114"/>
      <c r="JD20" s="321"/>
      <c r="JE20" s="313"/>
      <c r="JF20" s="313"/>
      <c r="JG20" s="122"/>
      <c r="JH20" s="231"/>
      <c r="JI20" s="122"/>
      <c r="JJ20" s="231"/>
      <c r="JK20" s="322"/>
      <c r="JL20" s="322"/>
      <c r="JM20" s="322"/>
      <c r="JN20" s="322"/>
      <c r="JO20" s="269"/>
      <c r="JP20" s="269"/>
      <c r="JQ20" s="269"/>
      <c r="JR20" s="269"/>
      <c r="JS20" s="269"/>
      <c r="JT20" s="269"/>
      <c r="JU20" s="231"/>
      <c r="JV20" s="122"/>
      <c r="JW20" s="114"/>
      <c r="JX20" s="122"/>
      <c r="JY20" s="122"/>
      <c r="JZ20" s="114"/>
    </row>
    <row r="21" spans="1:286" ht="15" customHeight="1">
      <c r="A21" s="20" t="s">
        <v>91</v>
      </c>
      <c r="B21" s="54"/>
      <c r="C21" s="7" t="s">
        <v>35</v>
      </c>
      <c r="D21" s="7" t="s">
        <v>112</v>
      </c>
      <c r="E21" s="7">
        <v>2012</v>
      </c>
      <c r="F21" s="7" t="s">
        <v>81</v>
      </c>
      <c r="G21" s="7" t="s">
        <v>37</v>
      </c>
      <c r="H21" s="835"/>
      <c r="I21" s="7" t="s">
        <v>250</v>
      </c>
      <c r="J21" s="53"/>
      <c r="K21" s="53"/>
      <c r="L21" s="255"/>
      <c r="M21" s="154"/>
      <c r="N21" s="154"/>
      <c r="O21" s="154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 t="e">
        <f t="shared" si="51"/>
        <v>#DIV/0!</v>
      </c>
      <c r="AA21" s="208" t="s">
        <v>194</v>
      </c>
      <c r="AB21" s="210"/>
      <c r="AC21" s="211"/>
      <c r="AD21" s="7" t="s">
        <v>16</v>
      </c>
      <c r="AE21" s="771">
        <f t="shared" si="0"/>
        <v>13</v>
      </c>
      <c r="AF21" s="771">
        <f t="shared" si="1"/>
        <v>13</v>
      </c>
      <c r="AG21" s="8"/>
      <c r="AH21" s="7">
        <v>13</v>
      </c>
      <c r="AI21" s="53"/>
      <c r="AJ21" s="53"/>
      <c r="AK21" s="806"/>
      <c r="AL21" s="9">
        <v>927.22</v>
      </c>
      <c r="AM21" s="57"/>
      <c r="AN21" s="82">
        <v>927.22</v>
      </c>
      <c r="AO21" s="9">
        <f t="shared" si="2"/>
        <v>71.324615384615385</v>
      </c>
      <c r="AP21" s="59"/>
      <c r="AQ21" s="59"/>
      <c r="AR21" s="59"/>
      <c r="AS21" s="59"/>
      <c r="AT21" s="59"/>
      <c r="AU21" s="8"/>
      <c r="AV21" s="182"/>
      <c r="AW21" s="107"/>
      <c r="AX21" s="64"/>
      <c r="AY21" s="56" t="s">
        <v>549</v>
      </c>
      <c r="AZ21" s="9" t="s">
        <v>120</v>
      </c>
      <c r="BA21" s="57"/>
      <c r="BB21" s="57"/>
      <c r="BC21" s="57"/>
      <c r="BD21" s="53"/>
      <c r="BE21" s="184">
        <v>40963</v>
      </c>
      <c r="BF21" s="418" t="s">
        <v>12</v>
      </c>
      <c r="BG21" s="418" t="s">
        <v>234</v>
      </c>
      <c r="BH21" s="1"/>
      <c r="BI21" s="204">
        <v>41081</v>
      </c>
      <c r="BJ21" s="99"/>
      <c r="BK21" s="99"/>
      <c r="BL21" s="204">
        <v>41193</v>
      </c>
      <c r="BM21" s="99"/>
      <c r="BN21" s="422"/>
      <c r="BO21" s="201"/>
      <c r="BP21" s="102"/>
      <c r="BQ21" s="102"/>
      <c r="BR21" s="298">
        <v>41319</v>
      </c>
      <c r="BS21" s="298">
        <f t="shared" si="3"/>
        <v>42049</v>
      </c>
      <c r="BT21" s="298">
        <f t="shared" si="4"/>
        <v>42414</v>
      </c>
      <c r="BU21" s="298"/>
      <c r="BV21" s="298" t="str">
        <f t="shared" si="64"/>
        <v>oui</v>
      </c>
      <c r="BW21" s="672">
        <f t="shared" si="5"/>
        <v>8</v>
      </c>
      <c r="BX21" s="672">
        <f t="shared" si="6"/>
        <v>36781.047877244135</v>
      </c>
      <c r="BY21" s="672">
        <f t="shared" si="7"/>
        <v>0</v>
      </c>
      <c r="BZ21" s="820"/>
      <c r="CA21" s="821"/>
      <c r="CB21" s="820"/>
      <c r="CC21" s="820"/>
      <c r="CD21" s="820"/>
      <c r="CE21" s="820"/>
      <c r="CF21" s="822"/>
      <c r="CG21" s="822"/>
      <c r="CH21" s="822"/>
      <c r="CI21" s="822"/>
      <c r="CJ21" s="822"/>
      <c r="CK21" s="822"/>
      <c r="CL21" s="822"/>
      <c r="CM21" s="822"/>
      <c r="CN21" s="822"/>
      <c r="CO21" s="822"/>
      <c r="CP21" s="822"/>
      <c r="CQ21" s="822"/>
      <c r="CR21" s="822"/>
      <c r="CS21" s="156"/>
      <c r="CT21" s="307">
        <v>41261</v>
      </c>
      <c r="CU21" s="250"/>
      <c r="CV21" s="157">
        <v>6314520.7599999998</v>
      </c>
      <c r="CW21" s="581">
        <f t="shared" si="61"/>
        <v>41808</v>
      </c>
      <c r="CX21" s="405">
        <f t="shared" si="62"/>
        <v>41991</v>
      </c>
      <c r="CY21" s="340">
        <v>41470</v>
      </c>
      <c r="CZ21" s="405"/>
      <c r="DA21" s="405"/>
      <c r="DB21" s="122"/>
      <c r="DC21" s="122"/>
      <c r="DD21" s="122"/>
      <c r="DE21" s="523" t="str">
        <f t="shared" si="8"/>
        <v>0</v>
      </c>
      <c r="DF21" s="122"/>
      <c r="DG21" s="122"/>
      <c r="DH21" s="523" t="str">
        <f t="shared" si="9"/>
        <v>0</v>
      </c>
      <c r="DI21" s="122"/>
      <c r="DJ21" s="122"/>
      <c r="DK21" s="523" t="str">
        <f t="shared" si="10"/>
        <v>0</v>
      </c>
      <c r="DL21" s="122"/>
      <c r="DM21" s="122"/>
      <c r="DN21" s="523" t="str">
        <f t="shared" si="11"/>
        <v>0</v>
      </c>
      <c r="DO21" s="125"/>
      <c r="DP21" s="569"/>
      <c r="DQ21" s="523" t="str">
        <f t="shared" si="12"/>
        <v>0</v>
      </c>
      <c r="DR21" s="453"/>
      <c r="DS21" s="231"/>
      <c r="DT21" s="122"/>
      <c r="DU21" s="231"/>
      <c r="DV21" s="523" t="str">
        <f t="shared" si="13"/>
        <v>0</v>
      </c>
      <c r="DW21" s="122"/>
      <c r="DX21" s="347">
        <v>41309</v>
      </c>
      <c r="DY21" s="341">
        <v>2013</v>
      </c>
      <c r="DZ21" s="443">
        <f t="shared" si="14"/>
        <v>7.6</v>
      </c>
      <c r="EA21" s="523" t="str">
        <f t="shared" si="15"/>
        <v>0</v>
      </c>
      <c r="EB21" s="116">
        <v>15</v>
      </c>
      <c r="EC21" s="116">
        <f t="shared" si="16"/>
        <v>27</v>
      </c>
      <c r="ED21" s="315"/>
      <c r="EE21" s="314"/>
      <c r="EF21" s="685" t="str">
        <f t="shared" si="17"/>
        <v>0</v>
      </c>
      <c r="EG21" s="698"/>
      <c r="EH21" s="613"/>
      <c r="EI21" s="614" t="str">
        <f t="shared" si="18"/>
        <v>0</v>
      </c>
      <c r="EJ21" s="254"/>
      <c r="EK21" s="315"/>
      <c r="EL21" s="685" t="str">
        <f t="shared" si="19"/>
        <v>0</v>
      </c>
      <c r="EM21" s="315"/>
      <c r="EN21" s="315"/>
      <c r="EO21" s="685" t="str">
        <f t="shared" si="20"/>
        <v>0</v>
      </c>
      <c r="EP21" s="315"/>
      <c r="EQ21" s="315"/>
      <c r="ER21" s="685" t="str">
        <f t="shared" si="21"/>
        <v>0</v>
      </c>
      <c r="ES21" s="315"/>
      <c r="ET21" s="315"/>
      <c r="EU21" s="685" t="str">
        <f t="shared" si="22"/>
        <v>0</v>
      </c>
      <c r="EV21" s="315"/>
      <c r="EW21" s="315"/>
      <c r="EX21" s="685" t="str">
        <f t="shared" si="23"/>
        <v>0</v>
      </c>
      <c r="EY21" s="315"/>
      <c r="EZ21" s="315"/>
      <c r="FA21" s="315"/>
      <c r="FB21" s="455">
        <f t="shared" si="24"/>
        <v>41763</v>
      </c>
      <c r="FC21" s="349">
        <v>42158</v>
      </c>
      <c r="FD21" s="707">
        <f t="shared" si="25"/>
        <v>13.166666666666666</v>
      </c>
      <c r="FE21" s="455"/>
      <c r="FF21" s="115">
        <v>41992</v>
      </c>
      <c r="FG21" s="115" t="s">
        <v>128</v>
      </c>
      <c r="FH21" s="115">
        <v>42158</v>
      </c>
      <c r="FI21" s="455"/>
      <c r="FJ21" s="455">
        <f t="shared" si="26"/>
        <v>41794</v>
      </c>
      <c r="FK21" s="351">
        <v>42158</v>
      </c>
      <c r="FL21" s="456">
        <v>2015</v>
      </c>
      <c r="FM21" s="702">
        <f t="shared" si="27"/>
        <v>12.133333333333333</v>
      </c>
      <c r="FN21" s="694">
        <f>55171.5718158662/12</f>
        <v>4597.6309846555168</v>
      </c>
      <c r="FO21" s="231">
        <f t="shared" si="28"/>
        <v>55784.589280486936</v>
      </c>
      <c r="FP21" s="115"/>
      <c r="FQ21" s="552"/>
      <c r="FR21" s="692">
        <f t="shared" si="29"/>
        <v>90483</v>
      </c>
      <c r="FS21" s="556"/>
      <c r="FT21" s="556"/>
      <c r="FU21" s="556"/>
      <c r="FV21" s="556"/>
      <c r="FW21" s="553"/>
      <c r="FX21" s="566" t="s">
        <v>733</v>
      </c>
      <c r="FY21" s="553"/>
      <c r="FZ21" s="553"/>
      <c r="GA21" s="122"/>
      <c r="GB21" s="122"/>
      <c r="GC21" s="121"/>
      <c r="GD21" s="121"/>
      <c r="GE21" s="121"/>
      <c r="GF21" s="262" t="s">
        <v>312</v>
      </c>
      <c r="GG21" s="315">
        <f t="shared" si="63"/>
        <v>42524</v>
      </c>
      <c r="GH21" s="677">
        <v>59673</v>
      </c>
      <c r="GI21" s="233" t="s">
        <v>297</v>
      </c>
      <c r="GJ21" s="194">
        <v>42353</v>
      </c>
      <c r="GK21" s="121"/>
      <c r="GL21" s="121"/>
      <c r="GM21" s="647"/>
      <c r="GN21" s="121"/>
      <c r="GO21" s="121"/>
      <c r="GP21" s="122">
        <v>43006</v>
      </c>
      <c r="GQ21" s="183"/>
      <c r="GR21" s="183"/>
      <c r="GS21" s="183"/>
      <c r="GT21" s="121"/>
      <c r="GU21" s="121"/>
      <c r="GV21" s="155"/>
      <c r="GW21" s="610">
        <v>1808199</v>
      </c>
      <c r="GX21" s="10">
        <v>1878610.47</v>
      </c>
      <c r="GY21" s="426">
        <f>HJ21+HO21+HV21+IO21+HW21+HZ21</f>
        <v>1898659.47</v>
      </c>
      <c r="GZ21" s="797">
        <f t="shared" si="31"/>
        <v>1898659.47</v>
      </c>
      <c r="HA21" s="12">
        <f t="shared" si="32"/>
        <v>20049</v>
      </c>
      <c r="HB21" s="49">
        <f t="shared" si="33"/>
        <v>2047.6903755311575</v>
      </c>
      <c r="HC21" s="49">
        <f t="shared" si="34"/>
        <v>146050.72846153847</v>
      </c>
      <c r="HD21" s="10"/>
      <c r="HE21" s="11"/>
      <c r="HF21" s="12">
        <f t="shared" si="35"/>
        <v>0</v>
      </c>
      <c r="HG21" s="127">
        <f t="shared" si="36"/>
        <v>0</v>
      </c>
      <c r="HH21" s="128"/>
      <c r="HI21" s="10">
        <v>706398.49</v>
      </c>
      <c r="HJ21" s="11">
        <v>706398.49</v>
      </c>
      <c r="HK21" s="67"/>
      <c r="HL21" s="23">
        <f t="shared" si="37"/>
        <v>54338.345384615386</v>
      </c>
      <c r="HM21" s="37">
        <f t="shared" si="38"/>
        <v>0</v>
      </c>
      <c r="HN21" s="10">
        <v>1041347.98</v>
      </c>
      <c r="HO21" s="11">
        <f t="shared" si="39"/>
        <v>1041347.98</v>
      </c>
      <c r="HP21" s="13">
        <v>179485</v>
      </c>
      <c r="HQ21" s="13">
        <v>861862.98</v>
      </c>
      <c r="HR21" s="37">
        <f t="shared" si="40"/>
        <v>0</v>
      </c>
      <c r="HS21" s="629">
        <f t="shared" si="41"/>
        <v>80103.690769230772</v>
      </c>
      <c r="HT21" s="11">
        <v>0</v>
      </c>
      <c r="HU21" s="10">
        <v>60430</v>
      </c>
      <c r="HV21" s="15">
        <v>60000</v>
      </c>
      <c r="HW21" s="66"/>
      <c r="HX21" s="40">
        <f t="shared" si="42"/>
        <v>3.1601243376201633E-2</v>
      </c>
      <c r="HY21" s="303"/>
      <c r="HZ21" s="15">
        <v>430</v>
      </c>
      <c r="IA21" s="24">
        <f>HV21-HU21+HZ21</f>
        <v>0</v>
      </c>
      <c r="IB21" s="23">
        <f t="shared" si="43"/>
        <v>4615.3846153846152</v>
      </c>
      <c r="IC21" s="49">
        <f t="shared" si="44"/>
        <v>58953.729999999996</v>
      </c>
      <c r="ID21" s="24">
        <f t="shared" si="45"/>
        <v>0</v>
      </c>
      <c r="IE21" s="48"/>
      <c r="IF21" s="48"/>
      <c r="IG21" s="39">
        <v>0</v>
      </c>
      <c r="IH21" s="39">
        <v>0</v>
      </c>
      <c r="II21" s="23">
        <f t="shared" si="46"/>
        <v>58953.729999999996</v>
      </c>
      <c r="IJ21" s="39">
        <v>0</v>
      </c>
      <c r="IK21" s="23">
        <f t="shared" si="47"/>
        <v>58953.729999999996</v>
      </c>
      <c r="IL21" s="50">
        <f t="shared" si="48"/>
        <v>0.40365242009405722</v>
      </c>
      <c r="IM21" s="39"/>
      <c r="IN21" s="39"/>
      <c r="IO21" s="432">
        <v>90483</v>
      </c>
      <c r="IP21" s="41">
        <f t="shared" si="49"/>
        <v>1898659.47</v>
      </c>
      <c r="IQ21" s="231"/>
      <c r="IR21" s="231">
        <f t="shared" si="50"/>
        <v>0</v>
      </c>
      <c r="IS21" s="113"/>
      <c r="IT21" s="231"/>
      <c r="IU21" s="231"/>
      <c r="IV21" s="113"/>
      <c r="IW21" s="113"/>
      <c r="IX21" s="231"/>
      <c r="IY21" s="113"/>
      <c r="IZ21" s="231"/>
      <c r="JA21" s="113"/>
      <c r="JB21" s="231"/>
      <c r="JC21" s="114"/>
      <c r="JD21" s="321"/>
      <c r="JE21" s="313"/>
      <c r="JF21" s="313"/>
      <c r="JG21" s="122"/>
      <c r="JH21" s="231"/>
      <c r="JI21" s="122"/>
      <c r="JJ21" s="231"/>
      <c r="JK21" s="322"/>
      <c r="JL21" s="322"/>
      <c r="JM21" s="322"/>
      <c r="JN21" s="322"/>
      <c r="JO21" s="269"/>
      <c r="JP21" s="269"/>
      <c r="JQ21" s="269"/>
      <c r="JR21" s="269"/>
      <c r="JS21" s="269"/>
      <c r="JT21" s="269"/>
      <c r="JU21" s="231"/>
      <c r="JV21" s="122"/>
      <c r="JW21" s="114"/>
      <c r="JX21" s="122"/>
      <c r="JY21" s="122"/>
      <c r="JZ21" s="114"/>
    </row>
    <row r="22" spans="1:286" ht="15" customHeight="1">
      <c r="A22" s="20" t="s">
        <v>74</v>
      </c>
      <c r="B22" s="54"/>
      <c r="C22" s="7" t="s">
        <v>35</v>
      </c>
      <c r="D22" s="7" t="s">
        <v>112</v>
      </c>
      <c r="E22" s="7">
        <v>2012</v>
      </c>
      <c r="F22" s="7" t="s">
        <v>82</v>
      </c>
      <c r="G22" s="7"/>
      <c r="H22" s="765" t="s">
        <v>181</v>
      </c>
      <c r="I22" s="7" t="s">
        <v>250</v>
      </c>
      <c r="J22" s="53"/>
      <c r="K22" s="53"/>
      <c r="L22" s="255"/>
      <c r="M22" s="154"/>
      <c r="N22" s="154"/>
      <c r="O22" s="154"/>
      <c r="P22" s="207">
        <v>7275</v>
      </c>
      <c r="Q22" s="207">
        <f>R22</f>
        <v>773000</v>
      </c>
      <c r="R22" s="207">
        <v>773000</v>
      </c>
      <c r="S22" s="207">
        <f>Q22/AE22</f>
        <v>9202.3809523809523</v>
      </c>
      <c r="T22" s="207">
        <f>Q22/P22</f>
        <v>106.25429553264605</v>
      </c>
      <c r="U22" s="207">
        <f>R22/P22</f>
        <v>106.25429553264605</v>
      </c>
      <c r="V22" s="207">
        <f>R22/AN22</f>
        <v>168.94476183815397</v>
      </c>
      <c r="W22" s="207">
        <f>R22/AE22</f>
        <v>9202.3809523809523</v>
      </c>
      <c r="X22" s="207">
        <f>P22/AE22</f>
        <v>86.607142857142861</v>
      </c>
      <c r="Y22" s="207"/>
      <c r="Z22" s="904">
        <f t="shared" si="51"/>
        <v>115.4639175257732</v>
      </c>
      <c r="AA22" s="208" t="s">
        <v>188</v>
      </c>
      <c r="AB22" s="210">
        <v>530</v>
      </c>
      <c r="AC22" s="211">
        <v>0.1</v>
      </c>
      <c r="AD22" s="7" t="s">
        <v>15</v>
      </c>
      <c r="AE22" s="771">
        <f t="shared" si="0"/>
        <v>84</v>
      </c>
      <c r="AF22" s="771">
        <f t="shared" si="1"/>
        <v>84</v>
      </c>
      <c r="AG22" s="7">
        <v>84</v>
      </c>
      <c r="AH22" s="8"/>
      <c r="AI22" s="64"/>
      <c r="AJ22" s="64"/>
      <c r="AK22" s="57"/>
      <c r="AL22" s="9">
        <v>4575.46</v>
      </c>
      <c r="AM22" s="57"/>
      <c r="AN22" s="82">
        <v>4575.46</v>
      </c>
      <c r="AO22" s="9">
        <f t="shared" si="2"/>
        <v>54.469761904761903</v>
      </c>
      <c r="AP22" s="59"/>
      <c r="AQ22" s="59"/>
      <c r="AR22" s="59"/>
      <c r="AS22" s="59"/>
      <c r="AT22" s="59"/>
      <c r="AU22" s="9">
        <v>2038</v>
      </c>
      <c r="AV22" s="76">
        <v>0</v>
      </c>
      <c r="AW22" s="78">
        <f t="shared" ref="AW22:AW35" si="65">AV22/P22</f>
        <v>0</v>
      </c>
      <c r="AX22" s="57">
        <v>4</v>
      </c>
      <c r="AY22" s="56" t="s">
        <v>549</v>
      </c>
      <c r="AZ22" s="9" t="s">
        <v>120</v>
      </c>
      <c r="BA22" s="57"/>
      <c r="BB22" s="57"/>
      <c r="BC22" s="57"/>
      <c r="BD22" s="53"/>
      <c r="BE22" s="184">
        <v>40963</v>
      </c>
      <c r="BF22" s="418" t="s">
        <v>12</v>
      </c>
      <c r="BG22" s="418" t="s">
        <v>228</v>
      </c>
      <c r="BH22" s="1"/>
      <c r="BI22" s="204">
        <v>41144</v>
      </c>
      <c r="BJ22" s="99">
        <v>42481</v>
      </c>
      <c r="BK22" s="99"/>
      <c r="BL22" s="204">
        <v>41199</v>
      </c>
      <c r="BM22" s="99"/>
      <c r="BN22" s="422"/>
      <c r="BO22" s="201"/>
      <c r="BP22" s="102"/>
      <c r="BQ22" s="102"/>
      <c r="BR22" s="297"/>
      <c r="BS22" s="298">
        <f t="shared" si="3"/>
        <v>731</v>
      </c>
      <c r="BT22" s="298">
        <f t="shared" si="4"/>
        <v>1096</v>
      </c>
      <c r="BU22" s="298"/>
      <c r="BV22" s="298" t="str">
        <f t="shared" si="64"/>
        <v>oui</v>
      </c>
      <c r="BW22" s="672" t="e">
        <f t="shared" si="5"/>
        <v>#NUM!</v>
      </c>
      <c r="BX22" s="672" t="e">
        <f t="shared" si="6"/>
        <v>#NUM!</v>
      </c>
      <c r="BY22" s="672" t="e">
        <f t="shared" si="7"/>
        <v>#NUM!</v>
      </c>
      <c r="BZ22" s="820"/>
      <c r="CA22" s="821"/>
      <c r="CB22" s="820"/>
      <c r="CC22" s="820"/>
      <c r="CD22" s="820"/>
      <c r="CE22" s="820"/>
      <c r="CF22" s="822"/>
      <c r="CG22" s="822"/>
      <c r="CH22" s="822"/>
      <c r="CI22" s="822"/>
      <c r="CJ22" s="822"/>
      <c r="CK22" s="822"/>
      <c r="CL22" s="822"/>
      <c r="CM22" s="822"/>
      <c r="CN22" s="822"/>
      <c r="CO22" s="822"/>
      <c r="CP22" s="822"/>
      <c r="CQ22" s="822"/>
      <c r="CR22" s="822"/>
      <c r="CS22" s="156" t="s">
        <v>149</v>
      </c>
      <c r="CT22" s="307">
        <v>41270</v>
      </c>
      <c r="CU22" s="250" t="s">
        <v>128</v>
      </c>
      <c r="CV22" s="157">
        <v>9461576.1300000008</v>
      </c>
      <c r="CW22" s="581">
        <f t="shared" si="61"/>
        <v>41817</v>
      </c>
      <c r="CX22" s="405">
        <f t="shared" si="62"/>
        <v>42000</v>
      </c>
      <c r="CY22" s="340">
        <v>41549</v>
      </c>
      <c r="CZ22" s="250">
        <v>42138</v>
      </c>
      <c r="DA22" s="597">
        <f>(FK22-CZ22)/30</f>
        <v>-6.1</v>
      </c>
      <c r="DB22" s="122"/>
      <c r="DC22" s="122"/>
      <c r="DD22" s="122"/>
      <c r="DE22" s="523" t="str">
        <f t="shared" si="8"/>
        <v>0</v>
      </c>
      <c r="DF22" s="122"/>
      <c r="DG22" s="122"/>
      <c r="DH22" s="523" t="str">
        <f t="shared" si="9"/>
        <v>0</v>
      </c>
      <c r="DI22" s="122"/>
      <c r="DJ22" s="122"/>
      <c r="DK22" s="523" t="str">
        <f t="shared" si="10"/>
        <v>0</v>
      </c>
      <c r="DL22" s="122"/>
      <c r="DM22" s="122"/>
      <c r="DN22" s="523" t="str">
        <f t="shared" si="11"/>
        <v>0</v>
      </c>
      <c r="DO22" s="125"/>
      <c r="DP22" s="569"/>
      <c r="DQ22" s="523" t="str">
        <f t="shared" si="12"/>
        <v>0</v>
      </c>
      <c r="DR22" s="453"/>
      <c r="DS22" s="231"/>
      <c r="DT22" s="122"/>
      <c r="DU22" s="231"/>
      <c r="DV22" s="523" t="str">
        <f t="shared" si="13"/>
        <v>0</v>
      </c>
      <c r="DW22" s="122"/>
      <c r="DX22" s="349">
        <v>41295</v>
      </c>
      <c r="DY22" s="341">
        <v>2013</v>
      </c>
      <c r="DZ22" s="443">
        <f t="shared" si="14"/>
        <v>5.0333333333333332</v>
      </c>
      <c r="EA22" s="523" t="str">
        <f t="shared" si="15"/>
        <v>0</v>
      </c>
      <c r="EB22" s="116">
        <v>19</v>
      </c>
      <c r="EC22" s="116">
        <f t="shared" si="16"/>
        <v>20</v>
      </c>
      <c r="ED22" s="315"/>
      <c r="EE22" s="314"/>
      <c r="EF22" s="685" t="str">
        <f t="shared" si="17"/>
        <v>0</v>
      </c>
      <c r="EG22" s="698"/>
      <c r="EH22" s="613"/>
      <c r="EI22" s="614" t="str">
        <f t="shared" si="18"/>
        <v>0</v>
      </c>
      <c r="EJ22" s="254"/>
      <c r="EK22" s="315"/>
      <c r="EL22" s="685" t="str">
        <f t="shared" si="19"/>
        <v>0</v>
      </c>
      <c r="EM22" s="315"/>
      <c r="EN22" s="315"/>
      <c r="EO22" s="685" t="str">
        <f t="shared" si="20"/>
        <v>0</v>
      </c>
      <c r="EP22" s="315"/>
      <c r="EQ22" s="315"/>
      <c r="ER22" s="685" t="str">
        <f t="shared" si="21"/>
        <v>0</v>
      </c>
      <c r="ES22" s="315"/>
      <c r="ET22" s="315"/>
      <c r="EU22" s="685" t="str">
        <f t="shared" si="22"/>
        <v>0</v>
      </c>
      <c r="EV22" s="315"/>
      <c r="EW22" s="315"/>
      <c r="EX22" s="685" t="str">
        <f t="shared" si="23"/>
        <v>0</v>
      </c>
      <c r="EY22" s="315"/>
      <c r="EZ22" s="315"/>
      <c r="FA22" s="315"/>
      <c r="FB22" s="455">
        <f t="shared" si="24"/>
        <v>41872</v>
      </c>
      <c r="FC22" s="349">
        <v>41927</v>
      </c>
      <c r="FD22" s="707">
        <f t="shared" si="25"/>
        <v>1.8333333333333333</v>
      </c>
      <c r="FE22" s="455"/>
      <c r="FF22" s="115">
        <v>41935</v>
      </c>
      <c r="FG22" s="115" t="s">
        <v>128</v>
      </c>
      <c r="FH22" s="115">
        <v>41955</v>
      </c>
      <c r="FI22" s="455"/>
      <c r="FJ22" s="455">
        <f t="shared" si="26"/>
        <v>41903</v>
      </c>
      <c r="FK22" s="351">
        <v>41955</v>
      </c>
      <c r="FL22" s="590">
        <v>2014</v>
      </c>
      <c r="FM22" s="702">
        <f t="shared" si="27"/>
        <v>1.7333333333333334</v>
      </c>
      <c r="FN22" s="694">
        <f>403704.659129873/12</f>
        <v>33642.054927489415</v>
      </c>
      <c r="FO22" s="231">
        <f t="shared" si="28"/>
        <v>58312.895207648318</v>
      </c>
      <c r="FP22" s="115"/>
      <c r="FQ22" s="552"/>
      <c r="FR22" s="692">
        <f t="shared" si="29"/>
        <v>0</v>
      </c>
      <c r="FS22" s="556"/>
      <c r="FT22" s="556"/>
      <c r="FU22" s="556"/>
      <c r="FV22" s="556"/>
      <c r="FW22" s="553"/>
      <c r="FX22" s="566"/>
      <c r="FY22" s="553"/>
      <c r="FZ22" s="553"/>
      <c r="GA22" s="122"/>
      <c r="GB22" s="122"/>
      <c r="GC22" s="122"/>
      <c r="GD22" s="122"/>
      <c r="GE22" s="121"/>
      <c r="GF22" s="194">
        <v>42250</v>
      </c>
      <c r="GG22" s="315">
        <f t="shared" si="63"/>
        <v>42292</v>
      </c>
      <c r="GH22" s="680">
        <v>90420</v>
      </c>
      <c r="GI22" s="194">
        <v>41968</v>
      </c>
      <c r="GJ22" s="122">
        <v>41969</v>
      </c>
      <c r="GK22" s="122" t="s">
        <v>128</v>
      </c>
      <c r="GL22" s="122">
        <v>42306</v>
      </c>
      <c r="GM22" s="122"/>
      <c r="GN22" s="121"/>
      <c r="GO22" s="194" t="s">
        <v>128</v>
      </c>
      <c r="GP22" s="113">
        <v>42475</v>
      </c>
      <c r="GQ22" s="113"/>
      <c r="GR22" s="113"/>
      <c r="GS22" s="113"/>
      <c r="GT22" s="122">
        <v>42219</v>
      </c>
      <c r="GU22" s="122"/>
      <c r="GV22" s="155"/>
      <c r="GW22" s="575"/>
      <c r="GX22" s="10">
        <v>9756378.3699999992</v>
      </c>
      <c r="GY22" s="426">
        <f>HJ22+HO22+HV22+IO22+HT22+HZ22</f>
        <v>9756378.3699999992</v>
      </c>
      <c r="GZ22" s="797">
        <f t="shared" si="31"/>
        <v>9756378.3699999992</v>
      </c>
      <c r="HA22" s="12">
        <f t="shared" si="32"/>
        <v>0</v>
      </c>
      <c r="HB22" s="49">
        <f t="shared" si="33"/>
        <v>2132.327322280164</v>
      </c>
      <c r="HC22" s="49">
        <f t="shared" si="34"/>
        <v>116147.36154761903</v>
      </c>
      <c r="HD22" s="10">
        <v>8749715</v>
      </c>
      <c r="HE22" s="11"/>
      <c r="HF22" s="12">
        <f t="shared" si="35"/>
        <v>-8749715</v>
      </c>
      <c r="HG22" s="127">
        <f t="shared" si="36"/>
        <v>0.91565319386029509</v>
      </c>
      <c r="HH22" s="128"/>
      <c r="HI22" s="10">
        <v>3263643</v>
      </c>
      <c r="HJ22" s="11">
        <v>3263643</v>
      </c>
      <c r="HK22" s="67"/>
      <c r="HL22" s="23">
        <f t="shared" si="37"/>
        <v>38852.892857142855</v>
      </c>
      <c r="HM22" s="37">
        <f t="shared" si="38"/>
        <v>0</v>
      </c>
      <c r="HN22" s="10">
        <v>6429606.3699999992</v>
      </c>
      <c r="HO22" s="11">
        <f t="shared" si="39"/>
        <v>6429606.3699999992</v>
      </c>
      <c r="HP22" s="13">
        <v>1639468.02</v>
      </c>
      <c r="HQ22" s="13">
        <v>4790138.3499999996</v>
      </c>
      <c r="HR22" s="37">
        <f t="shared" si="40"/>
        <v>0</v>
      </c>
      <c r="HS22" s="629">
        <f t="shared" si="41"/>
        <v>76542.932976190466</v>
      </c>
      <c r="HT22" s="11">
        <v>0</v>
      </c>
      <c r="HU22" s="10">
        <v>1</v>
      </c>
      <c r="HV22" s="15">
        <v>1</v>
      </c>
      <c r="HW22" s="66"/>
      <c r="HX22" s="40">
        <f t="shared" si="42"/>
        <v>1.0249704983510188E-7</v>
      </c>
      <c r="HY22" s="303"/>
      <c r="HZ22" s="15">
        <v>63128</v>
      </c>
      <c r="IA22" s="24">
        <f t="shared" ref="IA22:IA35" si="66">HV22-HU22</f>
        <v>0</v>
      </c>
      <c r="IB22" s="23">
        <f t="shared" si="43"/>
        <v>1.1904761904761904E-2</v>
      </c>
      <c r="IC22" s="49">
        <f t="shared" si="44"/>
        <v>38852.904761904763</v>
      </c>
      <c r="ID22" s="24">
        <f t="shared" si="45"/>
        <v>0</v>
      </c>
      <c r="IE22" s="48"/>
      <c r="IF22" s="48"/>
      <c r="IG22" s="39">
        <v>0</v>
      </c>
      <c r="IH22" s="39">
        <v>0</v>
      </c>
      <c r="II22" s="23">
        <f t="shared" si="46"/>
        <v>38852.904761904763</v>
      </c>
      <c r="IJ22" s="39">
        <v>0</v>
      </c>
      <c r="IK22" s="23">
        <f t="shared" si="47"/>
        <v>38852.904761904763</v>
      </c>
      <c r="IL22" s="50">
        <f t="shared" si="48"/>
        <v>0.33451388171203122</v>
      </c>
      <c r="IM22" s="39"/>
      <c r="IN22" s="39"/>
      <c r="IO22" s="11">
        <v>0</v>
      </c>
      <c r="IP22" s="41">
        <f t="shared" si="49"/>
        <v>9756378.3699999992</v>
      </c>
      <c r="IQ22" s="231"/>
      <c r="IR22" s="231">
        <f t="shared" si="50"/>
        <v>0</v>
      </c>
      <c r="IS22" s="113"/>
      <c r="IT22" s="231"/>
      <c r="IU22" s="231"/>
      <c r="IV22" s="113"/>
      <c r="IW22" s="113"/>
      <c r="IX22" s="231"/>
      <c r="IY22" s="113"/>
      <c r="IZ22" s="231"/>
      <c r="JA22" s="113"/>
      <c r="JB22" s="231"/>
      <c r="JC22" s="114"/>
      <c r="JD22" s="321"/>
      <c r="JE22" s="313"/>
      <c r="JF22" s="313"/>
      <c r="JG22" s="122"/>
      <c r="JH22" s="231"/>
      <c r="JI22" s="122"/>
      <c r="JJ22" s="231"/>
      <c r="JK22" s="322"/>
      <c r="JL22" s="322"/>
      <c r="JM22" s="322"/>
      <c r="JN22" s="322"/>
      <c r="JO22" s="269"/>
      <c r="JP22" s="269"/>
      <c r="JQ22" s="269"/>
      <c r="JR22" s="269"/>
      <c r="JS22" s="269"/>
      <c r="JT22" s="269"/>
      <c r="JU22" s="231"/>
      <c r="JV22" s="122"/>
      <c r="JW22" s="114"/>
      <c r="JX22" s="122"/>
      <c r="JY22" s="122"/>
      <c r="JZ22" s="114"/>
    </row>
    <row r="23" spans="1:286" ht="31.5" customHeight="1">
      <c r="A23" s="25" t="s">
        <v>340</v>
      </c>
      <c r="B23" s="655"/>
      <c r="C23" s="7" t="s">
        <v>47</v>
      </c>
      <c r="D23" s="7" t="s">
        <v>113</v>
      </c>
      <c r="E23" s="7">
        <v>2013</v>
      </c>
      <c r="F23" s="7" t="s">
        <v>48</v>
      </c>
      <c r="G23" s="7" t="s">
        <v>317</v>
      </c>
      <c r="H23" s="765"/>
      <c r="I23" s="7" t="s">
        <v>172</v>
      </c>
      <c r="J23" s="53"/>
      <c r="K23" s="53"/>
      <c r="L23" s="255"/>
      <c r="M23" s="162" t="s">
        <v>60</v>
      </c>
      <c r="N23" s="104"/>
      <c r="O23" s="105"/>
      <c r="P23" s="207">
        <v>20161</v>
      </c>
      <c r="Q23" s="207">
        <v>1550000</v>
      </c>
      <c r="R23" s="207">
        <v>1105335</v>
      </c>
      <c r="S23" s="207">
        <f>Q23/(110)</f>
        <v>14090.90909090909</v>
      </c>
      <c r="T23" s="207">
        <f>Q23/P23</f>
        <v>76.88110708794207</v>
      </c>
      <c r="U23" s="207">
        <f>R23/P23</f>
        <v>54.825405485838999</v>
      </c>
      <c r="V23" s="207">
        <f>R23/(AN23+AN142)</f>
        <v>392.66733926833251</v>
      </c>
      <c r="W23" s="207">
        <f>R23/(110)</f>
        <v>10048.5</v>
      </c>
      <c r="X23" s="207">
        <f>P23/(AE23+AE144)</f>
        <v>746.7037037037037</v>
      </c>
      <c r="Y23" s="208"/>
      <c r="Z23" s="904">
        <f t="shared" si="51"/>
        <v>13.392192847577006</v>
      </c>
      <c r="AA23" s="208" t="s">
        <v>196</v>
      </c>
      <c r="AB23" s="210">
        <v>460</v>
      </c>
      <c r="AC23" s="211"/>
      <c r="AD23" s="7" t="s">
        <v>15</v>
      </c>
      <c r="AE23" s="771">
        <f t="shared" si="0"/>
        <v>27</v>
      </c>
      <c r="AF23" s="771">
        <f t="shared" si="1"/>
        <v>27</v>
      </c>
      <c r="AG23" s="7">
        <v>27</v>
      </c>
      <c r="AH23" s="8"/>
      <c r="AI23" s="64"/>
      <c r="AJ23" s="64"/>
      <c r="AK23" s="269"/>
      <c r="AL23" s="9">
        <v>2870.27</v>
      </c>
      <c r="AM23" s="57"/>
      <c r="AN23" s="82">
        <v>2814.94</v>
      </c>
      <c r="AO23" s="9">
        <f t="shared" si="2"/>
        <v>104.25703703703704</v>
      </c>
      <c r="AP23" s="78">
        <v>0</v>
      </c>
      <c r="AQ23" s="78">
        <v>0</v>
      </c>
      <c r="AR23" s="78">
        <v>0</v>
      </c>
      <c r="AS23" s="78">
        <f>19/AG23</f>
        <v>0.70370370370370372</v>
      </c>
      <c r="AT23" s="78">
        <f>8/AG23</f>
        <v>0.29629629629629628</v>
      </c>
      <c r="AU23" s="9">
        <v>12480</v>
      </c>
      <c r="AV23" s="76"/>
      <c r="AW23" s="78">
        <f t="shared" si="65"/>
        <v>0</v>
      </c>
      <c r="AX23" s="57">
        <v>3.5</v>
      </c>
      <c r="AY23" s="56" t="s">
        <v>549</v>
      </c>
      <c r="AZ23" s="7" t="s">
        <v>120</v>
      </c>
      <c r="BA23" s="53"/>
      <c r="BB23" s="53"/>
      <c r="BC23" s="53"/>
      <c r="BD23" s="184">
        <v>41170</v>
      </c>
      <c r="BE23" s="184">
        <v>41348</v>
      </c>
      <c r="BF23" s="108" t="s">
        <v>11</v>
      </c>
      <c r="BG23" s="108" t="s">
        <v>244</v>
      </c>
      <c r="BH23" s="420"/>
      <c r="BI23" s="204">
        <v>41493</v>
      </c>
      <c r="BJ23" s="99"/>
      <c r="BK23" s="99">
        <v>41747</v>
      </c>
      <c r="BL23" s="204">
        <v>42160</v>
      </c>
      <c r="BM23" s="99"/>
      <c r="BN23" s="160">
        <v>42163</v>
      </c>
      <c r="BO23" s="202">
        <v>42171</v>
      </c>
      <c r="BP23" s="161">
        <v>42263</v>
      </c>
      <c r="BQ23" s="161">
        <v>42192</v>
      </c>
      <c r="BR23" s="299">
        <v>42255</v>
      </c>
      <c r="BS23" s="298">
        <f t="shared" si="3"/>
        <v>42986</v>
      </c>
      <c r="BT23" s="298">
        <f t="shared" si="4"/>
        <v>43351</v>
      </c>
      <c r="BU23" s="298"/>
      <c r="BV23" s="298" t="str">
        <f t="shared" si="64"/>
        <v>oui</v>
      </c>
      <c r="BW23" s="672">
        <f t="shared" si="5"/>
        <v>9</v>
      </c>
      <c r="BX23" s="672">
        <f t="shared" si="6"/>
        <v>157492.0272608505</v>
      </c>
      <c r="BY23" s="672">
        <f t="shared" si="7"/>
        <v>0</v>
      </c>
      <c r="BZ23" s="824" t="s">
        <v>128</v>
      </c>
      <c r="CA23" s="828" t="s">
        <v>321</v>
      </c>
      <c r="CB23" s="826" t="s">
        <v>168</v>
      </c>
      <c r="CC23" s="826"/>
      <c r="CD23" s="826"/>
      <c r="CE23" s="826"/>
      <c r="CF23" s="826"/>
      <c r="CG23" s="826"/>
      <c r="CH23" s="826"/>
      <c r="CI23" s="826"/>
      <c r="CJ23" s="826"/>
      <c r="CK23" s="826"/>
      <c r="CL23" s="826"/>
      <c r="CM23" s="819" t="s">
        <v>168</v>
      </c>
      <c r="CN23" s="819" t="s">
        <v>168</v>
      </c>
      <c r="CO23" s="819"/>
      <c r="CP23" s="819"/>
      <c r="CQ23" s="819"/>
      <c r="CR23" s="819"/>
      <c r="CS23" s="156" t="s">
        <v>149</v>
      </c>
      <c r="CT23" s="307">
        <v>42360</v>
      </c>
      <c r="CU23" s="250"/>
      <c r="CV23" s="157">
        <v>18979814</v>
      </c>
      <c r="CW23" s="581">
        <f t="shared" si="61"/>
        <v>42908</v>
      </c>
      <c r="CX23" s="405">
        <f t="shared" si="62"/>
        <v>43091</v>
      </c>
      <c r="CY23" s="340">
        <v>42360</v>
      </c>
      <c r="CZ23" s="250">
        <v>43081</v>
      </c>
      <c r="DA23" s="597">
        <f>(FK23-CZ23)/30</f>
        <v>-0.43333333333333335</v>
      </c>
      <c r="DB23" s="122"/>
      <c r="DC23" s="114"/>
      <c r="DD23" s="114"/>
      <c r="DE23" s="523" t="str">
        <f t="shared" si="8"/>
        <v>0</v>
      </c>
      <c r="DF23" s="122"/>
      <c r="DG23" s="122"/>
      <c r="DH23" s="523" t="str">
        <f t="shared" si="9"/>
        <v>0</v>
      </c>
      <c r="DI23" s="125"/>
      <c r="DJ23" s="122"/>
      <c r="DK23" s="523" t="str">
        <f t="shared" si="10"/>
        <v>0</v>
      </c>
      <c r="DL23" s="125"/>
      <c r="DM23" s="122"/>
      <c r="DN23" s="523" t="str">
        <f t="shared" si="11"/>
        <v>0</v>
      </c>
      <c r="DO23" s="125"/>
      <c r="DP23" s="569"/>
      <c r="DQ23" s="523" t="str">
        <f t="shared" si="12"/>
        <v>0</v>
      </c>
      <c r="DR23" s="453"/>
      <c r="DS23" s="231"/>
      <c r="DT23" s="122"/>
      <c r="DU23" s="231"/>
      <c r="DV23" s="523" t="str">
        <f t="shared" si="13"/>
        <v>0</v>
      </c>
      <c r="DW23" s="122"/>
      <c r="DX23" s="347">
        <v>42139</v>
      </c>
      <c r="DY23" s="343">
        <v>2015</v>
      </c>
      <c r="DZ23" s="444">
        <f t="shared" si="14"/>
        <v>21.533333333333335</v>
      </c>
      <c r="EA23" s="523" t="str">
        <f t="shared" si="15"/>
        <v>0</v>
      </c>
      <c r="EB23" s="240">
        <v>24</v>
      </c>
      <c r="EC23" s="116">
        <f t="shared" si="16"/>
        <v>30</v>
      </c>
      <c r="ED23" s="122"/>
      <c r="EE23" s="231"/>
      <c r="EF23" s="523" t="str">
        <f t="shared" si="17"/>
        <v>0</v>
      </c>
      <c r="EG23" s="570"/>
      <c r="EH23" s="567"/>
      <c r="EI23" s="526" t="str">
        <f t="shared" si="18"/>
        <v>0</v>
      </c>
      <c r="EJ23" s="125"/>
      <c r="EK23" s="315"/>
      <c r="EL23" s="523" t="str">
        <f t="shared" si="19"/>
        <v>0</v>
      </c>
      <c r="EM23" s="231"/>
      <c r="EN23" s="122"/>
      <c r="EO23" s="523" t="str">
        <f t="shared" si="20"/>
        <v>0</v>
      </c>
      <c r="EP23" s="114"/>
      <c r="EQ23" s="114"/>
      <c r="ER23" s="523" t="str">
        <f t="shared" si="21"/>
        <v>0</v>
      </c>
      <c r="ES23" s="114"/>
      <c r="ET23" s="114"/>
      <c r="EU23" s="523" t="str">
        <f t="shared" si="22"/>
        <v>0</v>
      </c>
      <c r="EV23" s="113"/>
      <c r="EW23" s="114"/>
      <c r="EX23" s="523" t="str">
        <f t="shared" si="23"/>
        <v>0</v>
      </c>
      <c r="EY23" s="114"/>
      <c r="EZ23" s="114"/>
      <c r="FA23" s="114"/>
      <c r="FB23" s="455">
        <f t="shared" si="24"/>
        <v>42870</v>
      </c>
      <c r="FC23" s="349">
        <v>43059</v>
      </c>
      <c r="FD23" s="707">
        <f t="shared" si="25"/>
        <v>6.3</v>
      </c>
      <c r="FE23" s="626">
        <f t="shared" ref="FE23:FE31" si="67">DATE(YEAR(CY23)+2,MONTH(CY23),DAY(CY23))</f>
        <v>43091</v>
      </c>
      <c r="FF23" s="315">
        <v>43075</v>
      </c>
      <c r="FG23" s="115">
        <v>42712</v>
      </c>
      <c r="FH23" s="185">
        <v>43066</v>
      </c>
      <c r="FI23" s="185"/>
      <c r="FJ23" s="455">
        <f t="shared" si="26"/>
        <v>42901</v>
      </c>
      <c r="FK23" s="602">
        <v>43068</v>
      </c>
      <c r="FL23" s="343">
        <v>2017</v>
      </c>
      <c r="FM23" s="703">
        <f t="shared" si="27"/>
        <v>5.5666666666666664</v>
      </c>
      <c r="FN23" s="694">
        <f>209989.369681134/12</f>
        <v>17499.114140094502</v>
      </c>
      <c r="FO23" s="314">
        <f t="shared" si="28"/>
        <v>97411.735379859383</v>
      </c>
      <c r="FP23" s="315">
        <v>42978</v>
      </c>
      <c r="FQ23" s="552">
        <v>0</v>
      </c>
      <c r="FR23" s="552">
        <v>0</v>
      </c>
      <c r="FS23" s="556"/>
      <c r="FT23" s="556"/>
      <c r="FU23" s="556">
        <f>698989*1.021</f>
        <v>713667.76899999997</v>
      </c>
      <c r="FV23" s="749">
        <f>FU23/(GY23+GY24)</f>
        <v>3.5947813466163943E-2</v>
      </c>
      <c r="FW23" s="553"/>
      <c r="FX23" s="566"/>
      <c r="FY23" s="553"/>
      <c r="FZ23" s="553"/>
      <c r="GA23" s="121"/>
      <c r="GB23" s="121"/>
      <c r="GC23" s="121"/>
      <c r="GD23" s="121"/>
      <c r="GE23" s="121"/>
      <c r="GF23" s="53"/>
      <c r="GG23" s="280">
        <f t="shared" si="63"/>
        <v>43424</v>
      </c>
      <c r="GH23" s="678">
        <v>52707</v>
      </c>
      <c r="GI23" s="121"/>
      <c r="GJ23" s="121"/>
      <c r="GK23" s="121"/>
      <c r="GL23" s="121"/>
      <c r="GM23" s="121"/>
      <c r="GN23" s="53"/>
      <c r="GO23" s="53"/>
      <c r="GP23" s="53" t="s">
        <v>798</v>
      </c>
      <c r="GQ23" s="184"/>
      <c r="GR23" s="654">
        <v>43160</v>
      </c>
      <c r="GS23" s="53"/>
      <c r="GT23" s="53"/>
      <c r="GU23" s="53"/>
      <c r="GV23" s="109" t="s">
        <v>120</v>
      </c>
      <c r="GW23" s="606">
        <v>5545807</v>
      </c>
      <c r="GX23" s="10">
        <f t="shared" ref="GX23:GX31" si="68">+HI23+HN23+HU23+IO23</f>
        <v>5546805</v>
      </c>
      <c r="GY23" s="11">
        <f>HJ23+HO23+HV23+IO23+HT23+HZ23+HY23</f>
        <v>5488129.9500000002</v>
      </c>
      <c r="GZ23" s="797">
        <f t="shared" si="31"/>
        <v>5488129.9500000002</v>
      </c>
      <c r="HA23" s="12">
        <f t="shared" si="32"/>
        <v>-58675.049999999814</v>
      </c>
      <c r="HB23" s="49">
        <f t="shared" si="33"/>
        <v>1912.0605204388437</v>
      </c>
      <c r="HC23" s="49">
        <f t="shared" si="34"/>
        <v>203264.07222222222</v>
      </c>
      <c r="HD23" s="10">
        <v>5057320</v>
      </c>
      <c r="HE23" s="11">
        <v>4965430</v>
      </c>
      <c r="HF23" s="12">
        <f t="shared" si="35"/>
        <v>-91890</v>
      </c>
      <c r="HG23" s="127">
        <f t="shared" si="36"/>
        <v>0.93090053102641968</v>
      </c>
      <c r="HH23" s="128"/>
      <c r="HI23" s="10">
        <v>1882322</v>
      </c>
      <c r="HJ23" s="11">
        <v>1916369</v>
      </c>
      <c r="HK23" s="67"/>
      <c r="HL23" s="23">
        <f t="shared" si="37"/>
        <v>70976.629629629635</v>
      </c>
      <c r="HM23" s="37">
        <f t="shared" si="38"/>
        <v>34047</v>
      </c>
      <c r="HN23" s="10">
        <v>3664482</v>
      </c>
      <c r="HO23" s="11">
        <f t="shared" si="39"/>
        <v>3571759.95</v>
      </c>
      <c r="HP23" s="13">
        <v>595108</v>
      </c>
      <c r="HQ23" s="13">
        <v>2976651.95</v>
      </c>
      <c r="HR23" s="37">
        <f t="shared" si="40"/>
        <v>-92722.049999999814</v>
      </c>
      <c r="HS23" s="629">
        <f t="shared" si="41"/>
        <v>132287.40555555557</v>
      </c>
      <c r="HT23" s="11"/>
      <c r="HU23" s="10">
        <v>1</v>
      </c>
      <c r="HV23" s="11">
        <v>1</v>
      </c>
      <c r="HW23" s="67"/>
      <c r="HX23" s="40">
        <f t="shared" si="42"/>
        <v>1.8221142886749611E-7</v>
      </c>
      <c r="HY23" s="93"/>
      <c r="HZ23" s="11">
        <v>0</v>
      </c>
      <c r="IA23" s="24">
        <f t="shared" si="66"/>
        <v>0</v>
      </c>
      <c r="IB23" s="23">
        <f t="shared" si="43"/>
        <v>3.7037037037037035E-2</v>
      </c>
      <c r="IC23" s="49">
        <f t="shared" si="44"/>
        <v>70976.666666666672</v>
      </c>
      <c r="ID23" s="24">
        <f t="shared" si="45"/>
        <v>0</v>
      </c>
      <c r="IE23" s="48"/>
      <c r="IF23" s="48"/>
      <c r="IG23" s="39">
        <v>1015690.2065916295</v>
      </c>
      <c r="IH23" s="39">
        <v>540000</v>
      </c>
      <c r="II23" s="23">
        <f t="shared" si="46"/>
        <v>90976.666666666672</v>
      </c>
      <c r="IJ23" s="39">
        <v>0</v>
      </c>
      <c r="IK23" s="23">
        <f t="shared" si="47"/>
        <v>90976.666666666672</v>
      </c>
      <c r="IL23" s="50">
        <f t="shared" si="48"/>
        <v>0.39970846321114534</v>
      </c>
      <c r="IM23" s="39">
        <v>358416.12820000004</v>
      </c>
      <c r="IN23" s="39"/>
      <c r="IO23" s="11">
        <v>0</v>
      </c>
      <c r="IP23" s="41">
        <f t="shared" si="49"/>
        <v>6503820.1565916296</v>
      </c>
      <c r="IQ23" s="231">
        <v>965006</v>
      </c>
      <c r="IR23" s="231">
        <f t="shared" si="50"/>
        <v>482504</v>
      </c>
      <c r="IS23" s="113">
        <v>41090</v>
      </c>
      <c r="IT23" s="231">
        <v>96501</v>
      </c>
      <c r="IU23" s="231"/>
      <c r="IV23" s="113"/>
      <c r="IW23" s="113">
        <v>41401</v>
      </c>
      <c r="IX23" s="231">
        <v>48250</v>
      </c>
      <c r="IY23" s="113">
        <v>41262</v>
      </c>
      <c r="IZ23" s="231">
        <v>96501</v>
      </c>
      <c r="JA23" s="113">
        <v>41485</v>
      </c>
      <c r="JB23" s="231">
        <v>96501</v>
      </c>
      <c r="JC23" s="114">
        <v>41570</v>
      </c>
      <c r="JD23" s="321">
        <v>144751</v>
      </c>
      <c r="JE23" s="313"/>
      <c r="JF23" s="313"/>
      <c r="JG23" s="122"/>
      <c r="JH23" s="231"/>
      <c r="JI23" s="122"/>
      <c r="JJ23" s="231"/>
      <c r="JK23" s="114"/>
      <c r="JL23" s="114"/>
      <c r="JM23" s="114"/>
      <c r="JN23" s="114"/>
      <c r="JO23" s="269"/>
      <c r="JP23" s="269"/>
      <c r="JQ23" s="236"/>
      <c r="JR23" s="291"/>
      <c r="JS23" s="236"/>
      <c r="JT23" s="291"/>
      <c r="JU23" s="231">
        <v>96501</v>
      </c>
      <c r="JV23" s="122"/>
      <c r="JW23" s="114"/>
      <c r="JX23" s="122"/>
      <c r="JY23" s="122"/>
      <c r="JZ23" s="114"/>
    </row>
    <row r="24" spans="1:286" ht="15" customHeight="1">
      <c r="A24" s="25" t="s">
        <v>339</v>
      </c>
      <c r="B24" s="655"/>
      <c r="C24" s="7" t="s">
        <v>47</v>
      </c>
      <c r="D24" s="7" t="s">
        <v>113</v>
      </c>
      <c r="E24" s="7">
        <v>2013</v>
      </c>
      <c r="F24" s="7" t="s">
        <v>48</v>
      </c>
      <c r="G24" s="7" t="s">
        <v>317</v>
      </c>
      <c r="H24" s="7" t="s">
        <v>179</v>
      </c>
      <c r="I24" s="7" t="s">
        <v>172</v>
      </c>
      <c r="J24" s="53"/>
      <c r="K24" s="53"/>
      <c r="L24" s="255"/>
      <c r="M24" s="162" t="s">
        <v>60</v>
      </c>
      <c r="N24" s="104"/>
      <c r="O24" s="105"/>
      <c r="P24" s="65"/>
      <c r="Q24" s="65"/>
      <c r="R24" s="65"/>
      <c r="S24" s="65"/>
      <c r="T24" s="65"/>
      <c r="U24" s="65"/>
      <c r="V24" s="65"/>
      <c r="W24" s="65"/>
      <c r="X24" s="65"/>
      <c r="Y24" s="64"/>
      <c r="Z24" s="64" t="e">
        <f t="shared" si="51"/>
        <v>#DIV/0!</v>
      </c>
      <c r="AA24" s="64"/>
      <c r="AB24" s="8"/>
      <c r="AC24" s="199"/>
      <c r="AD24" s="7" t="s">
        <v>16</v>
      </c>
      <c r="AE24" s="771">
        <f t="shared" si="0"/>
        <v>83</v>
      </c>
      <c r="AF24" s="771">
        <f t="shared" si="1"/>
        <v>83</v>
      </c>
      <c r="AG24" s="8"/>
      <c r="AH24" s="7">
        <v>83</v>
      </c>
      <c r="AI24" s="53"/>
      <c r="AJ24" s="53"/>
      <c r="AK24" s="807"/>
      <c r="AL24" s="9">
        <v>7367.96</v>
      </c>
      <c r="AM24" s="57"/>
      <c r="AN24" s="82">
        <v>7367.66</v>
      </c>
      <c r="AO24" s="9">
        <f t="shared" si="2"/>
        <v>88.766987951807224</v>
      </c>
      <c r="AP24" s="78">
        <v>0</v>
      </c>
      <c r="AQ24" s="78">
        <f>10/AH24</f>
        <v>0.12048192771084337</v>
      </c>
      <c r="AR24" s="78">
        <f>42/AH24</f>
        <v>0.50602409638554213</v>
      </c>
      <c r="AS24" s="78">
        <f>28/AH24</f>
        <v>0.33734939759036142</v>
      </c>
      <c r="AT24" s="78">
        <f>3/AH24</f>
        <v>3.614457831325301E-2</v>
      </c>
      <c r="AU24" s="9"/>
      <c r="AV24" s="76"/>
      <c r="AW24" s="78" t="e">
        <f t="shared" si="65"/>
        <v>#DIV/0!</v>
      </c>
      <c r="AX24" s="57">
        <v>3.5</v>
      </c>
      <c r="AY24" s="56" t="s">
        <v>549</v>
      </c>
      <c r="AZ24" s="7" t="s">
        <v>120</v>
      </c>
      <c r="BA24" s="53"/>
      <c r="BB24" s="53"/>
      <c r="BC24" s="53"/>
      <c r="BD24" s="184">
        <v>41170</v>
      </c>
      <c r="BE24" s="184">
        <v>41348</v>
      </c>
      <c r="BF24" s="108" t="s">
        <v>11</v>
      </c>
      <c r="BG24" s="108" t="s">
        <v>244</v>
      </c>
      <c r="BH24" s="710">
        <v>415000</v>
      </c>
      <c r="BI24" s="204">
        <v>41463</v>
      </c>
      <c r="BJ24" s="99"/>
      <c r="BK24" s="99">
        <v>41747</v>
      </c>
      <c r="BL24" s="204">
        <v>42160</v>
      </c>
      <c r="BM24" s="99"/>
      <c r="BN24" s="160">
        <v>42163</v>
      </c>
      <c r="BO24" s="202">
        <v>42171</v>
      </c>
      <c r="BP24" s="161">
        <v>42263</v>
      </c>
      <c r="BQ24" s="161">
        <v>42192</v>
      </c>
      <c r="BR24" s="299">
        <v>42255</v>
      </c>
      <c r="BS24" s="298">
        <f t="shared" si="3"/>
        <v>42986</v>
      </c>
      <c r="BT24" s="298">
        <f t="shared" si="4"/>
        <v>43351</v>
      </c>
      <c r="BU24" s="298"/>
      <c r="BV24" s="298" t="str">
        <f t="shared" si="64"/>
        <v>oui</v>
      </c>
      <c r="BW24" s="672">
        <f t="shared" si="5"/>
        <v>9</v>
      </c>
      <c r="BX24" s="672">
        <f t="shared" si="6"/>
        <v>342957.37513997324</v>
      </c>
      <c r="BY24" s="672">
        <f t="shared" si="7"/>
        <v>0</v>
      </c>
      <c r="BZ24" s="824" t="s">
        <v>128</v>
      </c>
      <c r="CA24" s="828" t="s">
        <v>359</v>
      </c>
      <c r="CB24" s="826" t="s">
        <v>168</v>
      </c>
      <c r="CC24" s="826"/>
      <c r="CD24" s="826"/>
      <c r="CE24" s="826"/>
      <c r="CF24" s="819" t="s">
        <v>168</v>
      </c>
      <c r="CG24" s="819"/>
      <c r="CH24" s="819"/>
      <c r="CI24" s="819"/>
      <c r="CJ24" s="819"/>
      <c r="CK24" s="819"/>
      <c r="CL24" s="819"/>
      <c r="CM24" s="827">
        <v>42398</v>
      </c>
      <c r="CN24" s="819" t="s">
        <v>168</v>
      </c>
      <c r="CO24" s="819"/>
      <c r="CP24" s="819"/>
      <c r="CQ24" s="819"/>
      <c r="CR24" s="819"/>
      <c r="CS24" s="156"/>
      <c r="CT24" s="307">
        <v>42360</v>
      </c>
      <c r="CU24" s="250"/>
      <c r="CV24" s="157">
        <v>18979814</v>
      </c>
      <c r="CW24" s="581">
        <f t="shared" si="61"/>
        <v>42908</v>
      </c>
      <c r="CX24" s="405">
        <f t="shared" si="62"/>
        <v>43091</v>
      </c>
      <c r="CY24" s="340">
        <v>42360</v>
      </c>
      <c r="CZ24" s="405"/>
      <c r="DA24" s="598"/>
      <c r="DB24" s="122"/>
      <c r="DC24" s="114"/>
      <c r="DD24" s="114"/>
      <c r="DE24" s="523" t="str">
        <f t="shared" si="8"/>
        <v>0</v>
      </c>
      <c r="DF24" s="122"/>
      <c r="DG24" s="122"/>
      <c r="DH24" s="523" t="str">
        <f t="shared" si="9"/>
        <v>0</v>
      </c>
      <c r="DI24" s="125"/>
      <c r="DJ24" s="122"/>
      <c r="DK24" s="523" t="str">
        <f t="shared" si="10"/>
        <v>0</v>
      </c>
      <c r="DL24" s="125"/>
      <c r="DM24" s="122"/>
      <c r="DN24" s="523" t="str">
        <f t="shared" si="11"/>
        <v>0</v>
      </c>
      <c r="DO24" s="125"/>
      <c r="DP24" s="569"/>
      <c r="DQ24" s="523" t="str">
        <f t="shared" si="12"/>
        <v>0</v>
      </c>
      <c r="DR24" s="453"/>
      <c r="DS24" s="231"/>
      <c r="DT24" s="122"/>
      <c r="DU24" s="231"/>
      <c r="DV24" s="523" t="str">
        <f t="shared" si="13"/>
        <v>0</v>
      </c>
      <c r="DW24" s="122"/>
      <c r="DX24" s="347">
        <v>42139</v>
      </c>
      <c r="DY24" s="343">
        <v>2015</v>
      </c>
      <c r="DZ24" s="444">
        <f t="shared" si="14"/>
        <v>22.533333333333335</v>
      </c>
      <c r="EA24" s="523" t="str">
        <f t="shared" si="15"/>
        <v>0</v>
      </c>
      <c r="EB24" s="244">
        <v>24</v>
      </c>
      <c r="EC24" s="116">
        <f t="shared" si="16"/>
        <v>30</v>
      </c>
      <c r="ED24" s="122"/>
      <c r="EE24" s="231"/>
      <c r="EF24" s="523" t="str">
        <f t="shared" si="17"/>
        <v>0</v>
      </c>
      <c r="EG24" s="570"/>
      <c r="EH24" s="567"/>
      <c r="EI24" s="526" t="str">
        <f t="shared" si="18"/>
        <v>0</v>
      </c>
      <c r="EJ24" s="125"/>
      <c r="EK24" s="315"/>
      <c r="EL24" s="523" t="str">
        <f t="shared" si="19"/>
        <v>0</v>
      </c>
      <c r="EM24" s="231"/>
      <c r="EN24" s="122"/>
      <c r="EO24" s="523" t="str">
        <f t="shared" si="20"/>
        <v>0</v>
      </c>
      <c r="EP24" s="114"/>
      <c r="EQ24" s="114"/>
      <c r="ER24" s="523" t="str">
        <f t="shared" si="21"/>
        <v>0</v>
      </c>
      <c r="ES24" s="114"/>
      <c r="ET24" s="114"/>
      <c r="EU24" s="523" t="str">
        <f t="shared" si="22"/>
        <v>0</v>
      </c>
      <c r="EV24" s="114"/>
      <c r="EW24" s="114"/>
      <c r="EX24" s="523" t="str">
        <f t="shared" si="23"/>
        <v>0</v>
      </c>
      <c r="EY24" s="114"/>
      <c r="EZ24" s="114"/>
      <c r="FA24" s="114"/>
      <c r="FB24" s="455">
        <f t="shared" si="24"/>
        <v>42870</v>
      </c>
      <c r="FC24" s="349">
        <v>43059</v>
      </c>
      <c r="FD24" s="707">
        <f t="shared" si="25"/>
        <v>6.3</v>
      </c>
      <c r="FE24" s="626">
        <f t="shared" si="67"/>
        <v>43091</v>
      </c>
      <c r="FF24" s="315">
        <v>43075</v>
      </c>
      <c r="FG24" s="115">
        <v>42712</v>
      </c>
      <c r="FH24" s="185">
        <v>43066</v>
      </c>
      <c r="FI24" s="734"/>
      <c r="FJ24" s="455">
        <f t="shared" si="26"/>
        <v>42901</v>
      </c>
      <c r="FK24" s="602">
        <v>43068</v>
      </c>
      <c r="FL24" s="343">
        <v>2017</v>
      </c>
      <c r="FM24" s="703">
        <f t="shared" si="27"/>
        <v>5.5666666666666664</v>
      </c>
      <c r="FN24" s="694">
        <f>457276.500186631/12</f>
        <v>38106.375015552585</v>
      </c>
      <c r="FO24" s="314">
        <f t="shared" si="28"/>
        <v>212125.48758657606</v>
      </c>
      <c r="FP24" s="315">
        <v>42978</v>
      </c>
      <c r="FQ24" s="552">
        <v>0</v>
      </c>
      <c r="FR24" s="114">
        <v>0</v>
      </c>
      <c r="FS24" s="231"/>
      <c r="FT24" s="231"/>
      <c r="FU24" s="231"/>
      <c r="FV24" s="750"/>
      <c r="FW24" s="553"/>
      <c r="FX24" s="566"/>
      <c r="FY24" s="553"/>
      <c r="FZ24" s="553"/>
      <c r="GA24" s="121"/>
      <c r="GB24" s="121" t="s">
        <v>647</v>
      </c>
      <c r="GC24" s="121"/>
      <c r="GD24" s="121"/>
      <c r="GE24" s="121"/>
      <c r="GF24" s="53"/>
      <c r="GG24" s="280">
        <f t="shared" si="63"/>
        <v>43424</v>
      </c>
      <c r="GH24" s="678">
        <v>137952</v>
      </c>
      <c r="GI24" s="121"/>
      <c r="GJ24" s="121"/>
      <c r="GK24" s="121"/>
      <c r="GL24" s="121"/>
      <c r="GM24" s="121"/>
      <c r="GN24" s="53"/>
      <c r="GO24" s="53"/>
      <c r="GP24" s="53"/>
      <c r="GQ24" s="184"/>
      <c r="GR24" s="654">
        <v>43160</v>
      </c>
      <c r="GS24" s="53"/>
      <c r="GT24" s="53"/>
      <c r="GU24" s="53"/>
      <c r="GV24" s="109" t="s">
        <v>120</v>
      </c>
      <c r="GW24" s="606">
        <v>14323815</v>
      </c>
      <c r="GX24" s="10">
        <f t="shared" si="68"/>
        <v>14323814</v>
      </c>
      <c r="GY24" s="11">
        <f>HJ24+HO24+HV24+IO24+HT24+HZ24+HY24</f>
        <v>14364754</v>
      </c>
      <c r="GZ24" s="797">
        <f t="shared" si="31"/>
        <v>14364754</v>
      </c>
      <c r="HA24" s="12">
        <f t="shared" si="32"/>
        <v>40940</v>
      </c>
      <c r="HB24" s="49">
        <f t="shared" si="33"/>
        <v>1949.6243193502678</v>
      </c>
      <c r="HC24" s="49">
        <f t="shared" si="34"/>
        <v>173069.32530120481</v>
      </c>
      <c r="HD24" s="10">
        <v>13043765</v>
      </c>
      <c r="HE24" s="11">
        <v>12989943</v>
      </c>
      <c r="HF24" s="12">
        <f t="shared" si="35"/>
        <v>-53822</v>
      </c>
      <c r="HG24" s="127">
        <f t="shared" si="36"/>
        <v>0.92975823792461976</v>
      </c>
      <c r="HH24" s="128"/>
      <c r="HI24" s="10">
        <v>4234760</v>
      </c>
      <c r="HJ24" s="11">
        <v>4422509</v>
      </c>
      <c r="HK24" s="67"/>
      <c r="HL24" s="23">
        <f t="shared" si="37"/>
        <v>53283.240963855424</v>
      </c>
      <c r="HM24" s="37">
        <f t="shared" si="38"/>
        <v>187749</v>
      </c>
      <c r="HN24" s="10">
        <v>8429054</v>
      </c>
      <c r="HO24" s="11">
        <f t="shared" si="39"/>
        <v>8282245</v>
      </c>
      <c r="HP24" s="13">
        <v>1278025</v>
      </c>
      <c r="HQ24" s="13">
        <v>7004220</v>
      </c>
      <c r="HR24" s="37">
        <f t="shared" si="40"/>
        <v>-146809</v>
      </c>
      <c r="HS24" s="629">
        <f t="shared" si="41"/>
        <v>99786.084337349399</v>
      </c>
      <c r="HT24" s="11"/>
      <c r="HU24" s="10">
        <v>1660000</v>
      </c>
      <c r="HV24" s="11">
        <v>1245000</v>
      </c>
      <c r="HW24" s="67">
        <v>415000</v>
      </c>
      <c r="HX24" s="40">
        <f t="shared" si="42"/>
        <v>8.6670471349526768E-2</v>
      </c>
      <c r="HY24" s="93"/>
      <c r="HZ24" s="11">
        <v>415000</v>
      </c>
      <c r="IA24" s="24">
        <f t="shared" si="66"/>
        <v>-415000</v>
      </c>
      <c r="IB24" s="23">
        <f t="shared" si="43"/>
        <v>15000</v>
      </c>
      <c r="IC24" s="49">
        <f t="shared" si="44"/>
        <v>68283.240963855424</v>
      </c>
      <c r="ID24" s="24">
        <f t="shared" si="45"/>
        <v>-5000</v>
      </c>
      <c r="IE24" s="48"/>
      <c r="IF24" s="48"/>
      <c r="IG24" s="39">
        <v>2467086.73961312</v>
      </c>
      <c r="IH24" s="39">
        <v>1660000</v>
      </c>
      <c r="II24" s="23">
        <f t="shared" si="46"/>
        <v>88283.240963855424</v>
      </c>
      <c r="IJ24" s="39">
        <v>0</v>
      </c>
      <c r="IK24" s="23">
        <f t="shared" si="47"/>
        <v>88283.240963855424</v>
      </c>
      <c r="IL24" s="50">
        <f t="shared" si="48"/>
        <v>0.45620980509805781</v>
      </c>
      <c r="IM24" s="39">
        <v>770132.02990000008</v>
      </c>
      <c r="IN24" s="39"/>
      <c r="IO24" s="11">
        <v>0</v>
      </c>
      <c r="IP24" s="96">
        <f t="shared" si="49"/>
        <v>16831840.73961312</v>
      </c>
      <c r="IQ24" s="231">
        <v>965006</v>
      </c>
      <c r="IR24" s="231">
        <f t="shared" si="50"/>
        <v>0</v>
      </c>
      <c r="IS24" s="113"/>
      <c r="IT24" s="231"/>
      <c r="IU24" s="231"/>
      <c r="IV24" s="113"/>
      <c r="IW24" s="113"/>
      <c r="IX24" s="231"/>
      <c r="IY24" s="113"/>
      <c r="IZ24" s="231"/>
      <c r="JA24" s="113"/>
      <c r="JB24" s="231"/>
      <c r="JC24" s="114"/>
      <c r="JD24" s="321"/>
      <c r="JE24" s="313"/>
      <c r="JF24" s="313"/>
      <c r="JG24" s="122"/>
      <c r="JH24" s="231"/>
      <c r="JI24" s="122"/>
      <c r="JJ24" s="231"/>
      <c r="JK24" s="114"/>
      <c r="JL24" s="114"/>
      <c r="JM24" s="114"/>
      <c r="JN24" s="114"/>
      <c r="JO24" s="269"/>
      <c r="JP24" s="269"/>
      <c r="JQ24" s="269"/>
      <c r="JR24" s="269"/>
      <c r="JS24" s="269"/>
      <c r="JT24" s="269"/>
      <c r="JU24" s="231"/>
      <c r="JV24" s="122"/>
      <c r="JW24" s="114"/>
      <c r="JX24" s="122"/>
      <c r="JY24" s="122"/>
      <c r="JZ24" s="114"/>
    </row>
    <row r="25" spans="1:286" ht="37.5" customHeight="1">
      <c r="A25" s="25" t="s">
        <v>841</v>
      </c>
      <c r="B25" s="655"/>
      <c r="C25" s="7" t="s">
        <v>35</v>
      </c>
      <c r="D25" s="7" t="s">
        <v>112</v>
      </c>
      <c r="E25" s="7">
        <v>2013</v>
      </c>
      <c r="F25" s="7" t="s">
        <v>38</v>
      </c>
      <c r="G25" s="7" t="s">
        <v>54</v>
      </c>
      <c r="H25" s="765" t="s">
        <v>610</v>
      </c>
      <c r="I25" s="7" t="s">
        <v>250</v>
      </c>
      <c r="J25" s="53"/>
      <c r="K25" s="53"/>
      <c r="L25" s="255"/>
      <c r="M25" s="411" t="s">
        <v>62</v>
      </c>
      <c r="N25" s="411" t="s">
        <v>64</v>
      </c>
      <c r="O25" s="709">
        <v>41619</v>
      </c>
      <c r="P25" s="207">
        <v>5146</v>
      </c>
      <c r="Q25" s="207">
        <f>R25</f>
        <v>1069200</v>
      </c>
      <c r="R25" s="207">
        <v>1069200</v>
      </c>
      <c r="S25" s="207">
        <f>Q25/AE25</f>
        <v>19800</v>
      </c>
      <c r="T25" s="207">
        <f t="shared" ref="T25:T33" si="69">Q25/P25</f>
        <v>207.77302759424796</v>
      </c>
      <c r="U25" s="207">
        <f t="shared" ref="U25:U33" si="70">R25/P25</f>
        <v>207.77302759424796</v>
      </c>
      <c r="V25" s="207">
        <f t="shared" ref="V25:V32" si="71">R25/AN25</f>
        <v>226.47840067104713</v>
      </c>
      <c r="W25" s="207">
        <f t="shared" ref="W25:W32" si="72">R25/AE25</f>
        <v>19800</v>
      </c>
      <c r="X25" s="207">
        <f t="shared" ref="X25:X32" si="73">P25/AE25</f>
        <v>95.296296296296291</v>
      </c>
      <c r="Y25" s="208">
        <v>2205.9499999999998</v>
      </c>
      <c r="Z25" s="904">
        <f t="shared" si="51"/>
        <v>104.93587252234745</v>
      </c>
      <c r="AA25" s="208" t="s">
        <v>194</v>
      </c>
      <c r="AB25" s="210">
        <v>570</v>
      </c>
      <c r="AC25" s="211">
        <v>0.15</v>
      </c>
      <c r="AD25" s="7" t="s">
        <v>15</v>
      </c>
      <c r="AE25" s="771">
        <f t="shared" si="0"/>
        <v>54</v>
      </c>
      <c r="AF25" s="771">
        <f t="shared" si="1"/>
        <v>54</v>
      </c>
      <c r="AG25" s="7">
        <v>54</v>
      </c>
      <c r="AH25" s="8"/>
      <c r="AI25" s="64"/>
      <c r="AJ25" s="64"/>
      <c r="AK25" s="269"/>
      <c r="AL25" s="9">
        <v>4668.4799999999996</v>
      </c>
      <c r="AM25" s="57"/>
      <c r="AN25" s="82">
        <v>4720.9799999999996</v>
      </c>
      <c r="AO25" s="9">
        <f t="shared" si="2"/>
        <v>87.425555555555547</v>
      </c>
      <c r="AP25" s="59"/>
      <c r="AQ25" s="59"/>
      <c r="AR25" s="59"/>
      <c r="AS25" s="59"/>
      <c r="AT25" s="59"/>
      <c r="AU25" s="9"/>
      <c r="AV25" s="76">
        <v>0</v>
      </c>
      <c r="AW25" s="78">
        <f t="shared" si="65"/>
        <v>0</v>
      </c>
      <c r="AX25" s="63" t="s">
        <v>195</v>
      </c>
      <c r="AY25" s="56" t="s">
        <v>549</v>
      </c>
      <c r="AZ25" s="7" t="s">
        <v>120</v>
      </c>
      <c r="BA25" s="53"/>
      <c r="BB25" s="53"/>
      <c r="BC25" s="53"/>
      <c r="BD25" s="184">
        <v>41233</v>
      </c>
      <c r="BE25" s="184">
        <v>41348</v>
      </c>
      <c r="BF25" s="108" t="s">
        <v>12</v>
      </c>
      <c r="BG25" s="108" t="s">
        <v>136</v>
      </c>
      <c r="BH25" s="420"/>
      <c r="BI25" s="204">
        <v>41466</v>
      </c>
      <c r="BJ25" s="99"/>
      <c r="BK25" s="99">
        <v>41498</v>
      </c>
      <c r="BL25" s="204">
        <v>41508</v>
      </c>
      <c r="BM25" s="99"/>
      <c r="BN25" s="160">
        <v>41550</v>
      </c>
      <c r="BO25" s="202">
        <v>41576</v>
      </c>
      <c r="BP25" s="161">
        <f>DATE(YEAR(BO25),MONTH(BO25)+3,DAY(BO25))</f>
        <v>41668</v>
      </c>
      <c r="BQ25" s="161"/>
      <c r="BR25" s="299">
        <v>41659</v>
      </c>
      <c r="BS25" s="298">
        <f t="shared" si="3"/>
        <v>42389</v>
      </c>
      <c r="BT25" s="298">
        <f t="shared" si="4"/>
        <v>42755</v>
      </c>
      <c r="BU25" s="298"/>
      <c r="BV25" s="298" t="str">
        <f t="shared" si="64"/>
        <v>oui</v>
      </c>
      <c r="BW25" s="672" t="e">
        <f t="shared" si="5"/>
        <v>#NUM!</v>
      </c>
      <c r="BX25" s="672" t="e">
        <f t="shared" si="6"/>
        <v>#NUM!</v>
      </c>
      <c r="BY25" s="672" t="e">
        <f t="shared" si="7"/>
        <v>#NUM!</v>
      </c>
      <c r="BZ25" s="824"/>
      <c r="CA25" s="825" t="s">
        <v>178</v>
      </c>
      <c r="CB25" s="826"/>
      <c r="CC25" s="826"/>
      <c r="CD25" s="826"/>
      <c r="CE25" s="826"/>
      <c r="CF25" s="819"/>
      <c r="CG25" s="819"/>
      <c r="CH25" s="819"/>
      <c r="CI25" s="819"/>
      <c r="CJ25" s="819"/>
      <c r="CK25" s="819"/>
      <c r="CL25" s="819"/>
      <c r="CM25" s="827"/>
      <c r="CN25" s="827"/>
      <c r="CO25" s="827"/>
      <c r="CP25" s="827"/>
      <c r="CQ25" s="827"/>
      <c r="CR25" s="827"/>
      <c r="CS25" s="163" t="s">
        <v>138</v>
      </c>
      <c r="CT25" s="307">
        <v>41626</v>
      </c>
      <c r="CU25" s="250"/>
      <c r="CV25" s="157">
        <v>9174750.6199999992</v>
      </c>
      <c r="CW25" s="581">
        <f t="shared" si="61"/>
        <v>42173</v>
      </c>
      <c r="CX25" s="405">
        <f t="shared" si="62"/>
        <v>42356</v>
      </c>
      <c r="CY25" s="340">
        <v>42656</v>
      </c>
      <c r="CZ25" s="250">
        <v>42668</v>
      </c>
      <c r="DA25" s="597">
        <f t="shared" ref="DA25:DA33" si="74">(FK25-CZ25)/30</f>
        <v>13.766666666666667</v>
      </c>
      <c r="DB25" s="122"/>
      <c r="DC25" s="122"/>
      <c r="DD25" s="122"/>
      <c r="DE25" s="523" t="str">
        <f t="shared" si="8"/>
        <v>0</v>
      </c>
      <c r="DF25" s="122"/>
      <c r="DG25" s="122"/>
      <c r="DH25" s="523" t="str">
        <f t="shared" si="9"/>
        <v>0</v>
      </c>
      <c r="DI25" s="122"/>
      <c r="DJ25" s="122"/>
      <c r="DK25" s="523" t="str">
        <f t="shared" si="10"/>
        <v>0</v>
      </c>
      <c r="DL25" s="122"/>
      <c r="DM25" s="122"/>
      <c r="DN25" s="523" t="str">
        <f t="shared" si="11"/>
        <v>0</v>
      </c>
      <c r="DO25" s="125"/>
      <c r="DP25" s="569"/>
      <c r="DQ25" s="523" t="str">
        <f t="shared" si="12"/>
        <v>0</v>
      </c>
      <c r="DR25" s="78"/>
      <c r="DS25" s="231"/>
      <c r="DT25" s="122"/>
      <c r="DU25" s="231"/>
      <c r="DV25" s="523" t="str">
        <f t="shared" si="13"/>
        <v>0</v>
      </c>
      <c r="DW25" s="122"/>
      <c r="DX25" s="347">
        <v>41764</v>
      </c>
      <c r="DY25" s="343">
        <v>2014</v>
      </c>
      <c r="DZ25" s="444">
        <f t="shared" si="14"/>
        <v>9.9333333333333336</v>
      </c>
      <c r="EA25" s="523" t="str">
        <f t="shared" si="15"/>
        <v>0</v>
      </c>
      <c r="EB25" s="240">
        <v>15</v>
      </c>
      <c r="EC25" s="116">
        <f t="shared" si="16"/>
        <v>43</v>
      </c>
      <c r="ED25" s="122"/>
      <c r="EE25" s="231"/>
      <c r="EF25" s="523" t="str">
        <f t="shared" si="17"/>
        <v>0</v>
      </c>
      <c r="EG25" s="570"/>
      <c r="EH25" s="567"/>
      <c r="EI25" s="526" t="str">
        <f t="shared" si="18"/>
        <v>0</v>
      </c>
      <c r="EJ25" s="125"/>
      <c r="EK25" s="315"/>
      <c r="EL25" s="523" t="str">
        <f t="shared" si="19"/>
        <v>0</v>
      </c>
      <c r="EM25" s="122"/>
      <c r="EN25" s="122"/>
      <c r="EO25" s="523" t="str">
        <f t="shared" si="20"/>
        <v>0</v>
      </c>
      <c r="EP25" s="122"/>
      <c r="EQ25" s="122"/>
      <c r="ER25" s="523" t="str">
        <f t="shared" si="21"/>
        <v>0</v>
      </c>
      <c r="ES25" s="122"/>
      <c r="ET25" s="122"/>
      <c r="EU25" s="523" t="str">
        <f t="shared" si="22"/>
        <v>0</v>
      </c>
      <c r="EV25" s="122"/>
      <c r="EW25" s="122"/>
      <c r="EX25" s="523" t="str">
        <f t="shared" si="23"/>
        <v>0</v>
      </c>
      <c r="EY25" s="122"/>
      <c r="EZ25" s="122"/>
      <c r="FA25" s="122"/>
      <c r="FB25" s="572">
        <f t="shared" si="24"/>
        <v>42221</v>
      </c>
      <c r="FC25" s="349">
        <v>43076</v>
      </c>
      <c r="FD25" s="707">
        <f t="shared" si="25"/>
        <v>28.5</v>
      </c>
      <c r="FE25" s="626">
        <f t="shared" si="67"/>
        <v>43386</v>
      </c>
      <c r="FF25" s="115">
        <v>43131</v>
      </c>
      <c r="FG25" s="115">
        <v>42527</v>
      </c>
      <c r="FH25" s="115">
        <v>43066</v>
      </c>
      <c r="FI25" s="115"/>
      <c r="FJ25" s="455">
        <f t="shared" si="26"/>
        <v>42252</v>
      </c>
      <c r="FK25" s="349">
        <v>43081</v>
      </c>
      <c r="FL25" s="343">
        <v>2017</v>
      </c>
      <c r="FM25" s="704">
        <f t="shared" si="27"/>
        <v>27.633333333333333</v>
      </c>
      <c r="FN25" s="694">
        <f>366249.787559262/12</f>
        <v>30520.815629938501</v>
      </c>
      <c r="FO25" s="314">
        <f t="shared" si="28"/>
        <v>843391.87190730055</v>
      </c>
      <c r="FP25" s="315">
        <v>42970</v>
      </c>
      <c r="FQ25" s="552">
        <v>0</v>
      </c>
      <c r="FR25" s="692">
        <v>222887</v>
      </c>
      <c r="FS25" s="556"/>
      <c r="FT25" s="556"/>
      <c r="FU25" s="556">
        <f>170334.64*1.021</f>
        <v>173911.66743999999</v>
      </c>
      <c r="FV25" s="749">
        <f t="shared" ref="FV25:FV32" si="75">FU25/GY25</f>
        <v>1.6663020779787267E-2</v>
      </c>
      <c r="FW25" s="553"/>
      <c r="FX25" s="566" t="s">
        <v>732</v>
      </c>
      <c r="FY25" s="553"/>
      <c r="FZ25" s="553"/>
      <c r="GA25" s="187" t="s">
        <v>517</v>
      </c>
      <c r="GB25" s="122">
        <v>43166</v>
      </c>
      <c r="GC25" s="121"/>
      <c r="GD25" s="121"/>
      <c r="GE25" s="122">
        <v>43297</v>
      </c>
      <c r="GF25" s="114" t="s">
        <v>771</v>
      </c>
      <c r="GG25" s="280">
        <f t="shared" si="63"/>
        <v>43441</v>
      </c>
      <c r="GH25" s="678">
        <v>280724</v>
      </c>
      <c r="GI25" s="315">
        <v>43152</v>
      </c>
      <c r="GJ25" s="122">
        <v>43186</v>
      </c>
      <c r="GK25" s="121"/>
      <c r="GL25" s="121"/>
      <c r="GM25" s="122">
        <v>43217</v>
      </c>
      <c r="GN25" s="53"/>
      <c r="GO25" s="53"/>
      <c r="GP25" s="53"/>
      <c r="GQ25" s="184"/>
      <c r="GR25" s="618">
        <v>43287</v>
      </c>
      <c r="GS25" s="114" t="s">
        <v>128</v>
      </c>
      <c r="GT25" s="53"/>
      <c r="GU25" s="53"/>
      <c r="GV25" s="109" t="s">
        <v>120</v>
      </c>
      <c r="GW25" s="606">
        <v>9099071</v>
      </c>
      <c r="GX25" s="10">
        <f t="shared" si="68"/>
        <v>9099072</v>
      </c>
      <c r="GY25" s="11">
        <f>HJ25+HO25+HV25+IO25+HT25+HZ25+HY25</f>
        <v>10436983.17</v>
      </c>
      <c r="GZ25" s="797">
        <f t="shared" si="31"/>
        <v>10436983.17</v>
      </c>
      <c r="HA25" s="12">
        <f t="shared" si="32"/>
        <v>1337911.17</v>
      </c>
      <c r="HB25" s="49">
        <f t="shared" si="33"/>
        <v>2235.6276925251905</v>
      </c>
      <c r="HC25" s="49">
        <f t="shared" si="34"/>
        <v>193277.46611111111</v>
      </c>
      <c r="HD25" s="715">
        <v>8367242</v>
      </c>
      <c r="HE25" s="11">
        <v>8644229</v>
      </c>
      <c r="HF25" s="12">
        <f t="shared" si="35"/>
        <v>276987</v>
      </c>
      <c r="HG25" s="127">
        <f t="shared" si="36"/>
        <v>0.93888190817700956</v>
      </c>
      <c r="HH25" s="128"/>
      <c r="HI25" s="10">
        <v>3120981</v>
      </c>
      <c r="HJ25" s="11">
        <v>3287400</v>
      </c>
      <c r="HK25" s="67"/>
      <c r="HL25" s="23">
        <f t="shared" si="37"/>
        <v>60877.777777777781</v>
      </c>
      <c r="HM25" s="37">
        <f t="shared" si="38"/>
        <v>166419</v>
      </c>
      <c r="HN25" s="10">
        <v>5978090</v>
      </c>
      <c r="HO25" s="11">
        <f t="shared" si="39"/>
        <v>5918673</v>
      </c>
      <c r="HP25" s="13">
        <v>1256197</v>
      </c>
      <c r="HQ25" s="13">
        <v>4662476</v>
      </c>
      <c r="HR25" s="37">
        <f t="shared" si="40"/>
        <v>-59417</v>
      </c>
      <c r="HS25" s="629">
        <f t="shared" si="41"/>
        <v>109605.05555555556</v>
      </c>
      <c r="HT25" s="11">
        <f>822995+390564.17</f>
        <v>1213559.17</v>
      </c>
      <c r="HU25" s="10">
        <v>1</v>
      </c>
      <c r="HV25" s="11">
        <v>1</v>
      </c>
      <c r="HW25" s="67"/>
      <c r="HX25" s="40">
        <f t="shared" si="42"/>
        <v>9.5813127578321085E-8</v>
      </c>
      <c r="HY25" s="93">
        <v>0</v>
      </c>
      <c r="HZ25" s="11">
        <v>17350</v>
      </c>
      <c r="IA25" s="24">
        <f t="shared" si="66"/>
        <v>0</v>
      </c>
      <c r="IB25" s="23">
        <f t="shared" si="43"/>
        <v>1.8518518518518517E-2</v>
      </c>
      <c r="IC25" s="49">
        <f t="shared" si="44"/>
        <v>60877.796296296299</v>
      </c>
      <c r="ID25" s="24">
        <f t="shared" si="45"/>
        <v>0</v>
      </c>
      <c r="IE25" s="48"/>
      <c r="IF25" s="48"/>
      <c r="IG25" s="39"/>
      <c r="IH25" s="39"/>
      <c r="II25" s="23">
        <f t="shared" si="46"/>
        <v>60877.796296296299</v>
      </c>
      <c r="IJ25" s="39">
        <v>0</v>
      </c>
      <c r="IK25" s="23">
        <f t="shared" si="47"/>
        <v>60877.796296296299</v>
      </c>
      <c r="IL25" s="50">
        <f t="shared" si="48"/>
        <v>0.31497617141410028</v>
      </c>
      <c r="IM25" s="39"/>
      <c r="IN25" s="39"/>
      <c r="IO25" s="11"/>
      <c r="IP25" s="41">
        <f t="shared" si="49"/>
        <v>10436983.17</v>
      </c>
      <c r="IQ25" s="231">
        <v>455729</v>
      </c>
      <c r="IR25" s="231">
        <f t="shared" si="50"/>
        <v>225585</v>
      </c>
      <c r="IS25" s="113">
        <v>41207</v>
      </c>
      <c r="IT25" s="231">
        <v>42868</v>
      </c>
      <c r="IU25" s="231"/>
      <c r="IV25" s="113"/>
      <c r="IW25" s="113"/>
      <c r="IX25" s="231"/>
      <c r="IY25" s="113">
        <v>41332</v>
      </c>
      <c r="IZ25" s="231">
        <v>44712</v>
      </c>
      <c r="JA25" s="113">
        <v>41396</v>
      </c>
      <c r="JB25" s="231">
        <v>65685</v>
      </c>
      <c r="JC25" s="114">
        <v>41547</v>
      </c>
      <c r="JD25" s="321">
        <v>65685</v>
      </c>
      <c r="JE25" s="313"/>
      <c r="JF25" s="313"/>
      <c r="JG25" s="122"/>
      <c r="JH25" s="231"/>
      <c r="JI25" s="122"/>
      <c r="JJ25" s="231"/>
      <c r="JK25" s="114"/>
      <c r="JL25" s="114"/>
      <c r="JM25" s="114"/>
      <c r="JN25" s="114"/>
      <c r="JO25" s="236">
        <v>42822</v>
      </c>
      <c r="JP25" s="231">
        <v>6635</v>
      </c>
      <c r="JQ25" s="269"/>
      <c r="JR25" s="269"/>
      <c r="JS25" s="269"/>
      <c r="JT25" s="269"/>
      <c r="JU25" s="231">
        <v>44712</v>
      </c>
      <c r="JV25" s="122"/>
      <c r="JW25" s="114"/>
      <c r="JX25" s="122"/>
      <c r="JY25" s="122"/>
      <c r="JZ25" s="114"/>
    </row>
    <row r="26" spans="1:286" ht="15" customHeight="1">
      <c r="A26" s="83" t="s">
        <v>420</v>
      </c>
      <c r="B26" s="98"/>
      <c r="C26" s="7" t="s">
        <v>28</v>
      </c>
      <c r="D26" s="7" t="s">
        <v>112</v>
      </c>
      <c r="E26" s="7">
        <v>2013</v>
      </c>
      <c r="F26" s="7" t="s">
        <v>50</v>
      </c>
      <c r="G26" s="7" t="s">
        <v>54</v>
      </c>
      <c r="H26" s="7" t="s">
        <v>837</v>
      </c>
      <c r="I26" s="7" t="s">
        <v>172</v>
      </c>
      <c r="J26" s="53"/>
      <c r="K26" s="53"/>
      <c r="L26" s="255" t="s">
        <v>629</v>
      </c>
      <c r="M26" s="162" t="s">
        <v>61</v>
      </c>
      <c r="N26" s="104" t="s">
        <v>66</v>
      </c>
      <c r="O26" s="105">
        <v>41627</v>
      </c>
      <c r="P26" s="207">
        <v>11354</v>
      </c>
      <c r="Q26" s="207">
        <v>444858</v>
      </c>
      <c r="R26" s="207">
        <v>247250</v>
      </c>
      <c r="S26" s="207">
        <f>Q26/AE26</f>
        <v>13084.058823529413</v>
      </c>
      <c r="T26" s="207">
        <f t="shared" si="69"/>
        <v>39.180729258411134</v>
      </c>
      <c r="U26" s="207">
        <f t="shared" si="70"/>
        <v>21.776466443544127</v>
      </c>
      <c r="V26" s="207">
        <f t="shared" si="71"/>
        <v>93.413630644960193</v>
      </c>
      <c r="W26" s="207">
        <f t="shared" si="72"/>
        <v>7272.0588235294117</v>
      </c>
      <c r="X26" s="207">
        <f t="shared" si="73"/>
        <v>333.94117647058823</v>
      </c>
      <c r="Y26" s="208"/>
      <c r="Z26" s="904">
        <f t="shared" si="51"/>
        <v>29.945393693852388</v>
      </c>
      <c r="AA26" s="208" t="s">
        <v>197</v>
      </c>
      <c r="AB26" s="210">
        <v>300</v>
      </c>
      <c r="AC26" s="211"/>
      <c r="AD26" s="7" t="s">
        <v>16</v>
      </c>
      <c r="AE26" s="771">
        <f t="shared" si="0"/>
        <v>34</v>
      </c>
      <c r="AF26" s="771">
        <f t="shared" si="1"/>
        <v>34</v>
      </c>
      <c r="AG26" s="8"/>
      <c r="AH26" s="7">
        <v>34</v>
      </c>
      <c r="AI26" s="53"/>
      <c r="AJ26" s="53"/>
      <c r="AK26" s="269"/>
      <c r="AL26" s="9">
        <v>2592.75</v>
      </c>
      <c r="AM26" s="57"/>
      <c r="AN26" s="82">
        <v>2646.83</v>
      </c>
      <c r="AO26" s="9">
        <f t="shared" si="2"/>
        <v>77.847941176470584</v>
      </c>
      <c r="AP26" s="59"/>
      <c r="AQ26" s="59"/>
      <c r="AR26" s="59"/>
      <c r="AS26" s="59"/>
      <c r="AT26" s="59"/>
      <c r="AU26" s="9">
        <v>1035</v>
      </c>
      <c r="AV26" s="76" t="s">
        <v>320</v>
      </c>
      <c r="AW26" s="78" t="e">
        <f t="shared" si="65"/>
        <v>#VALUE!</v>
      </c>
      <c r="AX26" s="59">
        <v>2</v>
      </c>
      <c r="AY26" s="53" t="s">
        <v>548</v>
      </c>
      <c r="AZ26" s="7" t="s">
        <v>121</v>
      </c>
      <c r="BA26" s="53"/>
      <c r="BB26" s="53"/>
      <c r="BC26" s="53"/>
      <c r="BD26" s="184">
        <v>41173</v>
      </c>
      <c r="BE26" s="184">
        <v>41348</v>
      </c>
      <c r="BF26" s="108" t="s">
        <v>12</v>
      </c>
      <c r="BG26" s="108" t="s">
        <v>150</v>
      </c>
      <c r="BH26" s="775"/>
      <c r="BI26" s="204">
        <v>41484</v>
      </c>
      <c r="BJ26" s="99"/>
      <c r="BK26" s="99">
        <v>41498</v>
      </c>
      <c r="BL26" s="204">
        <v>41509</v>
      </c>
      <c r="BM26" s="99"/>
      <c r="BN26" s="160">
        <v>41549</v>
      </c>
      <c r="BO26" s="202">
        <v>41576</v>
      </c>
      <c r="BP26" s="161">
        <f>DATE(YEAR(BO26),MONTH(BO26)+3,DAY(BO26))</f>
        <v>41668</v>
      </c>
      <c r="BQ26" s="161"/>
      <c r="BR26" s="299">
        <v>41659</v>
      </c>
      <c r="BS26" s="298">
        <f t="shared" si="3"/>
        <v>42389</v>
      </c>
      <c r="BT26" s="298">
        <f t="shared" si="4"/>
        <v>42755</v>
      </c>
      <c r="BU26" s="298"/>
      <c r="BV26" s="298" t="str">
        <f t="shared" si="64"/>
        <v>oui</v>
      </c>
      <c r="BW26" s="672" t="e">
        <f t="shared" si="5"/>
        <v>#NUM!</v>
      </c>
      <c r="BX26" s="672" t="e">
        <f t="shared" si="6"/>
        <v>#NUM!</v>
      </c>
      <c r="BY26" s="672" t="e">
        <f t="shared" si="7"/>
        <v>#NUM!</v>
      </c>
      <c r="BZ26" s="824"/>
      <c r="CA26" s="825" t="s">
        <v>178</v>
      </c>
      <c r="CB26" s="826"/>
      <c r="CC26" s="826"/>
      <c r="CD26" s="826"/>
      <c r="CE26" s="826"/>
      <c r="CF26" s="819"/>
      <c r="CG26" s="819"/>
      <c r="CH26" s="819"/>
      <c r="CI26" s="819"/>
      <c r="CJ26" s="819"/>
      <c r="CK26" s="819"/>
      <c r="CL26" s="819"/>
      <c r="CM26" s="827"/>
      <c r="CN26" s="827"/>
      <c r="CO26" s="827"/>
      <c r="CP26" s="827"/>
      <c r="CQ26" s="827"/>
      <c r="CR26" s="827"/>
      <c r="CS26" s="156" t="s">
        <v>149</v>
      </c>
      <c r="CT26" s="307">
        <v>41627</v>
      </c>
      <c r="CU26" s="250"/>
      <c r="CV26" s="157">
        <v>5177307.8499999996</v>
      </c>
      <c r="CW26" s="581">
        <f t="shared" si="61"/>
        <v>42174</v>
      </c>
      <c r="CX26" s="405">
        <f t="shared" si="62"/>
        <v>42357</v>
      </c>
      <c r="CY26" s="340">
        <v>41988</v>
      </c>
      <c r="CZ26" s="250">
        <v>42323</v>
      </c>
      <c r="DA26" s="597">
        <f t="shared" si="74"/>
        <v>25</v>
      </c>
      <c r="DB26" s="122"/>
      <c r="DC26" s="114"/>
      <c r="DD26" s="114"/>
      <c r="DE26" s="523" t="str">
        <f t="shared" si="8"/>
        <v>0</v>
      </c>
      <c r="DF26" s="122"/>
      <c r="DG26" s="122"/>
      <c r="DH26" s="523" t="str">
        <f t="shared" si="9"/>
        <v>0</v>
      </c>
      <c r="DI26" s="125"/>
      <c r="DJ26" s="122"/>
      <c r="DK26" s="523" t="str">
        <f t="shared" si="10"/>
        <v>0</v>
      </c>
      <c r="DL26" s="125"/>
      <c r="DM26" s="122"/>
      <c r="DN26" s="523" t="str">
        <f t="shared" si="11"/>
        <v>0</v>
      </c>
      <c r="DO26" s="125"/>
      <c r="DP26" s="569"/>
      <c r="DQ26" s="523" t="str">
        <f t="shared" si="12"/>
        <v>0</v>
      </c>
      <c r="DR26" s="453"/>
      <c r="DS26" s="231"/>
      <c r="DT26" s="122"/>
      <c r="DU26" s="231"/>
      <c r="DV26" s="523" t="str">
        <f t="shared" si="13"/>
        <v>0</v>
      </c>
      <c r="DW26" s="122"/>
      <c r="DX26" s="347">
        <v>41729</v>
      </c>
      <c r="DY26" s="341">
        <v>2014</v>
      </c>
      <c r="DZ26" s="443">
        <f t="shared" si="14"/>
        <v>8.1666666666666661</v>
      </c>
      <c r="EA26" s="523" t="str">
        <f t="shared" si="15"/>
        <v>0</v>
      </c>
      <c r="EB26" s="240">
        <v>18</v>
      </c>
      <c r="EC26" s="116">
        <f t="shared" si="16"/>
        <v>43</v>
      </c>
      <c r="ED26" s="122"/>
      <c r="EE26" s="231"/>
      <c r="EF26" s="523" t="str">
        <f t="shared" si="17"/>
        <v>0</v>
      </c>
      <c r="EG26" s="570"/>
      <c r="EH26" s="567"/>
      <c r="EI26" s="526" t="str">
        <f t="shared" si="18"/>
        <v>0</v>
      </c>
      <c r="EJ26" s="125"/>
      <c r="EK26" s="315"/>
      <c r="EL26" s="523" t="str">
        <f t="shared" si="19"/>
        <v>0</v>
      </c>
      <c r="EM26" s="231"/>
      <c r="EN26" s="122"/>
      <c r="EO26" s="523" t="str">
        <f t="shared" si="20"/>
        <v>0</v>
      </c>
      <c r="EP26" s="114"/>
      <c r="EQ26" s="114"/>
      <c r="ER26" s="523" t="str">
        <f t="shared" si="21"/>
        <v>0</v>
      </c>
      <c r="ES26" s="114"/>
      <c r="ET26" s="114"/>
      <c r="EU26" s="523" t="str">
        <f t="shared" si="22"/>
        <v>0</v>
      </c>
      <c r="EV26" s="114"/>
      <c r="EW26" s="114"/>
      <c r="EX26" s="523" t="str">
        <f t="shared" si="23"/>
        <v>0</v>
      </c>
      <c r="EY26" s="114"/>
      <c r="EZ26" s="114"/>
      <c r="FA26" s="114"/>
      <c r="FB26" s="877">
        <f t="shared" si="24"/>
        <v>42278</v>
      </c>
      <c r="FC26" s="349">
        <v>43068</v>
      </c>
      <c r="FD26" s="707">
        <f t="shared" si="25"/>
        <v>26.333333333333332</v>
      </c>
      <c r="FE26" s="626">
        <f t="shared" si="67"/>
        <v>42719</v>
      </c>
      <c r="FF26" s="115">
        <v>43131</v>
      </c>
      <c r="FG26" s="115">
        <v>42342</v>
      </c>
      <c r="FH26" s="115">
        <v>43054</v>
      </c>
      <c r="FI26" s="455"/>
      <c r="FJ26" s="455">
        <f t="shared" si="26"/>
        <v>42309</v>
      </c>
      <c r="FK26" s="602">
        <v>43073</v>
      </c>
      <c r="FL26" s="343">
        <v>2017</v>
      </c>
      <c r="FM26" s="703">
        <f t="shared" si="27"/>
        <v>25.466666666666665</v>
      </c>
      <c r="FN26" s="694">
        <f>170360/12</f>
        <v>14196.666666666666</v>
      </c>
      <c r="FO26" s="314">
        <f t="shared" si="28"/>
        <v>361541.77777777775</v>
      </c>
      <c r="FP26" s="315">
        <v>42982</v>
      </c>
      <c r="FQ26" s="552">
        <v>51376</v>
      </c>
      <c r="FR26" s="552">
        <v>0</v>
      </c>
      <c r="FS26" s="556">
        <f>30000*1.021</f>
        <v>30629.999999999996</v>
      </c>
      <c r="FT26" s="556"/>
      <c r="FU26" s="556">
        <f>124948*1.021</f>
        <v>127571.90799999998</v>
      </c>
      <c r="FV26" s="749">
        <f t="shared" si="75"/>
        <v>2.1677246353851463E-2</v>
      </c>
      <c r="FW26" s="553"/>
      <c r="FX26" s="566" t="s">
        <v>784</v>
      </c>
      <c r="FY26" s="553"/>
      <c r="FZ26" s="553"/>
      <c r="GA26" s="187" t="s">
        <v>517</v>
      </c>
      <c r="GB26" s="315">
        <v>43164</v>
      </c>
      <c r="GC26" s="119"/>
      <c r="GD26" s="119"/>
      <c r="GE26" s="119"/>
      <c r="GF26" s="323" t="s">
        <v>770</v>
      </c>
      <c r="GG26" s="280">
        <f t="shared" si="63"/>
        <v>43433</v>
      </c>
      <c r="GH26" s="678">
        <v>56500</v>
      </c>
      <c r="GI26" s="315">
        <v>43153</v>
      </c>
      <c r="GJ26" s="122">
        <v>43171</v>
      </c>
      <c r="GK26" s="121"/>
      <c r="GL26" s="121"/>
      <c r="GM26" s="316">
        <v>43213</v>
      </c>
      <c r="GN26" s="53"/>
      <c r="GO26" s="53"/>
      <c r="GP26" s="53"/>
      <c r="GQ26" s="53"/>
      <c r="GR26" s="316">
        <v>43242</v>
      </c>
      <c r="GS26" s="114" t="s">
        <v>128</v>
      </c>
      <c r="GT26" s="53"/>
      <c r="GU26" s="53"/>
      <c r="GV26" s="109" t="s">
        <v>120</v>
      </c>
      <c r="GW26" s="606">
        <v>5039187</v>
      </c>
      <c r="GX26" s="10">
        <f t="shared" si="68"/>
        <v>5045187</v>
      </c>
      <c r="GY26" s="11">
        <f>HJ26+HO26+HV26+IO26+HT26+HZ26+HY26</f>
        <v>5885060.5800000001</v>
      </c>
      <c r="GZ26" s="797">
        <f t="shared" si="31"/>
        <v>5885060.5800000001</v>
      </c>
      <c r="HA26" s="12">
        <f t="shared" si="32"/>
        <v>839873.58000000007</v>
      </c>
      <c r="HB26" s="49">
        <f t="shared" si="33"/>
        <v>2269.8141278565231</v>
      </c>
      <c r="HC26" s="49">
        <f t="shared" si="34"/>
        <v>173090.01705882352</v>
      </c>
      <c r="HD26" s="10">
        <v>4467345</v>
      </c>
      <c r="HE26" s="11">
        <v>4848194</v>
      </c>
      <c r="HF26" s="12">
        <f t="shared" si="35"/>
        <v>380849</v>
      </c>
      <c r="HG26" s="127">
        <f t="shared" si="36"/>
        <v>0.90406148374678663</v>
      </c>
      <c r="HH26" s="128"/>
      <c r="HI26" s="10">
        <v>1408892</v>
      </c>
      <c r="HJ26" s="11">
        <v>1600171.58</v>
      </c>
      <c r="HK26" s="67"/>
      <c r="HL26" s="23">
        <f t="shared" si="37"/>
        <v>47063.87</v>
      </c>
      <c r="HM26" s="37">
        <f t="shared" si="38"/>
        <v>191279.58000000007</v>
      </c>
      <c r="HN26" s="10">
        <v>2956295</v>
      </c>
      <c r="HO26" s="11">
        <f t="shared" si="39"/>
        <v>3023907</v>
      </c>
      <c r="HP26" s="13">
        <v>650910</v>
      </c>
      <c r="HQ26" s="13">
        <v>2372997</v>
      </c>
      <c r="HR26" s="37">
        <f t="shared" si="40"/>
        <v>67612</v>
      </c>
      <c r="HS26" s="629">
        <f t="shared" si="41"/>
        <v>88938.441176470587</v>
      </c>
      <c r="HT26" s="11"/>
      <c r="HU26" s="10">
        <v>680000</v>
      </c>
      <c r="HV26" s="11">
        <v>680000</v>
      </c>
      <c r="HW26" s="67"/>
      <c r="HX26" s="40">
        <f t="shared" si="42"/>
        <v>0.11554681396329823</v>
      </c>
      <c r="HY26" s="93">
        <v>580982</v>
      </c>
      <c r="HZ26" s="11">
        <v>0</v>
      </c>
      <c r="IA26" s="24">
        <f t="shared" si="66"/>
        <v>0</v>
      </c>
      <c r="IB26" s="23">
        <f t="shared" si="43"/>
        <v>20000</v>
      </c>
      <c r="IC26" s="49">
        <f t="shared" si="44"/>
        <v>67063.87</v>
      </c>
      <c r="ID26" s="24">
        <f t="shared" si="45"/>
        <v>0</v>
      </c>
      <c r="IE26" s="48"/>
      <c r="IF26" s="48"/>
      <c r="IG26" s="39">
        <v>1298644.9078014998</v>
      </c>
      <c r="IH26" s="39">
        <v>680000</v>
      </c>
      <c r="II26" s="23">
        <f t="shared" si="46"/>
        <v>87063.87</v>
      </c>
      <c r="IJ26" s="39">
        <v>0</v>
      </c>
      <c r="IK26" s="23">
        <f t="shared" si="47"/>
        <v>87063.87</v>
      </c>
      <c r="IL26" s="50">
        <f t="shared" si="48"/>
        <v>0.42707533654989638</v>
      </c>
      <c r="IM26" s="39">
        <v>252442.25</v>
      </c>
      <c r="IN26" s="39"/>
      <c r="IO26" s="11">
        <v>0</v>
      </c>
      <c r="IP26" s="41">
        <f t="shared" si="49"/>
        <v>7183705.4878014997</v>
      </c>
      <c r="IQ26" s="231">
        <v>258409</v>
      </c>
      <c r="IR26" s="231">
        <f t="shared" si="50"/>
        <v>349737</v>
      </c>
      <c r="IS26" s="113">
        <v>40779</v>
      </c>
      <c r="IT26" s="231">
        <v>210013</v>
      </c>
      <c r="IU26" s="231"/>
      <c r="IV26" s="113"/>
      <c r="IW26" s="113"/>
      <c r="IX26" s="231"/>
      <c r="IY26" s="113">
        <v>41332</v>
      </c>
      <c r="IZ26" s="231">
        <v>39806</v>
      </c>
      <c r="JA26" s="113">
        <v>41485</v>
      </c>
      <c r="JB26" s="231">
        <v>24327</v>
      </c>
      <c r="JC26" s="114">
        <v>41570</v>
      </c>
      <c r="JD26" s="321">
        <v>36491</v>
      </c>
      <c r="JE26" s="313"/>
      <c r="JF26" s="313"/>
      <c r="JG26" s="122" t="s">
        <v>128</v>
      </c>
      <c r="JH26" s="231"/>
      <c r="JI26" s="122">
        <v>42719</v>
      </c>
      <c r="JJ26" s="231">
        <v>39100</v>
      </c>
      <c r="JK26" s="114"/>
      <c r="JL26" s="114"/>
      <c r="JM26" s="114"/>
      <c r="JN26" s="114"/>
      <c r="JO26" s="269"/>
      <c r="JP26" s="269"/>
      <c r="JQ26" s="269"/>
      <c r="JR26" s="269"/>
      <c r="JS26" s="269"/>
      <c r="JT26" s="269"/>
      <c r="JU26" s="231">
        <v>39806</v>
      </c>
      <c r="JV26" s="122"/>
      <c r="JW26" s="114"/>
      <c r="JX26" s="122"/>
      <c r="JY26" s="122"/>
      <c r="JZ26" s="114"/>
    </row>
    <row r="27" spans="1:286" s="62" customFormat="1" ht="15" customHeight="1">
      <c r="A27" s="25" t="s">
        <v>141</v>
      </c>
      <c r="B27" s="655"/>
      <c r="C27" s="7" t="s">
        <v>40</v>
      </c>
      <c r="D27" s="7" t="s">
        <v>113</v>
      </c>
      <c r="E27" s="7">
        <v>2013</v>
      </c>
      <c r="F27" s="7" t="s">
        <v>41</v>
      </c>
      <c r="G27" s="7" t="s">
        <v>378</v>
      </c>
      <c r="H27" s="7" t="s">
        <v>838</v>
      </c>
      <c r="I27" s="7" t="s">
        <v>944</v>
      </c>
      <c r="J27" s="53"/>
      <c r="K27" s="53"/>
      <c r="L27" s="395" t="s">
        <v>628</v>
      </c>
      <c r="M27" s="162" t="s">
        <v>59</v>
      </c>
      <c r="N27" s="104" t="s">
        <v>143</v>
      </c>
      <c r="O27" s="105">
        <v>41619</v>
      </c>
      <c r="P27" s="207">
        <v>15520</v>
      </c>
      <c r="Q27" s="207">
        <v>130195</v>
      </c>
      <c r="R27" s="207">
        <v>184575</v>
      </c>
      <c r="S27" s="207">
        <f>Q27/AE27</f>
        <v>5424.791666666667</v>
      </c>
      <c r="T27" s="207">
        <f t="shared" si="69"/>
        <v>8.3888530927835046</v>
      </c>
      <c r="U27" s="207">
        <f t="shared" si="70"/>
        <v>11.892719072164949</v>
      </c>
      <c r="V27" s="207">
        <f t="shared" si="71"/>
        <v>100.20684712857096</v>
      </c>
      <c r="W27" s="207">
        <f t="shared" si="72"/>
        <v>7690.625</v>
      </c>
      <c r="X27" s="207">
        <f t="shared" si="73"/>
        <v>646.66666666666663</v>
      </c>
      <c r="Y27" s="208"/>
      <c r="Z27" s="904">
        <f t="shared" si="51"/>
        <v>15.463917525773196</v>
      </c>
      <c r="AA27" s="208" t="s">
        <v>211</v>
      </c>
      <c r="AB27" s="210">
        <v>790</v>
      </c>
      <c r="AC27" s="211"/>
      <c r="AD27" s="7" t="s">
        <v>16</v>
      </c>
      <c r="AE27" s="771">
        <f t="shared" si="0"/>
        <v>24</v>
      </c>
      <c r="AF27" s="771">
        <f t="shared" si="1"/>
        <v>24</v>
      </c>
      <c r="AG27" s="8"/>
      <c r="AH27" s="7">
        <v>24</v>
      </c>
      <c r="AI27" s="53"/>
      <c r="AJ27" s="53"/>
      <c r="AK27" s="269"/>
      <c r="AL27" s="9">
        <v>1833.06</v>
      </c>
      <c r="AM27" s="57"/>
      <c r="AN27" s="82">
        <v>1841.94</v>
      </c>
      <c r="AO27" s="9">
        <f t="shared" si="2"/>
        <v>76.747500000000002</v>
      </c>
      <c r="AP27" s="59"/>
      <c r="AQ27" s="59"/>
      <c r="AR27" s="59"/>
      <c r="AS27" s="59"/>
      <c r="AT27" s="59"/>
      <c r="AU27" s="9"/>
      <c r="AV27" s="76">
        <v>700</v>
      </c>
      <c r="AW27" s="78">
        <f t="shared" si="65"/>
        <v>4.5103092783505154E-2</v>
      </c>
      <c r="AX27" s="57">
        <v>1.5</v>
      </c>
      <c r="AY27" s="54" t="s">
        <v>548</v>
      </c>
      <c r="AZ27" s="20" t="s">
        <v>121</v>
      </c>
      <c r="BA27" s="54"/>
      <c r="BB27" s="54"/>
      <c r="BC27" s="54"/>
      <c r="BD27" s="53"/>
      <c r="BE27" s="184">
        <v>41346</v>
      </c>
      <c r="BF27" s="108" t="s">
        <v>12</v>
      </c>
      <c r="BG27" s="108" t="s">
        <v>142</v>
      </c>
      <c r="BH27" s="710">
        <v>120000</v>
      </c>
      <c r="BI27" s="204">
        <v>41536</v>
      </c>
      <c r="BJ27" s="99"/>
      <c r="BK27" s="99">
        <v>41564</v>
      </c>
      <c r="BL27" s="204">
        <v>41568</v>
      </c>
      <c r="BM27" s="99"/>
      <c r="BN27" s="160">
        <v>41550</v>
      </c>
      <c r="BO27" s="202">
        <v>41583</v>
      </c>
      <c r="BP27" s="161">
        <f>DATE(YEAR(BO27),MONTH(BO27)+3,DAY(BO27))</f>
        <v>41675</v>
      </c>
      <c r="BQ27" s="161"/>
      <c r="BR27" s="299">
        <v>41659</v>
      </c>
      <c r="BS27" s="298">
        <f t="shared" si="3"/>
        <v>42389</v>
      </c>
      <c r="BT27" s="298">
        <f t="shared" si="4"/>
        <v>42755</v>
      </c>
      <c r="BU27" s="298"/>
      <c r="BV27" s="298" t="str">
        <f t="shared" si="64"/>
        <v>oui</v>
      </c>
      <c r="BW27" s="672" t="e">
        <f t="shared" si="5"/>
        <v>#NUM!</v>
      </c>
      <c r="BX27" s="672" t="e">
        <f t="shared" si="6"/>
        <v>#NUM!</v>
      </c>
      <c r="BY27" s="672" t="e">
        <f t="shared" si="7"/>
        <v>#NUM!</v>
      </c>
      <c r="BZ27" s="824"/>
      <c r="CA27" s="828">
        <v>41659</v>
      </c>
      <c r="CB27" s="826"/>
      <c r="CC27" s="826"/>
      <c r="CD27" s="826"/>
      <c r="CE27" s="826"/>
      <c r="CF27" s="819"/>
      <c r="CG27" s="819"/>
      <c r="CH27" s="819"/>
      <c r="CI27" s="819"/>
      <c r="CJ27" s="819"/>
      <c r="CK27" s="819"/>
      <c r="CL27" s="819"/>
      <c r="CM27" s="827"/>
      <c r="CN27" s="827"/>
      <c r="CO27" s="827"/>
      <c r="CP27" s="827"/>
      <c r="CQ27" s="827"/>
      <c r="CR27" s="827"/>
      <c r="CS27" s="156" t="s">
        <v>144</v>
      </c>
      <c r="CT27" s="307">
        <v>41626</v>
      </c>
      <c r="CU27" s="250"/>
      <c r="CV27" s="157">
        <f>3488955.15568/1.021</f>
        <v>3417194.08</v>
      </c>
      <c r="CW27" s="581">
        <f t="shared" si="61"/>
        <v>42173</v>
      </c>
      <c r="CX27" s="405">
        <f t="shared" si="62"/>
        <v>42356</v>
      </c>
      <c r="CY27" s="340">
        <v>42114</v>
      </c>
      <c r="CZ27" s="250">
        <v>42292</v>
      </c>
      <c r="DA27" s="597">
        <f t="shared" si="74"/>
        <v>16.066666666666666</v>
      </c>
      <c r="DB27" s="122"/>
      <c r="DC27" s="114"/>
      <c r="DD27" s="114"/>
      <c r="DE27" s="523" t="str">
        <f t="shared" si="8"/>
        <v>0</v>
      </c>
      <c r="DF27" s="122"/>
      <c r="DG27" s="122"/>
      <c r="DH27" s="523" t="str">
        <f t="shared" si="9"/>
        <v>0</v>
      </c>
      <c r="DI27" s="125"/>
      <c r="DJ27" s="122"/>
      <c r="DK27" s="523" t="str">
        <f t="shared" si="10"/>
        <v>0</v>
      </c>
      <c r="DL27" s="125"/>
      <c r="DM27" s="122"/>
      <c r="DN27" s="523" t="str">
        <f t="shared" si="11"/>
        <v>0</v>
      </c>
      <c r="DO27" s="125"/>
      <c r="DP27" s="569"/>
      <c r="DQ27" s="523" t="str">
        <f t="shared" si="12"/>
        <v>0</v>
      </c>
      <c r="DR27" s="453"/>
      <c r="DS27" s="231"/>
      <c r="DT27" s="122"/>
      <c r="DU27" s="231"/>
      <c r="DV27" s="523" t="str">
        <f t="shared" si="13"/>
        <v>0</v>
      </c>
      <c r="DW27" s="122"/>
      <c r="DX27" s="347">
        <v>41876</v>
      </c>
      <c r="DY27" s="341">
        <v>2014</v>
      </c>
      <c r="DZ27" s="443">
        <f t="shared" si="14"/>
        <v>11.333333333333334</v>
      </c>
      <c r="EA27" s="523" t="str">
        <f t="shared" si="15"/>
        <v>0</v>
      </c>
      <c r="EB27" s="116">
        <v>14</v>
      </c>
      <c r="EC27" s="240">
        <f t="shared" si="16"/>
        <v>27</v>
      </c>
      <c r="ED27" s="122"/>
      <c r="EE27" s="231"/>
      <c r="EF27" s="523" t="str">
        <f t="shared" si="17"/>
        <v>0</v>
      </c>
      <c r="EG27" s="570"/>
      <c r="EH27" s="567"/>
      <c r="EI27" s="526" t="str">
        <f t="shared" si="18"/>
        <v>0</v>
      </c>
      <c r="EJ27" s="125"/>
      <c r="EK27" s="315"/>
      <c r="EL27" s="523" t="str">
        <f t="shared" si="19"/>
        <v>0</v>
      </c>
      <c r="EM27" s="231"/>
      <c r="EN27" s="122"/>
      <c r="EO27" s="523" t="str">
        <f t="shared" si="20"/>
        <v>0</v>
      </c>
      <c r="EP27" s="114"/>
      <c r="EQ27" s="114"/>
      <c r="ER27" s="523" t="str">
        <f t="shared" si="21"/>
        <v>0</v>
      </c>
      <c r="ES27" s="114"/>
      <c r="ET27" s="114"/>
      <c r="EU27" s="523" t="str">
        <f t="shared" si="22"/>
        <v>0</v>
      </c>
      <c r="EV27" s="114"/>
      <c r="EW27" s="114"/>
      <c r="EX27" s="523" t="str">
        <f t="shared" si="23"/>
        <v>0</v>
      </c>
      <c r="EY27" s="114"/>
      <c r="EZ27" s="114"/>
      <c r="FA27" s="114"/>
      <c r="FB27" s="572">
        <f t="shared" si="24"/>
        <v>42302</v>
      </c>
      <c r="FC27" s="349">
        <v>42704</v>
      </c>
      <c r="FD27" s="707">
        <f t="shared" si="25"/>
        <v>13.4</v>
      </c>
      <c r="FE27" s="732">
        <f t="shared" si="67"/>
        <v>42845</v>
      </c>
      <c r="FF27" s="115">
        <v>42774</v>
      </c>
      <c r="FG27" s="115" t="s">
        <v>128</v>
      </c>
      <c r="FH27" s="115" t="s">
        <v>128</v>
      </c>
      <c r="FI27" s="455"/>
      <c r="FJ27" s="455">
        <f t="shared" si="26"/>
        <v>42333</v>
      </c>
      <c r="FK27" s="349">
        <v>42774</v>
      </c>
      <c r="FL27" s="343">
        <v>2017</v>
      </c>
      <c r="FM27" s="704">
        <f t="shared" si="27"/>
        <v>14.7</v>
      </c>
      <c r="FN27" s="694">
        <f>115866.7697376/12</f>
        <v>9655.5641448000006</v>
      </c>
      <c r="FO27" s="314">
        <f t="shared" si="28"/>
        <v>141936.79292856</v>
      </c>
      <c r="FP27" s="115"/>
      <c r="FQ27" s="552"/>
      <c r="FR27" s="692">
        <f t="shared" ref="FR27:FR34" si="76">IO27</f>
        <v>384475</v>
      </c>
      <c r="FS27" s="556"/>
      <c r="FT27" s="556"/>
      <c r="FU27" s="556">
        <f>58276*1.021</f>
        <v>59499.795999999995</v>
      </c>
      <c r="FV27" s="749">
        <f t="shared" si="75"/>
        <v>1.3800065359189099E-2</v>
      </c>
      <c r="FW27" s="553"/>
      <c r="FX27" s="566" t="s">
        <v>721</v>
      </c>
      <c r="FY27" s="553"/>
      <c r="FZ27" s="553"/>
      <c r="GA27" s="119" t="s">
        <v>517</v>
      </c>
      <c r="GB27" s="235" t="s">
        <v>128</v>
      </c>
      <c r="GC27" s="117" t="s">
        <v>518</v>
      </c>
      <c r="GD27" s="117" t="s">
        <v>519</v>
      </c>
      <c r="GE27" s="119"/>
      <c r="GF27" s="235" t="s">
        <v>128</v>
      </c>
      <c r="GG27" s="316">
        <v>43069</v>
      </c>
      <c r="GH27" s="678">
        <v>29948</v>
      </c>
      <c r="GI27" s="194" t="s">
        <v>128</v>
      </c>
      <c r="GJ27" s="194">
        <v>42907</v>
      </c>
      <c r="GK27" s="53"/>
      <c r="GL27" s="184"/>
      <c r="GM27" s="113">
        <v>43202</v>
      </c>
      <c r="GN27" s="53"/>
      <c r="GO27" s="53"/>
      <c r="GP27" s="53" t="s">
        <v>787</v>
      </c>
      <c r="GQ27" s="53" t="s">
        <v>418</v>
      </c>
      <c r="GR27" s="438">
        <v>43003</v>
      </c>
      <c r="GS27" s="114" t="s">
        <v>128</v>
      </c>
      <c r="GT27" s="53"/>
      <c r="GU27" s="53"/>
      <c r="GV27" s="109" t="s">
        <v>120</v>
      </c>
      <c r="GW27" s="606">
        <v>3574384</v>
      </c>
      <c r="GX27" s="10">
        <f t="shared" si="68"/>
        <v>3958860</v>
      </c>
      <c r="GY27" s="11">
        <f>HJ27+HO27+HV27+IO27+HT27+HZ27+HY27+HW27</f>
        <v>4311559</v>
      </c>
      <c r="GZ27" s="797">
        <f t="shared" si="31"/>
        <v>4311559</v>
      </c>
      <c r="HA27" s="12">
        <f t="shared" si="32"/>
        <v>352699</v>
      </c>
      <c r="HB27" s="49">
        <f t="shared" si="33"/>
        <v>2352.1101327834331</v>
      </c>
      <c r="HC27" s="49">
        <f t="shared" si="34"/>
        <v>179648.29166666666</v>
      </c>
      <c r="HD27" s="10">
        <v>3273574</v>
      </c>
      <c r="HE27" s="11">
        <v>3268014</v>
      </c>
      <c r="HF27" s="12">
        <f t="shared" si="35"/>
        <v>-5560</v>
      </c>
      <c r="HG27" s="127">
        <f t="shared" si="36"/>
        <v>0.84426300854286318</v>
      </c>
      <c r="HH27" s="128"/>
      <c r="HI27" s="10">
        <v>1046714</v>
      </c>
      <c r="HJ27" s="11">
        <v>1042673</v>
      </c>
      <c r="HK27" s="67"/>
      <c r="HL27" s="23">
        <f t="shared" si="37"/>
        <v>43444.708333333336</v>
      </c>
      <c r="HM27" s="37">
        <f t="shared" si="38"/>
        <v>-4041</v>
      </c>
      <c r="HN27" s="10">
        <v>2047671</v>
      </c>
      <c r="HO27" s="11">
        <f t="shared" si="39"/>
        <v>2051712</v>
      </c>
      <c r="HP27" s="13">
        <v>255345</v>
      </c>
      <c r="HQ27" s="13">
        <v>1796367</v>
      </c>
      <c r="HR27" s="37">
        <f t="shared" si="40"/>
        <v>4041</v>
      </c>
      <c r="HS27" s="629">
        <f t="shared" si="41"/>
        <v>85488</v>
      </c>
      <c r="HT27" s="11"/>
      <c r="HU27" s="10">
        <v>480000</v>
      </c>
      <c r="HV27" s="11">
        <v>360000</v>
      </c>
      <c r="HW27" s="67">
        <v>120000</v>
      </c>
      <c r="HX27" s="40">
        <f t="shared" si="42"/>
        <v>8.3496480043529497E-2</v>
      </c>
      <c r="HY27" s="93">
        <v>327805</v>
      </c>
      <c r="HZ27" s="11">
        <v>24894</v>
      </c>
      <c r="IA27" s="24">
        <f t="shared" si="66"/>
        <v>-120000</v>
      </c>
      <c r="IB27" s="23">
        <f t="shared" si="43"/>
        <v>15000</v>
      </c>
      <c r="IC27" s="49">
        <f t="shared" si="44"/>
        <v>58444.708333333336</v>
      </c>
      <c r="ID27" s="24">
        <f t="shared" si="45"/>
        <v>-5000</v>
      </c>
      <c r="IE27" s="48"/>
      <c r="IF27" s="48"/>
      <c r="IG27" s="39">
        <v>1244630.4489499999</v>
      </c>
      <c r="IH27" s="39">
        <v>480000</v>
      </c>
      <c r="II27" s="23">
        <f t="shared" si="46"/>
        <v>78444.708333333328</v>
      </c>
      <c r="IJ27" s="39">
        <v>0</v>
      </c>
      <c r="IK27" s="23">
        <f t="shared" si="47"/>
        <v>78444.708333333328</v>
      </c>
      <c r="IL27" s="50">
        <f t="shared" si="48"/>
        <v>0.35073859209247982</v>
      </c>
      <c r="IM27" s="39">
        <v>188451.07500000001</v>
      </c>
      <c r="IN27" s="39"/>
      <c r="IO27" s="433">
        <v>384475</v>
      </c>
      <c r="IP27" s="41">
        <f t="shared" si="49"/>
        <v>5556189.4489500001</v>
      </c>
      <c r="IQ27" s="231">
        <v>172483</v>
      </c>
      <c r="IR27" s="231">
        <f t="shared" si="50"/>
        <v>86240</v>
      </c>
      <c r="IS27" s="113">
        <v>41246</v>
      </c>
      <c r="IT27" s="231">
        <v>16144</v>
      </c>
      <c r="IU27" s="231"/>
      <c r="IV27" s="113"/>
      <c r="IW27" s="113">
        <v>41291</v>
      </c>
      <c r="IX27" s="231"/>
      <c r="IY27" s="113">
        <v>41275</v>
      </c>
      <c r="IZ27" s="231">
        <v>24216</v>
      </c>
      <c r="JA27" s="113">
        <v>41484</v>
      </c>
      <c r="JB27" s="231">
        <v>20008</v>
      </c>
      <c r="JC27" s="114">
        <v>41583</v>
      </c>
      <c r="JD27" s="321">
        <v>25872</v>
      </c>
      <c r="JE27" s="313"/>
      <c r="JF27" s="313"/>
      <c r="JG27" s="122"/>
      <c r="JH27" s="231"/>
      <c r="JI27" s="122"/>
      <c r="JJ27" s="231"/>
      <c r="JK27" s="114"/>
      <c r="JL27" s="114"/>
      <c r="JM27" s="114"/>
      <c r="JN27" s="114"/>
      <c r="JO27" s="269"/>
      <c r="JP27" s="269"/>
      <c r="JQ27" s="269"/>
      <c r="JR27" s="269"/>
      <c r="JS27" s="269"/>
      <c r="JT27" s="269"/>
      <c r="JU27" s="231">
        <v>24216</v>
      </c>
      <c r="JV27" s="122"/>
      <c r="JW27" s="114"/>
      <c r="JX27" s="122"/>
      <c r="JY27" s="122"/>
      <c r="JZ27" s="114"/>
    </row>
    <row r="28" spans="1:286" ht="15" customHeight="1">
      <c r="A28" s="25" t="s">
        <v>380</v>
      </c>
      <c r="B28" s="655"/>
      <c r="C28" s="7" t="s">
        <v>35</v>
      </c>
      <c r="D28" s="7" t="s">
        <v>112</v>
      </c>
      <c r="E28" s="7">
        <v>2013</v>
      </c>
      <c r="F28" s="7" t="s">
        <v>53</v>
      </c>
      <c r="G28" s="7"/>
      <c r="H28" s="765" t="s">
        <v>643</v>
      </c>
      <c r="I28" s="7" t="s">
        <v>250</v>
      </c>
      <c r="J28" s="53"/>
      <c r="K28" s="53"/>
      <c r="L28" s="255"/>
      <c r="M28" s="162" t="s">
        <v>61</v>
      </c>
      <c r="N28" s="104" t="s">
        <v>68</v>
      </c>
      <c r="O28" s="105"/>
      <c r="P28" s="207">
        <f>1825+425</f>
        <v>2250</v>
      </c>
      <c r="Q28" s="207">
        <v>102507</v>
      </c>
      <c r="R28" s="207">
        <v>68451</v>
      </c>
      <c r="S28" s="207">
        <f>Q28/AE28</f>
        <v>11389.666666666666</v>
      </c>
      <c r="T28" s="207">
        <f t="shared" si="69"/>
        <v>45.558666666666667</v>
      </c>
      <c r="U28" s="213">
        <f t="shared" si="70"/>
        <v>30.422666666666668</v>
      </c>
      <c r="V28" s="213">
        <f t="shared" si="71"/>
        <v>96.496842223976543</v>
      </c>
      <c r="W28" s="213">
        <f t="shared" si="72"/>
        <v>7605.666666666667</v>
      </c>
      <c r="X28" s="207">
        <f t="shared" si="73"/>
        <v>250</v>
      </c>
      <c r="Y28" s="208"/>
      <c r="Z28" s="904">
        <f t="shared" si="51"/>
        <v>40</v>
      </c>
      <c r="AA28" s="208" t="s">
        <v>206</v>
      </c>
      <c r="AB28" s="210"/>
      <c r="AC28" s="211"/>
      <c r="AD28" s="7" t="s">
        <v>16</v>
      </c>
      <c r="AE28" s="771">
        <f t="shared" si="0"/>
        <v>9</v>
      </c>
      <c r="AF28" s="771">
        <f t="shared" si="1"/>
        <v>9</v>
      </c>
      <c r="AG28" s="8"/>
      <c r="AH28" s="7">
        <v>9</v>
      </c>
      <c r="AI28" s="53"/>
      <c r="AJ28" s="53"/>
      <c r="AK28" s="269"/>
      <c r="AL28" s="9">
        <v>709.36</v>
      </c>
      <c r="AM28" s="57"/>
      <c r="AN28" s="82">
        <v>709.36</v>
      </c>
      <c r="AO28" s="9">
        <f t="shared" si="2"/>
        <v>78.817777777777778</v>
      </c>
      <c r="AP28" s="78">
        <v>0</v>
      </c>
      <c r="AQ28" s="78">
        <v>0</v>
      </c>
      <c r="AR28" s="78">
        <f>4/AE28</f>
        <v>0.44444444444444442</v>
      </c>
      <c r="AS28" s="78">
        <f>4/AE28</f>
        <v>0.44444444444444442</v>
      </c>
      <c r="AT28" s="78">
        <f>1/AE28</f>
        <v>0.1111111111111111</v>
      </c>
      <c r="AU28" s="9"/>
      <c r="AV28" s="76" t="s">
        <v>320</v>
      </c>
      <c r="AW28" s="78" t="e">
        <f t="shared" si="65"/>
        <v>#VALUE!</v>
      </c>
      <c r="AX28" s="57">
        <v>2</v>
      </c>
      <c r="AY28" s="56" t="s">
        <v>549</v>
      </c>
      <c r="AZ28" s="7" t="s">
        <v>121</v>
      </c>
      <c r="BA28" s="53"/>
      <c r="BB28" s="53"/>
      <c r="BC28" s="53"/>
      <c r="BD28" s="53"/>
      <c r="BE28" s="184">
        <v>40963</v>
      </c>
      <c r="BF28" s="108" t="s">
        <v>11</v>
      </c>
      <c r="BG28" s="108" t="s">
        <v>126</v>
      </c>
      <c r="BH28" s="420"/>
      <c r="BI28" s="204">
        <v>41486</v>
      </c>
      <c r="BJ28" s="99"/>
      <c r="BK28" s="99">
        <v>41516</v>
      </c>
      <c r="BL28" s="204">
        <v>41519</v>
      </c>
      <c r="BM28" s="99"/>
      <c r="BN28" s="160">
        <v>41549</v>
      </c>
      <c r="BO28" s="202">
        <v>41576</v>
      </c>
      <c r="BP28" s="161">
        <f>DATE(YEAR(BO28),MONTH(BO28)+3,DAY(BO28))</f>
        <v>41668</v>
      </c>
      <c r="BQ28" s="161"/>
      <c r="BR28" s="299">
        <v>41659</v>
      </c>
      <c r="BS28" s="298">
        <f t="shared" si="3"/>
        <v>42389</v>
      </c>
      <c r="BT28" s="298">
        <f t="shared" si="4"/>
        <v>42755</v>
      </c>
      <c r="BU28" s="298"/>
      <c r="BV28" s="298" t="str">
        <f t="shared" si="64"/>
        <v>oui</v>
      </c>
      <c r="BW28" s="672">
        <f t="shared" si="5"/>
        <v>5</v>
      </c>
      <c r="BX28" s="672">
        <f t="shared" si="6"/>
        <v>18837.732114698876</v>
      </c>
      <c r="BY28" s="672">
        <f t="shared" si="7"/>
        <v>0</v>
      </c>
      <c r="BZ28" s="824"/>
      <c r="CA28" s="825" t="s">
        <v>178</v>
      </c>
      <c r="CB28" s="826"/>
      <c r="CC28" s="826"/>
      <c r="CD28" s="826"/>
      <c r="CE28" s="826"/>
      <c r="CF28" s="819"/>
      <c r="CG28" s="819"/>
      <c r="CH28" s="819"/>
      <c r="CI28" s="819"/>
      <c r="CJ28" s="819"/>
      <c r="CK28" s="819"/>
      <c r="CL28" s="819"/>
      <c r="CM28" s="827"/>
      <c r="CN28" s="827"/>
      <c r="CO28" s="827"/>
      <c r="CP28" s="827"/>
      <c r="CQ28" s="827"/>
      <c r="CR28" s="827"/>
      <c r="CS28" s="156" t="s">
        <v>68</v>
      </c>
      <c r="CT28" s="307">
        <v>41625</v>
      </c>
      <c r="CU28" s="250"/>
      <c r="CV28" s="157">
        <f>1479199.4/1.021</f>
        <v>1448775.1224289911</v>
      </c>
      <c r="CW28" s="581">
        <f t="shared" si="61"/>
        <v>42172</v>
      </c>
      <c r="CX28" s="405">
        <f t="shared" si="62"/>
        <v>42355</v>
      </c>
      <c r="CY28" s="340">
        <v>42066</v>
      </c>
      <c r="CZ28" s="250">
        <v>42200</v>
      </c>
      <c r="DA28" s="597">
        <f t="shared" si="74"/>
        <v>12.566666666666666</v>
      </c>
      <c r="DB28" s="122"/>
      <c r="DC28" s="122"/>
      <c r="DD28" s="122"/>
      <c r="DE28" s="523" t="str">
        <f t="shared" si="8"/>
        <v>0</v>
      </c>
      <c r="DF28" s="122"/>
      <c r="DG28" s="122"/>
      <c r="DH28" s="523" t="str">
        <f t="shared" si="9"/>
        <v>0</v>
      </c>
      <c r="DI28" s="122"/>
      <c r="DJ28" s="122"/>
      <c r="DK28" s="523" t="str">
        <f t="shared" si="10"/>
        <v>0</v>
      </c>
      <c r="DL28" s="122"/>
      <c r="DM28" s="122"/>
      <c r="DN28" s="523" t="str">
        <f t="shared" si="11"/>
        <v>0</v>
      </c>
      <c r="DO28" s="125"/>
      <c r="DP28" s="569"/>
      <c r="DQ28" s="523" t="str">
        <f t="shared" si="12"/>
        <v>0</v>
      </c>
      <c r="DR28" s="453"/>
      <c r="DS28" s="231"/>
      <c r="DT28" s="122"/>
      <c r="DU28" s="231"/>
      <c r="DV28" s="523" t="str">
        <f t="shared" si="13"/>
        <v>0</v>
      </c>
      <c r="DW28" s="122"/>
      <c r="DX28" s="347">
        <v>41900</v>
      </c>
      <c r="DY28" s="341">
        <v>2014</v>
      </c>
      <c r="DZ28" s="443">
        <f t="shared" si="14"/>
        <v>13.8</v>
      </c>
      <c r="EA28" s="523" t="str">
        <f t="shared" si="15"/>
        <v>0</v>
      </c>
      <c r="EB28" s="116">
        <v>13</v>
      </c>
      <c r="EC28" s="116">
        <f t="shared" si="16"/>
        <v>17</v>
      </c>
      <c r="ED28" s="315"/>
      <c r="EE28" s="314"/>
      <c r="EF28" s="685" t="str">
        <f t="shared" si="17"/>
        <v>0</v>
      </c>
      <c r="EG28" s="698"/>
      <c r="EH28" s="613"/>
      <c r="EI28" s="614" t="str">
        <f t="shared" si="18"/>
        <v>0</v>
      </c>
      <c r="EJ28" s="254"/>
      <c r="EK28" s="315"/>
      <c r="EL28" s="685" t="str">
        <f t="shared" si="19"/>
        <v>0</v>
      </c>
      <c r="EM28" s="314"/>
      <c r="EN28" s="315"/>
      <c r="EO28" s="685" t="str">
        <f t="shared" si="20"/>
        <v>0</v>
      </c>
      <c r="EP28" s="323"/>
      <c r="EQ28" s="323"/>
      <c r="ER28" s="685" t="str">
        <f t="shared" si="21"/>
        <v>0</v>
      </c>
      <c r="ES28" s="323"/>
      <c r="ET28" s="323"/>
      <c r="EU28" s="685" t="str">
        <f t="shared" si="22"/>
        <v>0</v>
      </c>
      <c r="EV28" s="315"/>
      <c r="EW28" s="315"/>
      <c r="EX28" s="685" t="str">
        <f t="shared" si="23"/>
        <v>0</v>
      </c>
      <c r="EY28" s="323"/>
      <c r="EZ28" s="323"/>
      <c r="FA28" s="323"/>
      <c r="FB28" s="455">
        <f t="shared" si="24"/>
        <v>42295</v>
      </c>
      <c r="FC28" s="347">
        <v>42424</v>
      </c>
      <c r="FD28" s="707">
        <f t="shared" si="25"/>
        <v>4.3</v>
      </c>
      <c r="FE28" s="626">
        <f t="shared" si="67"/>
        <v>42797</v>
      </c>
      <c r="FF28" s="115">
        <v>42566</v>
      </c>
      <c r="FG28" s="115" t="s">
        <v>128</v>
      </c>
      <c r="FH28" s="115">
        <v>42577</v>
      </c>
      <c r="FI28" s="455"/>
      <c r="FJ28" s="455">
        <f t="shared" si="26"/>
        <v>42326</v>
      </c>
      <c r="FK28" s="349">
        <v>42577</v>
      </c>
      <c r="FL28" s="343">
        <v>2016</v>
      </c>
      <c r="FM28" s="704">
        <f t="shared" si="27"/>
        <v>8.3666666666666671</v>
      </c>
      <c r="FN28" s="694">
        <f>45210.5570752773/12</f>
        <v>3767.5464229397749</v>
      </c>
      <c r="FO28" s="314">
        <f t="shared" si="28"/>
        <v>31521.805071929452</v>
      </c>
      <c r="FP28" s="115"/>
      <c r="FQ28" s="552"/>
      <c r="FR28" s="692">
        <f t="shared" si="76"/>
        <v>0</v>
      </c>
      <c r="FS28" s="556"/>
      <c r="FT28" s="556"/>
      <c r="FU28" s="556">
        <f>39383.9*1.021</f>
        <v>40210.961899999995</v>
      </c>
      <c r="FV28" s="749">
        <f t="shared" si="75"/>
        <v>2.5876362659390653E-2</v>
      </c>
      <c r="FW28" s="553"/>
      <c r="FX28" s="566" t="s">
        <v>723</v>
      </c>
      <c r="FY28" s="553"/>
      <c r="FZ28" s="553"/>
      <c r="GA28" s="200" t="s">
        <v>128</v>
      </c>
      <c r="GB28" s="200"/>
      <c r="GC28" s="200" t="s">
        <v>128</v>
      </c>
      <c r="GD28" s="200" t="s">
        <v>128</v>
      </c>
      <c r="GE28" s="239">
        <v>42768</v>
      </c>
      <c r="GF28" s="619" t="s">
        <v>522</v>
      </c>
      <c r="GG28" s="200">
        <f>DATE(YEAR(FC28)+1,MONTH(FC28),DAY(FC28))</f>
        <v>42790</v>
      </c>
      <c r="GH28" s="679">
        <v>12615</v>
      </c>
      <c r="GI28" s="239">
        <v>42621</v>
      </c>
      <c r="GJ28" s="239">
        <v>42688</v>
      </c>
      <c r="GK28" s="53"/>
      <c r="GL28" s="184"/>
      <c r="GM28" s="122">
        <v>42878</v>
      </c>
      <c r="GN28" s="53"/>
      <c r="GO28" s="122" t="s">
        <v>128</v>
      </c>
      <c r="GP28" s="122"/>
      <c r="GQ28" s="55" t="s">
        <v>567</v>
      </c>
      <c r="GR28" s="233">
        <v>42808</v>
      </c>
      <c r="GS28" s="233"/>
      <c r="GT28" s="53"/>
      <c r="GU28" s="53"/>
      <c r="GV28" s="109" t="s">
        <v>120</v>
      </c>
      <c r="GW28" s="606">
        <v>1547410</v>
      </c>
      <c r="GX28" s="10">
        <f t="shared" si="68"/>
        <v>1517365</v>
      </c>
      <c r="GY28" s="11">
        <f>HJ28+HO28+HV28+IO28+HY28</f>
        <v>1553965</v>
      </c>
      <c r="GZ28" s="797">
        <f t="shared" si="31"/>
        <v>1553965</v>
      </c>
      <c r="HA28" s="12">
        <f t="shared" si="32"/>
        <v>36600</v>
      </c>
      <c r="HB28" s="49">
        <f t="shared" si="33"/>
        <v>2190.6577760234577</v>
      </c>
      <c r="HC28" s="49">
        <f t="shared" si="34"/>
        <v>172662.77777777778</v>
      </c>
      <c r="HD28" s="10">
        <v>1337540</v>
      </c>
      <c r="HE28" s="11">
        <v>1322857</v>
      </c>
      <c r="HF28" s="12">
        <f t="shared" si="35"/>
        <v>-14683</v>
      </c>
      <c r="HG28" s="127">
        <f t="shared" si="36"/>
        <v>0.89999989455404594</v>
      </c>
      <c r="HH28" s="128"/>
      <c r="HI28" s="10">
        <v>424314</v>
      </c>
      <c r="HJ28" s="11">
        <v>426409</v>
      </c>
      <c r="HK28" s="67"/>
      <c r="HL28" s="23">
        <f t="shared" si="37"/>
        <v>47378.777777777781</v>
      </c>
      <c r="HM28" s="37">
        <f t="shared" si="38"/>
        <v>2095</v>
      </c>
      <c r="HN28" s="10">
        <v>868051</v>
      </c>
      <c r="HO28" s="11">
        <f t="shared" si="39"/>
        <v>864010</v>
      </c>
      <c r="HP28" s="13">
        <v>176535</v>
      </c>
      <c r="HQ28" s="13">
        <v>687475</v>
      </c>
      <c r="HR28" s="37">
        <f t="shared" si="40"/>
        <v>-4041</v>
      </c>
      <c r="HS28" s="629">
        <f t="shared" si="41"/>
        <v>96001.111111111109</v>
      </c>
      <c r="HT28" s="11"/>
      <c r="HU28" s="10">
        <v>225000</v>
      </c>
      <c r="HV28" s="11">
        <v>225000</v>
      </c>
      <c r="HW28" s="67"/>
      <c r="HX28" s="40">
        <f t="shared" si="42"/>
        <v>0.14479090584408272</v>
      </c>
      <c r="HY28" s="631">
        <v>38546</v>
      </c>
      <c r="HZ28" s="11">
        <v>0</v>
      </c>
      <c r="IA28" s="24">
        <f t="shared" si="66"/>
        <v>0</v>
      </c>
      <c r="IB28" s="23">
        <f t="shared" si="43"/>
        <v>25000</v>
      </c>
      <c r="IC28" s="81">
        <f t="shared" si="44"/>
        <v>72378.777777777781</v>
      </c>
      <c r="ID28" s="24">
        <f t="shared" si="45"/>
        <v>0</v>
      </c>
      <c r="IE28" s="48"/>
      <c r="IF28" s="48"/>
      <c r="IG28" s="39">
        <v>270120.19565000001</v>
      </c>
      <c r="IH28" s="39">
        <v>180000</v>
      </c>
      <c r="II28" s="23">
        <f t="shared" si="46"/>
        <v>92378.777777777781</v>
      </c>
      <c r="IJ28" s="39">
        <v>0</v>
      </c>
      <c r="IK28" s="23">
        <f t="shared" si="47"/>
        <v>92378.777777777781</v>
      </c>
      <c r="IL28" s="50">
        <f t="shared" si="48"/>
        <v>0.47363006816549857</v>
      </c>
      <c r="IM28" s="39">
        <v>68687.774999999994</v>
      </c>
      <c r="IN28" s="431"/>
      <c r="IO28" s="432"/>
      <c r="IP28" s="41">
        <f t="shared" si="49"/>
        <v>1824085.1956500001</v>
      </c>
      <c r="IQ28" s="231">
        <v>79167</v>
      </c>
      <c r="IR28" s="231">
        <f t="shared" si="50"/>
        <v>39036</v>
      </c>
      <c r="IS28" s="113"/>
      <c r="IT28" s="231"/>
      <c r="IU28" s="231"/>
      <c r="IV28" s="113"/>
      <c r="IW28" s="113"/>
      <c r="IX28" s="231"/>
      <c r="IY28" s="113">
        <v>40941</v>
      </c>
      <c r="IZ28" s="231">
        <v>16481</v>
      </c>
      <c r="JA28" s="113">
        <v>41254</v>
      </c>
      <c r="JB28" s="231">
        <v>10844</v>
      </c>
      <c r="JC28" s="114">
        <v>41508</v>
      </c>
      <c r="JD28" s="321">
        <v>11711</v>
      </c>
      <c r="JE28" s="313"/>
      <c r="JF28" s="313"/>
      <c r="JG28" s="122"/>
      <c r="JH28" s="231"/>
      <c r="JI28" s="122"/>
      <c r="JJ28" s="231"/>
      <c r="JK28" s="114"/>
      <c r="JL28" s="114"/>
      <c r="JM28" s="114"/>
      <c r="JN28" s="114"/>
      <c r="JO28" s="269"/>
      <c r="JP28" s="269"/>
      <c r="JQ28" s="269"/>
      <c r="JR28" s="269"/>
      <c r="JS28" s="269"/>
      <c r="JT28" s="269"/>
      <c r="JU28" s="231">
        <v>16481</v>
      </c>
      <c r="JV28" s="122"/>
      <c r="JW28" s="114"/>
      <c r="JX28" s="122"/>
      <c r="JY28" s="122"/>
      <c r="JZ28" s="114"/>
    </row>
    <row r="29" spans="1:286" ht="15" customHeight="1">
      <c r="A29" s="25" t="s">
        <v>51</v>
      </c>
      <c r="B29" s="655"/>
      <c r="C29" s="7" t="s">
        <v>28</v>
      </c>
      <c r="D29" s="7" t="s">
        <v>112</v>
      </c>
      <c r="E29" s="7">
        <v>2013</v>
      </c>
      <c r="F29" s="7" t="s">
        <v>52</v>
      </c>
      <c r="G29" s="7" t="s">
        <v>30</v>
      </c>
      <c r="H29" s="765" t="s">
        <v>610</v>
      </c>
      <c r="I29" s="7" t="s">
        <v>250</v>
      </c>
      <c r="J29" s="53"/>
      <c r="K29" s="53"/>
      <c r="L29" s="255"/>
      <c r="M29" s="162" t="s">
        <v>65</v>
      </c>
      <c r="N29" s="104" t="s">
        <v>66</v>
      </c>
      <c r="O29" s="105"/>
      <c r="P29" s="207">
        <f>4015+535</f>
        <v>4550</v>
      </c>
      <c r="Q29" s="207">
        <v>298500</v>
      </c>
      <c r="R29" s="207">
        <v>122015</v>
      </c>
      <c r="S29" s="207">
        <f>Q29/15</f>
        <v>19900</v>
      </c>
      <c r="T29" s="207">
        <f t="shared" si="69"/>
        <v>65.604395604395606</v>
      </c>
      <c r="U29" s="213">
        <f t="shared" si="70"/>
        <v>26.816483516483515</v>
      </c>
      <c r="V29" s="213">
        <f t="shared" si="71"/>
        <v>103.92126802429075</v>
      </c>
      <c r="W29" s="213">
        <f t="shared" si="72"/>
        <v>8134.333333333333</v>
      </c>
      <c r="X29" s="207">
        <f t="shared" si="73"/>
        <v>303.33333333333331</v>
      </c>
      <c r="Y29" s="208"/>
      <c r="Z29" s="904">
        <f t="shared" si="51"/>
        <v>32.967032967032964</v>
      </c>
      <c r="AA29" s="208" t="s">
        <v>193</v>
      </c>
      <c r="AB29" s="210">
        <v>600</v>
      </c>
      <c r="AC29" s="211"/>
      <c r="AD29" s="7" t="s">
        <v>16</v>
      </c>
      <c r="AE29" s="771">
        <f t="shared" si="0"/>
        <v>15</v>
      </c>
      <c r="AF29" s="771">
        <f t="shared" si="1"/>
        <v>15</v>
      </c>
      <c r="AG29" s="8"/>
      <c r="AH29" s="7">
        <v>15</v>
      </c>
      <c r="AI29" s="53"/>
      <c r="AJ29" s="53"/>
      <c r="AK29" s="269"/>
      <c r="AL29" s="9">
        <v>1160.5899999999999</v>
      </c>
      <c r="AM29" s="57"/>
      <c r="AN29" s="82">
        <v>1174.1099999999999</v>
      </c>
      <c r="AO29" s="9">
        <f t="shared" si="2"/>
        <v>78.273999999999987</v>
      </c>
      <c r="AP29" s="59"/>
      <c r="AQ29" s="59"/>
      <c r="AR29" s="59"/>
      <c r="AS29" s="59"/>
      <c r="AT29" s="59"/>
      <c r="AU29" s="9"/>
      <c r="AV29" s="76"/>
      <c r="AW29" s="78">
        <f t="shared" si="65"/>
        <v>0</v>
      </c>
      <c r="AX29" s="57">
        <v>1.5</v>
      </c>
      <c r="AY29" s="53" t="s">
        <v>548</v>
      </c>
      <c r="AZ29" s="7" t="s">
        <v>121</v>
      </c>
      <c r="BA29" s="53"/>
      <c r="BB29" s="53"/>
      <c r="BC29" s="53"/>
      <c r="BD29" s="53"/>
      <c r="BE29" s="184">
        <v>40963</v>
      </c>
      <c r="BF29" s="108" t="s">
        <v>11</v>
      </c>
      <c r="BG29" s="108" t="s">
        <v>145</v>
      </c>
      <c r="BH29" s="420"/>
      <c r="BI29" s="204">
        <v>41596</v>
      </c>
      <c r="BJ29" s="192"/>
      <c r="BK29" s="192" t="s">
        <v>315</v>
      </c>
      <c r="BL29" s="205" t="s">
        <v>319</v>
      </c>
      <c r="BM29" s="192">
        <v>42291</v>
      </c>
      <c r="BN29" s="160">
        <v>41550</v>
      </c>
      <c r="BO29" s="202" t="s">
        <v>128</v>
      </c>
      <c r="BP29" s="161">
        <f>DATE(YEAR(BN29),MONTH(BN29)+3,DAY(BN29))</f>
        <v>41642</v>
      </c>
      <c r="BQ29" s="161" t="s">
        <v>128</v>
      </c>
      <c r="BR29" s="299">
        <v>41818</v>
      </c>
      <c r="BS29" s="298">
        <f t="shared" si="3"/>
        <v>42549</v>
      </c>
      <c r="BT29" s="298">
        <f t="shared" si="4"/>
        <v>42914</v>
      </c>
      <c r="BU29" s="298"/>
      <c r="BV29" s="298" t="str">
        <f t="shared" si="64"/>
        <v>oui</v>
      </c>
      <c r="BW29" s="672">
        <f t="shared" si="5"/>
        <v>3</v>
      </c>
      <c r="BX29" s="672">
        <f t="shared" si="6"/>
        <v>14214.1333635839</v>
      </c>
      <c r="BY29" s="672">
        <f t="shared" si="7"/>
        <v>0</v>
      </c>
      <c r="BZ29" s="824"/>
      <c r="CA29" s="825" t="s">
        <v>313</v>
      </c>
      <c r="CB29" s="827"/>
      <c r="CC29" s="827"/>
      <c r="CD29" s="827"/>
      <c r="CE29" s="827"/>
      <c r="CF29" s="827"/>
      <c r="CG29" s="827"/>
      <c r="CH29" s="827"/>
      <c r="CI29" s="827"/>
      <c r="CJ29" s="827"/>
      <c r="CK29" s="827"/>
      <c r="CL29" s="827"/>
      <c r="CM29" s="827"/>
      <c r="CN29" s="827"/>
      <c r="CO29" s="827"/>
      <c r="CP29" s="827"/>
      <c r="CQ29" s="827"/>
      <c r="CR29" s="827"/>
      <c r="CS29" s="156" t="s">
        <v>68</v>
      </c>
      <c r="CT29" s="307">
        <v>42340</v>
      </c>
      <c r="CU29" s="250"/>
      <c r="CV29" s="157">
        <v>2671324.61</v>
      </c>
      <c r="CW29" s="581">
        <f t="shared" si="61"/>
        <v>42888</v>
      </c>
      <c r="CX29" s="405">
        <f t="shared" si="62"/>
        <v>43071</v>
      </c>
      <c r="CY29" s="340">
        <v>42535</v>
      </c>
      <c r="CZ29" s="250">
        <v>43071</v>
      </c>
      <c r="DA29" s="597">
        <f t="shared" si="74"/>
        <v>-8.5666666666666664</v>
      </c>
      <c r="DB29" s="122"/>
      <c r="DC29" s="122"/>
      <c r="DD29" s="122"/>
      <c r="DE29" s="523" t="str">
        <f t="shared" si="8"/>
        <v>0</v>
      </c>
      <c r="DF29" s="122"/>
      <c r="DG29" s="122"/>
      <c r="DH29" s="523" t="str">
        <f t="shared" si="9"/>
        <v>0</v>
      </c>
      <c r="DI29" s="122"/>
      <c r="DJ29" s="122"/>
      <c r="DK29" s="523" t="str">
        <f t="shared" si="10"/>
        <v>0</v>
      </c>
      <c r="DL29" s="122"/>
      <c r="DM29" s="122"/>
      <c r="DN29" s="523" t="str">
        <f t="shared" si="11"/>
        <v>0</v>
      </c>
      <c r="DO29" s="125"/>
      <c r="DP29" s="569"/>
      <c r="DQ29" s="523" t="str">
        <f t="shared" si="12"/>
        <v>0</v>
      </c>
      <c r="DR29" s="453"/>
      <c r="DS29" s="231"/>
      <c r="DT29" s="122"/>
      <c r="DU29" s="231"/>
      <c r="DV29" s="523" t="str">
        <f t="shared" si="13"/>
        <v>0</v>
      </c>
      <c r="DW29" s="122"/>
      <c r="DX29" s="347">
        <v>42341</v>
      </c>
      <c r="DY29" s="342">
        <v>2015</v>
      </c>
      <c r="DZ29" s="445">
        <f t="shared" si="14"/>
        <v>24.833333333333332</v>
      </c>
      <c r="EA29" s="523" t="str">
        <f t="shared" si="15"/>
        <v>0</v>
      </c>
      <c r="EB29" s="243">
        <v>13</v>
      </c>
      <c r="EC29" s="240">
        <f t="shared" si="16"/>
        <v>15</v>
      </c>
      <c r="ED29" s="122"/>
      <c r="EE29" s="231"/>
      <c r="EF29" s="523" t="str">
        <f t="shared" si="17"/>
        <v>0</v>
      </c>
      <c r="EG29" s="570"/>
      <c r="EH29" s="567"/>
      <c r="EI29" s="526" t="str">
        <f t="shared" si="18"/>
        <v>0</v>
      </c>
      <c r="EJ29" s="125"/>
      <c r="EK29" s="315"/>
      <c r="EL29" s="523" t="str">
        <f t="shared" si="19"/>
        <v>0</v>
      </c>
      <c r="EM29" s="231"/>
      <c r="EN29" s="122"/>
      <c r="EO29" s="523" t="str">
        <f t="shared" si="20"/>
        <v>0</v>
      </c>
      <c r="EP29" s="114"/>
      <c r="EQ29" s="114"/>
      <c r="ER29" s="523" t="str">
        <f t="shared" si="21"/>
        <v>0</v>
      </c>
      <c r="ES29" s="114"/>
      <c r="ET29" s="114"/>
      <c r="EU29" s="523" t="str">
        <f t="shared" si="22"/>
        <v>0</v>
      </c>
      <c r="EV29" s="122"/>
      <c r="EW29" s="122"/>
      <c r="EX29" s="523" t="str">
        <f t="shared" si="23"/>
        <v>0</v>
      </c>
      <c r="EY29" s="114"/>
      <c r="EZ29" s="114"/>
      <c r="FA29" s="114"/>
      <c r="FB29" s="838">
        <f t="shared" si="24"/>
        <v>42738</v>
      </c>
      <c r="FC29" s="589">
        <v>42814</v>
      </c>
      <c r="FD29" s="707">
        <f t="shared" si="25"/>
        <v>2.5333333333333332</v>
      </c>
      <c r="FE29" s="734">
        <f t="shared" si="67"/>
        <v>43265</v>
      </c>
      <c r="FF29" s="185">
        <v>42865</v>
      </c>
      <c r="FG29" s="185" t="s">
        <v>421</v>
      </c>
      <c r="FH29" s="185">
        <v>42804</v>
      </c>
      <c r="FI29" s="185"/>
      <c r="FJ29" s="455">
        <f t="shared" si="26"/>
        <v>42769</v>
      </c>
      <c r="FK29" s="602">
        <v>42814</v>
      </c>
      <c r="FL29" s="343">
        <v>2017</v>
      </c>
      <c r="FM29" s="703">
        <f t="shared" si="27"/>
        <v>1.5</v>
      </c>
      <c r="FN29" s="694">
        <f>56856.5334543356/12</f>
        <v>4738.044454527967</v>
      </c>
      <c r="FO29" s="314">
        <f t="shared" si="28"/>
        <v>7107.06668179195</v>
      </c>
      <c r="FP29" s="185" t="s">
        <v>128</v>
      </c>
      <c r="FQ29" s="552"/>
      <c r="FR29" s="692">
        <f t="shared" si="76"/>
        <v>0</v>
      </c>
      <c r="FS29" s="556"/>
      <c r="FT29" s="556"/>
      <c r="FU29" s="814">
        <v>0</v>
      </c>
      <c r="FV29" s="749">
        <f t="shared" si="75"/>
        <v>0</v>
      </c>
      <c r="FW29" s="553"/>
      <c r="FX29" s="566" t="s">
        <v>724</v>
      </c>
      <c r="FY29" s="553"/>
      <c r="FZ29" s="553"/>
      <c r="GA29" s="194" t="s">
        <v>128</v>
      </c>
      <c r="GB29" s="235" t="s">
        <v>128</v>
      </c>
      <c r="GC29" s="121"/>
      <c r="GD29" s="121"/>
      <c r="GE29" s="121"/>
      <c r="GF29" s="316">
        <v>43223</v>
      </c>
      <c r="GG29" s="315">
        <f>DATE(YEAR(FC29)+1,MONTH(FC29),DAY(FC29))</f>
        <v>43179</v>
      </c>
      <c r="GH29" s="678">
        <v>13223</v>
      </c>
      <c r="GI29" s="316">
        <v>42977</v>
      </c>
      <c r="GJ29" s="114"/>
      <c r="GK29" s="114"/>
      <c r="GL29" s="316">
        <v>43125</v>
      </c>
      <c r="GM29" s="316">
        <v>43180</v>
      </c>
      <c r="GN29" s="53"/>
      <c r="GO29" s="184">
        <v>42998</v>
      </c>
      <c r="GP29" s="53"/>
      <c r="GQ29" s="53" t="s">
        <v>418</v>
      </c>
      <c r="GR29" s="406" t="s">
        <v>128</v>
      </c>
      <c r="GS29" s="55"/>
      <c r="GT29" s="233" t="s">
        <v>128</v>
      </c>
      <c r="GU29" s="53"/>
      <c r="GV29" s="109"/>
      <c r="GW29" s="606">
        <v>2369120</v>
      </c>
      <c r="GX29" s="10">
        <f t="shared" si="68"/>
        <v>2369121</v>
      </c>
      <c r="GY29" s="11">
        <f>HJ29+HO29+HV29+IO29+HT29+HZ29+HY29</f>
        <v>2951882</v>
      </c>
      <c r="GZ29" s="797">
        <f t="shared" si="31"/>
        <v>2951882</v>
      </c>
      <c r="HA29" s="12">
        <f t="shared" si="32"/>
        <v>582761</v>
      </c>
      <c r="HB29" s="49">
        <f t="shared" si="33"/>
        <v>2543.4322198192299</v>
      </c>
      <c r="HC29" s="49">
        <f t="shared" si="34"/>
        <v>196792.13333333333</v>
      </c>
      <c r="HD29" s="10">
        <v>2132208</v>
      </c>
      <c r="HE29" s="11">
        <v>2403709.4727445007</v>
      </c>
      <c r="HF29" s="12">
        <f t="shared" si="35"/>
        <v>271501.47274450073</v>
      </c>
      <c r="HG29" s="127">
        <f t="shared" si="36"/>
        <v>0.91889961213462701</v>
      </c>
      <c r="HH29" s="128"/>
      <c r="HI29" s="10">
        <v>646677</v>
      </c>
      <c r="HJ29" s="11">
        <v>835967</v>
      </c>
      <c r="HK29" s="67"/>
      <c r="HL29" s="23">
        <f t="shared" si="37"/>
        <v>55731.133333333331</v>
      </c>
      <c r="HM29" s="37">
        <f t="shared" si="38"/>
        <v>189290</v>
      </c>
      <c r="HN29" s="10">
        <v>1328613</v>
      </c>
      <c r="HO29" s="67">
        <f t="shared" si="39"/>
        <v>1314229</v>
      </c>
      <c r="HP29" s="13">
        <v>212380</v>
      </c>
      <c r="HQ29" s="13">
        <v>1101849</v>
      </c>
      <c r="HR29" s="37">
        <f t="shared" si="40"/>
        <v>-14384</v>
      </c>
      <c r="HS29" s="629">
        <f t="shared" si="41"/>
        <v>87615.266666666663</v>
      </c>
      <c r="HT29" s="11">
        <v>407855</v>
      </c>
      <c r="HU29" s="10">
        <v>393831</v>
      </c>
      <c r="HV29" s="11">
        <v>393831</v>
      </c>
      <c r="HW29" s="67"/>
      <c r="HX29" s="40">
        <f t="shared" si="42"/>
        <v>0.1334169184269561</v>
      </c>
      <c r="HY29" s="93"/>
      <c r="HZ29" s="11">
        <v>0</v>
      </c>
      <c r="IA29" s="24">
        <f t="shared" si="66"/>
        <v>0</v>
      </c>
      <c r="IB29" s="23">
        <f t="shared" si="43"/>
        <v>26255.4</v>
      </c>
      <c r="IC29" s="49">
        <f t="shared" si="44"/>
        <v>81986.53333333334</v>
      </c>
      <c r="ID29" s="24">
        <f t="shared" si="45"/>
        <v>0</v>
      </c>
      <c r="IE29" s="48"/>
      <c r="IF29" s="48"/>
      <c r="IG29" s="39">
        <v>753806.75427749997</v>
      </c>
      <c r="IH29" s="39">
        <v>300000</v>
      </c>
      <c r="II29" s="23">
        <f t="shared" si="46"/>
        <v>101986.53333333334</v>
      </c>
      <c r="IJ29" s="39">
        <v>162750</v>
      </c>
      <c r="IK29" s="23">
        <f t="shared" si="47"/>
        <v>112836.53333333334</v>
      </c>
      <c r="IL29" s="50">
        <f t="shared" si="48"/>
        <v>0.4726319970267101</v>
      </c>
      <c r="IM29" s="39">
        <v>124577</v>
      </c>
      <c r="IN29" s="431"/>
      <c r="IO29" s="432">
        <v>0</v>
      </c>
      <c r="IP29" s="96">
        <f t="shared" si="49"/>
        <v>3705688.7542774999</v>
      </c>
      <c r="IQ29" s="277">
        <v>144741</v>
      </c>
      <c r="IR29" s="277">
        <f t="shared" si="50"/>
        <v>57156</v>
      </c>
      <c r="IS29" s="113">
        <v>40814</v>
      </c>
      <c r="IT29" s="231">
        <v>10799</v>
      </c>
      <c r="IU29" s="231"/>
      <c r="IV29" s="113"/>
      <c r="IW29" s="113"/>
      <c r="IX29" s="231"/>
      <c r="IY29" s="113"/>
      <c r="IZ29" s="231"/>
      <c r="JA29" s="113">
        <v>41050</v>
      </c>
      <c r="JB29" s="231">
        <v>29206</v>
      </c>
      <c r="JC29" s="114">
        <v>41627</v>
      </c>
      <c r="JD29" s="321">
        <v>17151</v>
      </c>
      <c r="JE29" s="313"/>
      <c r="JF29" s="313"/>
      <c r="JG29" s="122"/>
      <c r="JH29" s="231"/>
      <c r="JI29" s="122"/>
      <c r="JJ29" s="231"/>
      <c r="JK29" s="114"/>
      <c r="JL29" s="114"/>
      <c r="JM29" s="114"/>
      <c r="JN29" s="114"/>
      <c r="JO29" s="269"/>
      <c r="JP29" s="269"/>
      <c r="JQ29" s="269"/>
      <c r="JR29" s="269"/>
      <c r="JS29" s="269"/>
      <c r="JT29" s="269"/>
      <c r="JU29" s="231"/>
      <c r="JV29" s="122"/>
      <c r="JW29" s="114"/>
      <c r="JX29" s="122"/>
      <c r="JY29" s="122"/>
      <c r="JZ29" s="114"/>
    </row>
    <row r="30" spans="1:286" ht="15" customHeight="1">
      <c r="A30" s="83" t="s">
        <v>382</v>
      </c>
      <c r="B30" s="98"/>
      <c r="C30" s="7" t="s">
        <v>35</v>
      </c>
      <c r="D30" s="7" t="s">
        <v>112</v>
      </c>
      <c r="E30" s="7">
        <v>2013</v>
      </c>
      <c r="F30" s="7" t="s">
        <v>36</v>
      </c>
      <c r="G30" s="7" t="s">
        <v>374</v>
      </c>
      <c r="H30" s="765" t="s">
        <v>643</v>
      </c>
      <c r="I30" s="7" t="s">
        <v>250</v>
      </c>
      <c r="J30" s="53">
        <f>26523.95*1.085</f>
        <v>28778.48575</v>
      </c>
      <c r="K30" s="53"/>
      <c r="L30" s="255"/>
      <c r="M30" s="162" t="s">
        <v>60</v>
      </c>
      <c r="N30" s="104"/>
      <c r="O30" s="105" t="s">
        <v>128</v>
      </c>
      <c r="P30" s="207">
        <v>2330</v>
      </c>
      <c r="Q30" s="207">
        <f>R30</f>
        <v>800000</v>
      </c>
      <c r="R30" s="207">
        <v>800000</v>
      </c>
      <c r="S30" s="207">
        <f>Q30/AE30</f>
        <v>18181.81818181818</v>
      </c>
      <c r="T30" s="207">
        <f t="shared" si="69"/>
        <v>343.34763948497852</v>
      </c>
      <c r="U30" s="207">
        <f t="shared" si="70"/>
        <v>343.34763948497852</v>
      </c>
      <c r="V30" s="207">
        <f t="shared" si="71"/>
        <v>218.75076904567243</v>
      </c>
      <c r="W30" s="207">
        <f t="shared" si="72"/>
        <v>18181.81818181818</v>
      </c>
      <c r="X30" s="207">
        <f t="shared" si="73"/>
        <v>52.954545454545453</v>
      </c>
      <c r="Y30" s="208"/>
      <c r="Z30" s="904">
        <f t="shared" si="51"/>
        <v>188.8412017167382</v>
      </c>
      <c r="AA30" s="208" t="s">
        <v>194</v>
      </c>
      <c r="AB30" s="210">
        <v>580</v>
      </c>
      <c r="AC30" s="211"/>
      <c r="AD30" s="7" t="s">
        <v>15</v>
      </c>
      <c r="AE30" s="771">
        <f t="shared" si="0"/>
        <v>44</v>
      </c>
      <c r="AF30" s="771">
        <f t="shared" si="1"/>
        <v>44</v>
      </c>
      <c r="AG30" s="7">
        <v>44</v>
      </c>
      <c r="AH30" s="8"/>
      <c r="AI30" s="64"/>
      <c r="AJ30" s="64"/>
      <c r="AK30" s="269"/>
      <c r="AL30" s="9">
        <v>3666.81</v>
      </c>
      <c r="AM30" s="57"/>
      <c r="AN30" s="82">
        <v>3657.13</v>
      </c>
      <c r="AO30" s="9">
        <f t="shared" si="2"/>
        <v>83.116590909090917</v>
      </c>
      <c r="AP30" s="78">
        <f>6/AE30</f>
        <v>0.13636363636363635</v>
      </c>
      <c r="AQ30" s="78"/>
      <c r="AR30" s="78">
        <f>17/AG30</f>
        <v>0.38636363636363635</v>
      </c>
      <c r="AS30" s="78">
        <f>17/AE30</f>
        <v>0.38636363636363635</v>
      </c>
      <c r="AT30" s="78">
        <f>4/AE30</f>
        <v>9.0909090909090912E-2</v>
      </c>
      <c r="AU30" s="9">
        <v>1428</v>
      </c>
      <c r="AV30" s="76">
        <v>0</v>
      </c>
      <c r="AW30" s="78">
        <f t="shared" si="65"/>
        <v>0</v>
      </c>
      <c r="AX30" s="57">
        <v>4</v>
      </c>
      <c r="AY30" s="56" t="s">
        <v>549</v>
      </c>
      <c r="AZ30" s="7" t="s">
        <v>120</v>
      </c>
      <c r="BA30" s="53"/>
      <c r="BB30" s="53"/>
      <c r="BC30" s="53"/>
      <c r="BD30" s="53"/>
      <c r="BE30" s="184">
        <v>41348</v>
      </c>
      <c r="BF30" s="108" t="s">
        <v>12</v>
      </c>
      <c r="BG30" s="108" t="s">
        <v>139</v>
      </c>
      <c r="BH30" s="420"/>
      <c r="BI30" s="204">
        <v>41446</v>
      </c>
      <c r="BJ30" s="99"/>
      <c r="BK30" s="99">
        <v>41467</v>
      </c>
      <c r="BL30" s="204">
        <v>41500</v>
      </c>
      <c r="BM30" s="99"/>
      <c r="BN30" s="160">
        <v>41550</v>
      </c>
      <c r="BO30" s="202">
        <v>41576</v>
      </c>
      <c r="BP30" s="161">
        <f>DATE(YEAR(BO30),MONTH(BO30)+3,DAY(BO30))</f>
        <v>41668</v>
      </c>
      <c r="BQ30" s="161"/>
      <c r="BR30" s="299">
        <v>41659</v>
      </c>
      <c r="BS30" s="298">
        <f t="shared" si="3"/>
        <v>42389</v>
      </c>
      <c r="BT30" s="298">
        <f t="shared" si="4"/>
        <v>42755</v>
      </c>
      <c r="BU30" s="298"/>
      <c r="BV30" s="298" t="str">
        <f t="shared" si="64"/>
        <v>oui</v>
      </c>
      <c r="BW30" s="672">
        <f t="shared" si="5"/>
        <v>2</v>
      </c>
      <c r="BX30" s="672">
        <f t="shared" si="6"/>
        <v>54436</v>
      </c>
      <c r="BY30" s="672">
        <f t="shared" si="7"/>
        <v>0</v>
      </c>
      <c r="BZ30" s="824"/>
      <c r="CA30" s="825" t="s">
        <v>178</v>
      </c>
      <c r="CB30" s="826"/>
      <c r="CC30" s="826"/>
      <c r="CD30" s="826"/>
      <c r="CE30" s="826"/>
      <c r="CF30" s="819"/>
      <c r="CG30" s="819"/>
      <c r="CH30" s="819"/>
      <c r="CI30" s="819"/>
      <c r="CJ30" s="819"/>
      <c r="CK30" s="819"/>
      <c r="CL30" s="819"/>
      <c r="CM30" s="827"/>
      <c r="CN30" s="827"/>
      <c r="CO30" s="827"/>
      <c r="CP30" s="827"/>
      <c r="CQ30" s="827"/>
      <c r="CR30" s="827"/>
      <c r="CS30" s="156" t="s">
        <v>138</v>
      </c>
      <c r="CT30" s="307">
        <v>41626</v>
      </c>
      <c r="CU30" s="250"/>
      <c r="CV30" s="157">
        <v>6818520.4699999997</v>
      </c>
      <c r="CW30" s="581">
        <f t="shared" si="61"/>
        <v>42173</v>
      </c>
      <c r="CX30" s="405">
        <f t="shared" si="62"/>
        <v>42356</v>
      </c>
      <c r="CY30" s="340">
        <v>41988</v>
      </c>
      <c r="CZ30" s="250">
        <v>42398</v>
      </c>
      <c r="DA30" s="597">
        <f t="shared" si="74"/>
        <v>9.1</v>
      </c>
      <c r="DB30" s="122"/>
      <c r="DC30" s="122"/>
      <c r="DD30" s="122"/>
      <c r="DE30" s="523" t="str">
        <f t="shared" si="8"/>
        <v>0</v>
      </c>
      <c r="DF30" s="122"/>
      <c r="DG30" s="122"/>
      <c r="DH30" s="523" t="str">
        <f t="shared" si="9"/>
        <v>0</v>
      </c>
      <c r="DI30" s="122"/>
      <c r="DJ30" s="122"/>
      <c r="DK30" s="523" t="str">
        <f t="shared" si="10"/>
        <v>0</v>
      </c>
      <c r="DL30" s="122"/>
      <c r="DM30" s="122"/>
      <c r="DN30" s="523" t="str">
        <f t="shared" si="11"/>
        <v>0</v>
      </c>
      <c r="DO30" s="125"/>
      <c r="DP30" s="569"/>
      <c r="DQ30" s="523" t="str">
        <f t="shared" si="12"/>
        <v>0</v>
      </c>
      <c r="DR30" s="453"/>
      <c r="DS30" s="231"/>
      <c r="DT30" s="122"/>
      <c r="DU30" s="231"/>
      <c r="DV30" s="523" t="str">
        <f t="shared" si="13"/>
        <v>0</v>
      </c>
      <c r="DW30" s="122"/>
      <c r="DX30" s="347">
        <v>41766</v>
      </c>
      <c r="DY30" s="341">
        <v>2014</v>
      </c>
      <c r="DZ30" s="443">
        <f t="shared" si="14"/>
        <v>10.666666666666666</v>
      </c>
      <c r="EA30" s="523" t="str">
        <f t="shared" si="15"/>
        <v>0</v>
      </c>
      <c r="EB30" s="116">
        <v>15</v>
      </c>
      <c r="EC30" s="116">
        <f t="shared" si="16"/>
        <v>28</v>
      </c>
      <c r="ED30" s="315"/>
      <c r="EE30" s="314"/>
      <c r="EF30" s="685" t="str">
        <f t="shared" si="17"/>
        <v>0</v>
      </c>
      <c r="EG30" s="698"/>
      <c r="EH30" s="613"/>
      <c r="EI30" s="614" t="str">
        <f t="shared" si="18"/>
        <v>0</v>
      </c>
      <c r="EJ30" s="254"/>
      <c r="EK30" s="315"/>
      <c r="EL30" s="685" t="str">
        <f t="shared" si="19"/>
        <v>0</v>
      </c>
      <c r="EM30" s="314"/>
      <c r="EN30" s="315"/>
      <c r="EO30" s="685" t="str">
        <f t="shared" si="20"/>
        <v>0</v>
      </c>
      <c r="EP30" s="323"/>
      <c r="EQ30" s="323"/>
      <c r="ER30" s="685" t="str">
        <f t="shared" si="21"/>
        <v>0</v>
      </c>
      <c r="ES30" s="323"/>
      <c r="ET30" s="323"/>
      <c r="EU30" s="685" t="str">
        <f t="shared" si="22"/>
        <v>0</v>
      </c>
      <c r="EV30" s="315"/>
      <c r="EW30" s="315"/>
      <c r="EX30" s="685" t="str">
        <f t="shared" si="23"/>
        <v>0</v>
      </c>
      <c r="EY30" s="323"/>
      <c r="EZ30" s="323"/>
      <c r="FA30" s="323"/>
      <c r="FB30" s="455">
        <f t="shared" si="24"/>
        <v>42223</v>
      </c>
      <c r="FC30" s="349">
        <v>42640</v>
      </c>
      <c r="FD30" s="707">
        <f t="shared" si="25"/>
        <v>13.9</v>
      </c>
      <c r="FE30" s="455">
        <f t="shared" si="67"/>
        <v>42719</v>
      </c>
      <c r="FF30" s="320">
        <v>42745</v>
      </c>
      <c r="FG30" s="115">
        <v>42523</v>
      </c>
      <c r="FH30" s="115">
        <f>DATE(YEAR(FC30),MONTH(FC30)+1,DAY(FC30))</f>
        <v>42670</v>
      </c>
      <c r="FI30" s="455"/>
      <c r="FJ30" s="455">
        <f t="shared" si="26"/>
        <v>42254</v>
      </c>
      <c r="FK30" s="349">
        <v>42671</v>
      </c>
      <c r="FL30" s="343">
        <v>2016</v>
      </c>
      <c r="FM30" s="704">
        <f t="shared" si="27"/>
        <v>13.9</v>
      </c>
      <c r="FN30" s="694">
        <v>27218</v>
      </c>
      <c r="FO30" s="314">
        <f t="shared" si="28"/>
        <v>378330.2</v>
      </c>
      <c r="FP30" s="115" t="s">
        <v>128</v>
      </c>
      <c r="FQ30" s="552"/>
      <c r="FR30" s="692">
        <f t="shared" si="76"/>
        <v>0</v>
      </c>
      <c r="FS30" s="556">
        <v>285000</v>
      </c>
      <c r="FT30" s="556"/>
      <c r="FU30" s="556">
        <f>190041.07*1.021</f>
        <v>194031.93247</v>
      </c>
      <c r="FV30" s="749">
        <f t="shared" si="75"/>
        <v>2.5902874661799507E-2</v>
      </c>
      <c r="FW30" s="553"/>
      <c r="FX30" s="566"/>
      <c r="FY30" s="553"/>
      <c r="FZ30" s="553"/>
      <c r="GA30" s="320" t="s">
        <v>128</v>
      </c>
      <c r="GB30" s="200">
        <v>42851</v>
      </c>
      <c r="GC30" s="315" t="s">
        <v>128</v>
      </c>
      <c r="GD30" s="315" t="s">
        <v>128</v>
      </c>
      <c r="GE30" s="239">
        <v>42912</v>
      </c>
      <c r="GF30" s="200" t="s">
        <v>128</v>
      </c>
      <c r="GG30" s="200">
        <f>DATE(YEAR(FC30)+1,MONTH(FC30),DAY(FC30))</f>
        <v>43005</v>
      </c>
      <c r="GH30" s="679">
        <v>205656</v>
      </c>
      <c r="GI30" s="239">
        <v>42705</v>
      </c>
      <c r="GJ30" s="239">
        <v>42873</v>
      </c>
      <c r="GK30" s="114"/>
      <c r="GL30" s="114"/>
      <c r="GM30" s="114"/>
      <c r="GN30" s="53"/>
      <c r="GO30" s="114"/>
      <c r="GP30" s="55" t="s">
        <v>774</v>
      </c>
      <c r="GQ30" s="53"/>
      <c r="GR30" s="181">
        <v>42955</v>
      </c>
      <c r="GS30" s="181">
        <v>43139</v>
      </c>
      <c r="GT30" s="53"/>
      <c r="GU30" s="53"/>
      <c r="GV30" s="109" t="s">
        <v>120</v>
      </c>
      <c r="GW30" s="606">
        <v>7150691</v>
      </c>
      <c r="GX30" s="10">
        <f t="shared" si="68"/>
        <v>7150692</v>
      </c>
      <c r="GY30" s="426">
        <f>HJ30+HO30+HV30+IO30+HT30+HZ30+HY30</f>
        <v>7490749</v>
      </c>
      <c r="GZ30" s="797">
        <f t="shared" si="31"/>
        <v>7490749</v>
      </c>
      <c r="HA30" s="12">
        <f t="shared" si="32"/>
        <v>340057</v>
      </c>
      <c r="HB30" s="49">
        <f t="shared" si="33"/>
        <v>2042.8516885249032</v>
      </c>
      <c r="HC30" s="49">
        <f t="shared" si="34"/>
        <v>170244.29545454544</v>
      </c>
      <c r="HD30" s="715">
        <v>6405313</v>
      </c>
      <c r="HE30" s="11">
        <v>6413222</v>
      </c>
      <c r="HF30" s="12">
        <f t="shared" si="35"/>
        <v>7909</v>
      </c>
      <c r="HG30" s="127">
        <f t="shared" si="36"/>
        <v>0.91457226419484994</v>
      </c>
      <c r="HH30" s="128"/>
      <c r="HI30" s="10">
        <v>2389181</v>
      </c>
      <c r="HJ30" s="11">
        <v>2438948</v>
      </c>
      <c r="HK30" s="67"/>
      <c r="HL30" s="23">
        <f t="shared" si="37"/>
        <v>55430.63636363636</v>
      </c>
      <c r="HM30" s="37">
        <f t="shared" si="38"/>
        <v>49767</v>
      </c>
      <c r="HN30" s="10">
        <v>4761510</v>
      </c>
      <c r="HO30" s="11">
        <f t="shared" si="39"/>
        <v>4693223</v>
      </c>
      <c r="HP30" s="13">
        <v>982573</v>
      </c>
      <c r="HQ30" s="13">
        <v>3710650</v>
      </c>
      <c r="HR30" s="37">
        <f t="shared" si="40"/>
        <v>-68287</v>
      </c>
      <c r="HS30" s="629">
        <f t="shared" si="41"/>
        <v>106664.15909090909</v>
      </c>
      <c r="HT30" s="11">
        <v>171546</v>
      </c>
      <c r="HU30" s="10">
        <v>1</v>
      </c>
      <c r="HV30" s="11">
        <v>1</v>
      </c>
      <c r="HW30" s="67"/>
      <c r="HX30" s="40">
        <f t="shared" si="42"/>
        <v>1.3349799866475301E-7</v>
      </c>
      <c r="HY30" s="631">
        <v>171546</v>
      </c>
      <c r="HZ30" s="11">
        <v>15485</v>
      </c>
      <c r="IA30" s="24">
        <f t="shared" si="66"/>
        <v>0</v>
      </c>
      <c r="IB30" s="23">
        <f t="shared" si="43"/>
        <v>2.2727272727272728E-2</v>
      </c>
      <c r="IC30" s="49">
        <f t="shared" si="44"/>
        <v>55430.659090909088</v>
      </c>
      <c r="ID30" s="24">
        <f t="shared" si="45"/>
        <v>0</v>
      </c>
      <c r="IE30" s="48"/>
      <c r="IF30" s="48"/>
      <c r="IG30" s="39"/>
      <c r="IH30" s="39"/>
      <c r="II30" s="23">
        <f t="shared" si="46"/>
        <v>55430.659090909088</v>
      </c>
      <c r="IJ30" s="39"/>
      <c r="IK30" s="23">
        <f t="shared" si="47"/>
        <v>55430.659090909088</v>
      </c>
      <c r="IL30" s="50">
        <f t="shared" si="48"/>
        <v>0.32559481034540072</v>
      </c>
      <c r="IM30" s="39"/>
      <c r="IN30" s="39"/>
      <c r="IO30" s="432">
        <v>0</v>
      </c>
      <c r="IP30" s="41">
        <f t="shared" si="49"/>
        <v>7490749</v>
      </c>
      <c r="IQ30" s="231">
        <v>343148</v>
      </c>
      <c r="IR30" s="231">
        <f t="shared" si="50"/>
        <v>186489</v>
      </c>
      <c r="IS30" s="113">
        <v>41060</v>
      </c>
      <c r="IT30" s="231">
        <v>37298</v>
      </c>
      <c r="IU30" s="231"/>
      <c r="IV30" s="113"/>
      <c r="IW30" s="113">
        <v>41324</v>
      </c>
      <c r="IX30" s="231">
        <v>18649</v>
      </c>
      <c r="IY30" s="113">
        <v>41262</v>
      </c>
      <c r="IZ30" s="231">
        <v>37298</v>
      </c>
      <c r="JA30" s="113">
        <v>41396</v>
      </c>
      <c r="JB30" s="231">
        <v>37298</v>
      </c>
      <c r="JC30" s="114">
        <v>41547</v>
      </c>
      <c r="JD30" s="321">
        <v>55946</v>
      </c>
      <c r="JE30" s="313"/>
      <c r="JF30" s="313"/>
      <c r="JG30" s="122"/>
      <c r="JH30" s="231"/>
      <c r="JI30" s="122"/>
      <c r="JJ30" s="231"/>
      <c r="JK30" s="114"/>
      <c r="JL30" s="114"/>
      <c r="JM30" s="114"/>
      <c r="JN30" s="114"/>
      <c r="JO30" s="269"/>
      <c r="JP30" s="269"/>
      <c r="JQ30" s="269"/>
      <c r="JR30" s="269"/>
      <c r="JS30" s="269"/>
      <c r="JT30" s="269"/>
      <c r="JU30" s="231">
        <v>37298</v>
      </c>
      <c r="JV30" s="122"/>
      <c r="JW30" s="114"/>
      <c r="JX30" s="122"/>
      <c r="JY30" s="122"/>
      <c r="JZ30" s="114"/>
    </row>
    <row r="31" spans="1:286" ht="15" customHeight="1">
      <c r="A31" s="25" t="s">
        <v>44</v>
      </c>
      <c r="B31" s="655"/>
      <c r="C31" s="7" t="s">
        <v>45</v>
      </c>
      <c r="D31" s="7" t="s">
        <v>112</v>
      </c>
      <c r="E31" s="7">
        <v>2013</v>
      </c>
      <c r="F31" s="7" t="s">
        <v>46</v>
      </c>
      <c r="G31" s="7" t="s">
        <v>374</v>
      </c>
      <c r="H31" s="765" t="s">
        <v>610</v>
      </c>
      <c r="I31" s="7" t="s">
        <v>250</v>
      </c>
      <c r="J31" s="53" t="e">
        <f>#REF!-#REF!</f>
        <v>#REF!</v>
      </c>
      <c r="K31" s="53"/>
      <c r="L31" s="255"/>
      <c r="M31" s="411" t="s">
        <v>59</v>
      </c>
      <c r="N31" s="411" t="s">
        <v>66</v>
      </c>
      <c r="O31" s="709">
        <v>41591</v>
      </c>
      <c r="P31" s="207">
        <v>1547</v>
      </c>
      <c r="Q31" s="207">
        <f>R31</f>
        <v>259906</v>
      </c>
      <c r="R31" s="207">
        <v>259906</v>
      </c>
      <c r="S31" s="207">
        <f>Q31/AE31</f>
        <v>14439.222222222223</v>
      </c>
      <c r="T31" s="207">
        <f t="shared" si="69"/>
        <v>168.00646412411118</v>
      </c>
      <c r="U31" s="207">
        <f t="shared" si="70"/>
        <v>168.00646412411118</v>
      </c>
      <c r="V31" s="207">
        <f t="shared" si="71"/>
        <v>197.22270702594417</v>
      </c>
      <c r="W31" s="207">
        <f t="shared" si="72"/>
        <v>14439.222222222223</v>
      </c>
      <c r="X31" s="207">
        <f t="shared" si="73"/>
        <v>85.944444444444443</v>
      </c>
      <c r="Y31" s="208">
        <v>836</v>
      </c>
      <c r="Z31" s="904">
        <f t="shared" si="51"/>
        <v>116.35423400129282</v>
      </c>
      <c r="AA31" s="208" t="s">
        <v>194</v>
      </c>
      <c r="AB31" s="210">
        <v>383</v>
      </c>
      <c r="AC31" s="211">
        <v>0</v>
      </c>
      <c r="AD31" s="7" t="s">
        <v>16</v>
      </c>
      <c r="AE31" s="771">
        <f t="shared" si="0"/>
        <v>18</v>
      </c>
      <c r="AF31" s="771">
        <f t="shared" si="1"/>
        <v>18</v>
      </c>
      <c r="AG31" s="8"/>
      <c r="AH31" s="7">
        <v>18</v>
      </c>
      <c r="AI31" s="53"/>
      <c r="AJ31" s="53"/>
      <c r="AK31" s="269"/>
      <c r="AL31" s="9">
        <v>1340.98</v>
      </c>
      <c r="AM31" s="57"/>
      <c r="AN31" s="82">
        <v>1317.83</v>
      </c>
      <c r="AO31" s="9">
        <f t="shared" si="2"/>
        <v>73.212777777777774</v>
      </c>
      <c r="AP31" s="231"/>
      <c r="AQ31" s="78">
        <f>12/AE31</f>
        <v>0.66666666666666663</v>
      </c>
      <c r="AR31" s="78">
        <f>6/AE31</f>
        <v>0.33333333333333331</v>
      </c>
      <c r="AS31" s="231"/>
      <c r="AT31" s="231"/>
      <c r="AU31" s="9"/>
      <c r="AV31" s="76">
        <v>0</v>
      </c>
      <c r="AW31" s="78">
        <f t="shared" si="65"/>
        <v>0</v>
      </c>
      <c r="AX31" s="57">
        <v>3.5</v>
      </c>
      <c r="AY31" s="56" t="s">
        <v>549</v>
      </c>
      <c r="AZ31" s="7" t="s">
        <v>120</v>
      </c>
      <c r="BA31" s="53"/>
      <c r="BB31" s="53"/>
      <c r="BC31" s="53"/>
      <c r="BD31" s="189">
        <v>41313</v>
      </c>
      <c r="BE31" s="184">
        <v>41348</v>
      </c>
      <c r="BF31" s="108" t="s">
        <v>11</v>
      </c>
      <c r="BG31" s="108" t="s">
        <v>145</v>
      </c>
      <c r="BH31" s="420"/>
      <c r="BI31" s="204">
        <v>41463</v>
      </c>
      <c r="BJ31" s="99"/>
      <c r="BK31" s="99">
        <v>41514</v>
      </c>
      <c r="BL31" s="204">
        <v>41515</v>
      </c>
      <c r="BM31" s="99"/>
      <c r="BN31" s="160">
        <v>41549</v>
      </c>
      <c r="BO31" s="202">
        <v>41576</v>
      </c>
      <c r="BP31" s="161">
        <f>DATE(YEAR(BO31),MONTH(BO31)+3,DAY(BO31))</f>
        <v>41668</v>
      </c>
      <c r="BQ31" s="161"/>
      <c r="BR31" s="299">
        <v>41659</v>
      </c>
      <c r="BS31" s="298">
        <f t="shared" si="3"/>
        <v>42389</v>
      </c>
      <c r="BT31" s="298">
        <f t="shared" si="4"/>
        <v>42755</v>
      </c>
      <c r="BU31" s="298"/>
      <c r="BV31" s="298" t="str">
        <f t="shared" si="64"/>
        <v>oui</v>
      </c>
      <c r="BW31" s="672" t="e">
        <f t="shared" si="5"/>
        <v>#NUM!</v>
      </c>
      <c r="BX31" s="672" t="e">
        <f t="shared" si="6"/>
        <v>#NUM!</v>
      </c>
      <c r="BY31" s="672" t="e">
        <f t="shared" si="7"/>
        <v>#NUM!</v>
      </c>
      <c r="BZ31" s="824"/>
      <c r="CA31" s="825" t="s">
        <v>178</v>
      </c>
      <c r="CB31" s="826"/>
      <c r="CC31" s="826"/>
      <c r="CD31" s="826"/>
      <c r="CE31" s="826"/>
      <c r="CF31" s="819"/>
      <c r="CG31" s="819"/>
      <c r="CH31" s="819"/>
      <c r="CI31" s="819"/>
      <c r="CJ31" s="819"/>
      <c r="CK31" s="819"/>
      <c r="CL31" s="819"/>
      <c r="CM31" s="827"/>
      <c r="CN31" s="827"/>
      <c r="CO31" s="827"/>
      <c r="CP31" s="827"/>
      <c r="CQ31" s="827"/>
      <c r="CR31" s="827"/>
      <c r="CS31" s="163" t="s">
        <v>144</v>
      </c>
      <c r="CT31" s="307">
        <v>41625</v>
      </c>
      <c r="CU31" s="250"/>
      <c r="CV31" s="157">
        <v>2595669.38</v>
      </c>
      <c r="CW31" s="581">
        <f t="shared" si="61"/>
        <v>42172</v>
      </c>
      <c r="CX31" s="405">
        <f t="shared" si="62"/>
        <v>42355</v>
      </c>
      <c r="CY31" s="340">
        <v>42153</v>
      </c>
      <c r="CZ31" s="250">
        <v>42475</v>
      </c>
      <c r="DA31" s="597">
        <f t="shared" si="74"/>
        <v>19.8</v>
      </c>
      <c r="DB31" s="122">
        <v>41184</v>
      </c>
      <c r="DC31" s="122">
        <f>DB31</f>
        <v>41184</v>
      </c>
      <c r="DD31" s="122">
        <v>41185</v>
      </c>
      <c r="DE31" s="523">
        <f t="shared" si="8"/>
        <v>1</v>
      </c>
      <c r="DF31" s="122">
        <f>DD31+21+21</f>
        <v>41227</v>
      </c>
      <c r="DG31" s="122">
        <v>41311</v>
      </c>
      <c r="DH31" s="523">
        <f t="shared" si="9"/>
        <v>84</v>
      </c>
      <c r="DI31" s="122">
        <v>41373</v>
      </c>
      <c r="DJ31" s="122">
        <v>41375</v>
      </c>
      <c r="DK31" s="523">
        <f t="shared" si="10"/>
        <v>2</v>
      </c>
      <c r="DL31" s="122">
        <f>DJ31+30+30</f>
        <v>41435</v>
      </c>
      <c r="DM31" s="122">
        <v>41437</v>
      </c>
      <c r="DN31" s="523">
        <f t="shared" si="11"/>
        <v>2</v>
      </c>
      <c r="DO31" s="122">
        <f>DM31+37+37</f>
        <v>41511</v>
      </c>
      <c r="DP31" s="627">
        <v>41529</v>
      </c>
      <c r="DQ31" s="523">
        <f t="shared" si="12"/>
        <v>18</v>
      </c>
      <c r="DR31" s="453"/>
      <c r="DS31" s="122">
        <v>41684</v>
      </c>
      <c r="DT31" s="122">
        <f>DP31+7+7+30</f>
        <v>41573</v>
      </c>
      <c r="DU31" s="122">
        <v>41743</v>
      </c>
      <c r="DV31" s="523">
        <f t="shared" si="13"/>
        <v>170</v>
      </c>
      <c r="DW31" s="122">
        <v>41743</v>
      </c>
      <c r="DX31" s="347">
        <v>41751</v>
      </c>
      <c r="DY31" s="341">
        <v>2014</v>
      </c>
      <c r="DZ31" s="443">
        <f t="shared" si="14"/>
        <v>9.6</v>
      </c>
      <c r="EA31" s="523">
        <f t="shared" si="15"/>
        <v>8</v>
      </c>
      <c r="EB31" s="116">
        <v>15</v>
      </c>
      <c r="EC31" s="116">
        <f t="shared" si="16"/>
        <v>42</v>
      </c>
      <c r="ED31" s="122">
        <v>41835</v>
      </c>
      <c r="EE31" s="231">
        <v>41835</v>
      </c>
      <c r="EF31" s="523">
        <f t="shared" si="17"/>
        <v>0</v>
      </c>
      <c r="EG31" s="570">
        <f>ED31+45</f>
        <v>41880</v>
      </c>
      <c r="EH31" s="567">
        <v>42153</v>
      </c>
      <c r="EI31" s="526">
        <f t="shared" si="18"/>
        <v>273</v>
      </c>
      <c r="EJ31" s="122">
        <f>DX31+300</f>
        <v>42051</v>
      </c>
      <c r="EK31" s="315">
        <v>42255</v>
      </c>
      <c r="EL31" s="523">
        <f t="shared" si="19"/>
        <v>204</v>
      </c>
      <c r="EM31" s="122">
        <f>EJ31+30</f>
        <v>42081</v>
      </c>
      <c r="EN31" s="122">
        <v>42943</v>
      </c>
      <c r="EO31" s="523">
        <f t="shared" si="20"/>
        <v>862</v>
      </c>
      <c r="EP31" s="122">
        <f>EM31</f>
        <v>42081</v>
      </c>
      <c r="EQ31" s="122">
        <v>42943</v>
      </c>
      <c r="ER31" s="523">
        <f t="shared" si="21"/>
        <v>862</v>
      </c>
      <c r="ES31" s="122">
        <f>EP31+60</f>
        <v>42141</v>
      </c>
      <c r="ET31" s="122">
        <v>42934</v>
      </c>
      <c r="EU31" s="523">
        <f t="shared" si="22"/>
        <v>793</v>
      </c>
      <c r="EV31" s="122">
        <f>ES31+90</f>
        <v>42231</v>
      </c>
      <c r="EW31" s="122">
        <v>42985</v>
      </c>
      <c r="EX31" s="523">
        <f t="shared" si="23"/>
        <v>754</v>
      </c>
      <c r="EY31" s="122">
        <v>43052</v>
      </c>
      <c r="EZ31" s="122">
        <v>43041</v>
      </c>
      <c r="FA31" s="122">
        <v>43031</v>
      </c>
      <c r="FB31" s="572">
        <f t="shared" si="24"/>
        <v>42207</v>
      </c>
      <c r="FC31" s="349">
        <v>43055</v>
      </c>
      <c r="FD31" s="707">
        <f t="shared" si="25"/>
        <v>28.266666666666666</v>
      </c>
      <c r="FE31" s="626">
        <f t="shared" si="67"/>
        <v>42884</v>
      </c>
      <c r="FF31" s="115">
        <v>43082</v>
      </c>
      <c r="FG31" s="115">
        <v>42382</v>
      </c>
      <c r="FH31" s="115">
        <v>43059</v>
      </c>
      <c r="FI31" s="455"/>
      <c r="FJ31" s="455">
        <f t="shared" si="26"/>
        <v>42238</v>
      </c>
      <c r="FK31" s="349">
        <v>43069</v>
      </c>
      <c r="FL31" s="343">
        <v>2017</v>
      </c>
      <c r="FM31" s="704">
        <f t="shared" si="27"/>
        <v>27.7</v>
      </c>
      <c r="FN31" s="694">
        <f>86289.3386701777/12</f>
        <v>7190.7782225148085</v>
      </c>
      <c r="FO31" s="314">
        <f t="shared" si="28"/>
        <v>199184.55676366019</v>
      </c>
      <c r="FP31" s="315">
        <v>42999</v>
      </c>
      <c r="FQ31" s="788">
        <v>366248</v>
      </c>
      <c r="FR31" s="692">
        <f t="shared" si="76"/>
        <v>0</v>
      </c>
      <c r="FS31" s="556"/>
      <c r="FT31" s="556"/>
      <c r="FU31" s="556">
        <v>110247.29</v>
      </c>
      <c r="FV31" s="749">
        <f t="shared" si="75"/>
        <v>3.2927085246660541E-2</v>
      </c>
      <c r="FW31" s="790" t="s">
        <v>765</v>
      </c>
      <c r="FX31" s="792" t="s">
        <v>766</v>
      </c>
      <c r="FY31" s="553"/>
      <c r="FZ31" s="792" t="s">
        <v>767</v>
      </c>
      <c r="GA31" s="670" t="s">
        <v>517</v>
      </c>
      <c r="GB31" s="615">
        <v>43164</v>
      </c>
      <c r="GC31" s="187" t="s">
        <v>309</v>
      </c>
      <c r="GD31" s="187" t="s">
        <v>309</v>
      </c>
      <c r="GE31" s="200">
        <v>43152</v>
      </c>
      <c r="GF31" s="200" t="s">
        <v>128</v>
      </c>
      <c r="GG31" s="280">
        <f>DATE(YEAR(FC31)+1,MONTH(FC31),DAY(FC31))</f>
        <v>43420</v>
      </c>
      <c r="GH31" s="679">
        <v>26813</v>
      </c>
      <c r="GI31" s="615">
        <v>43151</v>
      </c>
      <c r="GJ31" s="615">
        <v>43157</v>
      </c>
      <c r="GK31" s="187"/>
      <c r="GL31" s="187"/>
      <c r="GM31" s="649">
        <v>43210</v>
      </c>
      <c r="GN31" s="78"/>
      <c r="GO31" s="78"/>
      <c r="GP31" s="78"/>
      <c r="GQ31" s="184"/>
      <c r="GR31" s="649">
        <v>43242</v>
      </c>
      <c r="GS31" s="78"/>
      <c r="GT31" s="78"/>
      <c r="GU31" s="78"/>
      <c r="GV31" s="109" t="s">
        <v>120</v>
      </c>
      <c r="GW31" s="606">
        <v>2715924</v>
      </c>
      <c r="GX31" s="10">
        <f t="shared" si="68"/>
        <v>2715924</v>
      </c>
      <c r="GY31" s="11">
        <f>HJ31+HO31+HV31+IO31+HT31+HZ31+HY31</f>
        <v>3348225</v>
      </c>
      <c r="GZ31" s="797">
        <f t="shared" si="31"/>
        <v>3348225</v>
      </c>
      <c r="HA31" s="12">
        <f t="shared" si="32"/>
        <v>632301</v>
      </c>
      <c r="HB31" s="49">
        <f t="shared" si="33"/>
        <v>2496.8493191546481</v>
      </c>
      <c r="HC31" s="49">
        <f t="shared" si="34"/>
        <v>186012.5</v>
      </c>
      <c r="HD31" s="10">
        <v>2383274</v>
      </c>
      <c r="HE31" s="11">
        <v>2329832</v>
      </c>
      <c r="HF31" s="12">
        <f t="shared" si="35"/>
        <v>-53442</v>
      </c>
      <c r="HG31" s="127">
        <f t="shared" si="36"/>
        <v>0.89594655594191874</v>
      </c>
      <c r="HH31" s="128"/>
      <c r="HI31" s="10">
        <v>717900</v>
      </c>
      <c r="HJ31" s="11">
        <v>736924</v>
      </c>
      <c r="HK31" s="67"/>
      <c r="HL31" s="23">
        <f t="shared" si="37"/>
        <v>40940.222222222219</v>
      </c>
      <c r="HM31" s="37">
        <f t="shared" si="38"/>
        <v>19024</v>
      </c>
      <c r="HN31" s="10">
        <v>1504024</v>
      </c>
      <c r="HO31" s="11">
        <f t="shared" si="39"/>
        <v>1490303</v>
      </c>
      <c r="HP31" s="13">
        <v>341701</v>
      </c>
      <c r="HQ31" s="13">
        <v>1148602</v>
      </c>
      <c r="HR31" s="37">
        <f t="shared" si="40"/>
        <v>-13721</v>
      </c>
      <c r="HS31" s="629">
        <f t="shared" si="41"/>
        <v>82794.611111111109</v>
      </c>
      <c r="HT31" s="11"/>
      <c r="HU31" s="10">
        <v>494000</v>
      </c>
      <c r="HV31" s="11">
        <v>432000</v>
      </c>
      <c r="HW31" s="67"/>
      <c r="HX31" s="40">
        <f t="shared" si="42"/>
        <v>0.12902358712452119</v>
      </c>
      <c r="HY31" s="93">
        <v>688998</v>
      </c>
      <c r="HZ31" s="11">
        <v>0</v>
      </c>
      <c r="IA31" s="24">
        <f t="shared" si="66"/>
        <v>-62000</v>
      </c>
      <c r="IB31" s="23">
        <f t="shared" si="43"/>
        <v>24000</v>
      </c>
      <c r="IC31" s="49">
        <f t="shared" si="44"/>
        <v>64940.222222222219</v>
      </c>
      <c r="ID31" s="24">
        <f t="shared" si="45"/>
        <v>-3444.4444444444443</v>
      </c>
      <c r="IE31" s="48"/>
      <c r="IF31" s="48"/>
      <c r="IG31" s="39">
        <v>0</v>
      </c>
      <c r="IH31" s="39">
        <v>0</v>
      </c>
      <c r="II31" s="23">
        <f t="shared" si="46"/>
        <v>64940.222222222219</v>
      </c>
      <c r="IJ31" s="39">
        <v>0</v>
      </c>
      <c r="IK31" s="23">
        <f t="shared" si="47"/>
        <v>64940.222222222219</v>
      </c>
      <c r="IL31" s="50">
        <f t="shared" si="48"/>
        <v>0.34911751749061071</v>
      </c>
      <c r="IM31" s="39"/>
      <c r="IN31" s="39"/>
      <c r="IO31" s="11">
        <v>0</v>
      </c>
      <c r="IP31" s="41">
        <f t="shared" si="49"/>
        <v>3348225</v>
      </c>
      <c r="IQ31" s="231">
        <v>149910</v>
      </c>
      <c r="IR31" s="231">
        <f t="shared" si="50"/>
        <v>66209</v>
      </c>
      <c r="IS31" s="113">
        <v>41257</v>
      </c>
      <c r="IT31" s="231">
        <v>14755</v>
      </c>
      <c r="IU31" s="231"/>
      <c r="IV31" s="113"/>
      <c r="IW31" s="113">
        <v>41373</v>
      </c>
      <c r="IX31" s="231">
        <v>4453</v>
      </c>
      <c r="IY31" s="113">
        <v>41311</v>
      </c>
      <c r="IZ31" s="231">
        <v>14755</v>
      </c>
      <c r="JA31" s="113">
        <v>41453</v>
      </c>
      <c r="JB31" s="231">
        <v>12951</v>
      </c>
      <c r="JC31" s="114">
        <v>41514</v>
      </c>
      <c r="JD31" s="321">
        <v>19295</v>
      </c>
      <c r="JE31" s="313"/>
      <c r="JF31" s="313"/>
      <c r="JG31" s="122"/>
      <c r="JH31" s="231"/>
      <c r="JI31" s="122"/>
      <c r="JJ31" s="231"/>
      <c r="JK31" s="114"/>
      <c r="JL31" s="114"/>
      <c r="JM31" s="114"/>
      <c r="JN31" s="114"/>
      <c r="JO31" s="269"/>
      <c r="JP31" s="269"/>
      <c r="JQ31" s="269"/>
      <c r="JR31" s="269"/>
      <c r="JS31" s="269"/>
      <c r="JT31" s="269"/>
      <c r="JU31" s="231">
        <v>14755</v>
      </c>
      <c r="JV31" s="122"/>
      <c r="JW31" s="114"/>
      <c r="JX31" s="122"/>
      <c r="JY31" s="122"/>
      <c r="JZ31" s="114"/>
    </row>
    <row r="32" spans="1:286" ht="15" customHeight="1">
      <c r="A32" s="25" t="s">
        <v>33</v>
      </c>
      <c r="B32" s="655"/>
      <c r="C32" s="7" t="s">
        <v>31</v>
      </c>
      <c r="D32" s="7" t="s">
        <v>112</v>
      </c>
      <c r="E32" s="7">
        <v>2013</v>
      </c>
      <c r="F32" s="7" t="s">
        <v>32</v>
      </c>
      <c r="G32" s="7" t="s">
        <v>30</v>
      </c>
      <c r="H32" s="765" t="s">
        <v>463</v>
      </c>
      <c r="I32" s="7" t="s">
        <v>250</v>
      </c>
      <c r="J32" s="53"/>
      <c r="K32" s="53"/>
      <c r="L32" s="255" t="s">
        <v>492</v>
      </c>
      <c r="M32" s="411" t="s">
        <v>60</v>
      </c>
      <c r="N32" s="411" t="s">
        <v>127</v>
      </c>
      <c r="O32" s="411" t="s">
        <v>128</v>
      </c>
      <c r="P32" s="207">
        <v>4625</v>
      </c>
      <c r="Q32" s="207">
        <v>215000</v>
      </c>
      <c r="R32" s="207">
        <v>104244</v>
      </c>
      <c r="S32" s="207">
        <f>Q32/AE32</f>
        <v>15357.142857142857</v>
      </c>
      <c r="T32" s="207">
        <f t="shared" si="69"/>
        <v>46.486486486486484</v>
      </c>
      <c r="U32" s="207">
        <f t="shared" si="70"/>
        <v>22.539243243243245</v>
      </c>
      <c r="V32" s="207">
        <f t="shared" si="71"/>
        <v>91.472596128534079</v>
      </c>
      <c r="W32" s="207">
        <f t="shared" si="72"/>
        <v>7446</v>
      </c>
      <c r="X32" s="207">
        <f t="shared" si="73"/>
        <v>330.35714285714283</v>
      </c>
      <c r="Y32" s="208">
        <v>1148.97</v>
      </c>
      <c r="Z32" s="904">
        <f t="shared" si="51"/>
        <v>30.27027027027027</v>
      </c>
      <c r="AA32" s="208" t="s">
        <v>209</v>
      </c>
      <c r="AB32" s="210">
        <v>20</v>
      </c>
      <c r="AC32" s="211"/>
      <c r="AD32" s="7" t="s">
        <v>16</v>
      </c>
      <c r="AE32" s="771">
        <f t="shared" si="0"/>
        <v>14</v>
      </c>
      <c r="AF32" s="771">
        <f t="shared" si="1"/>
        <v>14</v>
      </c>
      <c r="AG32" s="8"/>
      <c r="AH32" s="7">
        <v>14</v>
      </c>
      <c r="AI32" s="53"/>
      <c r="AJ32" s="53"/>
      <c r="AK32" s="269"/>
      <c r="AL32" s="9">
        <v>1044.56</v>
      </c>
      <c r="AM32" s="57"/>
      <c r="AN32" s="82">
        <v>1139.6199999999999</v>
      </c>
      <c r="AO32" s="9">
        <f t="shared" si="2"/>
        <v>81.401428571428568</v>
      </c>
      <c r="AP32" s="59"/>
      <c r="AQ32" s="59"/>
      <c r="AR32" s="59"/>
      <c r="AS32" s="59"/>
      <c r="AT32" s="59"/>
      <c r="AU32" s="9"/>
      <c r="AV32" s="76">
        <v>551.16</v>
      </c>
      <c r="AW32" s="78">
        <f t="shared" si="65"/>
        <v>0.11916972972972972</v>
      </c>
      <c r="AX32" s="59">
        <v>1.5</v>
      </c>
      <c r="AY32" s="53" t="s">
        <v>548</v>
      </c>
      <c r="AZ32" s="7" t="s">
        <v>121</v>
      </c>
      <c r="BA32" s="53"/>
      <c r="BB32" s="53"/>
      <c r="BC32" s="53"/>
      <c r="BD32" s="184">
        <v>41233</v>
      </c>
      <c r="BE32" s="184">
        <v>40963</v>
      </c>
      <c r="BF32" s="108" t="s">
        <v>11</v>
      </c>
      <c r="BG32" s="108" t="s">
        <v>126</v>
      </c>
      <c r="BH32" s="420"/>
      <c r="BI32" s="204">
        <v>41515</v>
      </c>
      <c r="BJ32" s="99"/>
      <c r="BK32" s="99">
        <v>41535</v>
      </c>
      <c r="BL32" s="204">
        <v>41544</v>
      </c>
      <c r="BM32" s="99"/>
      <c r="BN32" s="160">
        <v>41549</v>
      </c>
      <c r="BO32" s="202">
        <v>41575</v>
      </c>
      <c r="BP32" s="161">
        <f>DATE(YEAR(BO32),MONTH(BO32)+3,DAY(BO32))</f>
        <v>41667</v>
      </c>
      <c r="BQ32" s="161"/>
      <c r="BR32" s="299">
        <v>41659</v>
      </c>
      <c r="BS32" s="298">
        <f t="shared" si="3"/>
        <v>42389</v>
      </c>
      <c r="BT32" s="298">
        <f t="shared" si="4"/>
        <v>42755</v>
      </c>
      <c r="BU32" s="298"/>
      <c r="BV32" s="298" t="str">
        <f t="shared" si="64"/>
        <v>non</v>
      </c>
      <c r="BW32" s="672">
        <f t="shared" si="5"/>
        <v>14</v>
      </c>
      <c r="BX32" s="672">
        <f t="shared" si="6"/>
        <v>85671.66537622585</v>
      </c>
      <c r="BY32" s="672">
        <f t="shared" si="7"/>
        <v>0</v>
      </c>
      <c r="BZ32" s="824"/>
      <c r="CA32" s="825" t="s">
        <v>202</v>
      </c>
      <c r="CB32" s="826"/>
      <c r="CC32" s="826"/>
      <c r="CD32" s="826"/>
      <c r="CE32" s="826"/>
      <c r="CF32" s="827"/>
      <c r="CG32" s="827"/>
      <c r="CH32" s="827"/>
      <c r="CI32" s="827"/>
      <c r="CJ32" s="827"/>
      <c r="CK32" s="827"/>
      <c r="CL32" s="827"/>
      <c r="CM32" s="827"/>
      <c r="CN32" s="827"/>
      <c r="CO32" s="827"/>
      <c r="CP32" s="827"/>
      <c r="CQ32" s="827"/>
      <c r="CR32" s="827"/>
      <c r="CS32" s="156" t="s">
        <v>144</v>
      </c>
      <c r="CT32" s="307">
        <v>41625</v>
      </c>
      <c r="CU32" s="250"/>
      <c r="CV32" s="157">
        <v>2345333.9</v>
      </c>
      <c r="CW32" s="581">
        <f t="shared" si="61"/>
        <v>42172</v>
      </c>
      <c r="CX32" s="405">
        <f t="shared" si="62"/>
        <v>42355</v>
      </c>
      <c r="CY32" s="340">
        <v>41977</v>
      </c>
      <c r="CZ32" s="250">
        <v>42262</v>
      </c>
      <c r="DA32" s="597">
        <f t="shared" si="74"/>
        <v>1.7</v>
      </c>
      <c r="DB32" s="122"/>
      <c r="DC32" s="122"/>
      <c r="DD32" s="122"/>
      <c r="DE32" s="523" t="str">
        <f t="shared" si="8"/>
        <v>0</v>
      </c>
      <c r="DF32" s="122"/>
      <c r="DG32" s="122"/>
      <c r="DH32" s="523" t="str">
        <f t="shared" si="9"/>
        <v>0</v>
      </c>
      <c r="DI32" s="122"/>
      <c r="DJ32" s="122"/>
      <c r="DK32" s="523" t="str">
        <f t="shared" si="10"/>
        <v>0</v>
      </c>
      <c r="DL32" s="122"/>
      <c r="DM32" s="122"/>
      <c r="DN32" s="523" t="str">
        <f t="shared" si="11"/>
        <v>0</v>
      </c>
      <c r="DO32" s="125"/>
      <c r="DP32" s="569"/>
      <c r="DQ32" s="523" t="str">
        <f t="shared" si="12"/>
        <v>0</v>
      </c>
      <c r="DR32" s="453"/>
      <c r="DS32" s="231"/>
      <c r="DT32" s="122"/>
      <c r="DU32" s="231"/>
      <c r="DV32" s="523" t="str">
        <f t="shared" si="13"/>
        <v>0</v>
      </c>
      <c r="DW32" s="122"/>
      <c r="DX32" s="347">
        <v>41848</v>
      </c>
      <c r="DY32" s="341">
        <v>2014</v>
      </c>
      <c r="DZ32" s="443">
        <f t="shared" si="14"/>
        <v>11.1</v>
      </c>
      <c r="EA32" s="523" t="str">
        <f t="shared" si="15"/>
        <v>0</v>
      </c>
      <c r="EB32" s="240">
        <v>14</v>
      </c>
      <c r="EC32" s="240">
        <f t="shared" si="16"/>
        <v>14</v>
      </c>
      <c r="ED32" s="315"/>
      <c r="EE32" s="314"/>
      <c r="EF32" s="685" t="str">
        <f t="shared" si="17"/>
        <v>0</v>
      </c>
      <c r="EG32" s="698"/>
      <c r="EH32" s="315"/>
      <c r="EI32" s="614" t="str">
        <f t="shared" si="18"/>
        <v>0</v>
      </c>
      <c r="EJ32" s="254"/>
      <c r="EK32" s="315"/>
      <c r="EL32" s="685" t="str">
        <f t="shared" si="19"/>
        <v>0</v>
      </c>
      <c r="EM32" s="315"/>
      <c r="EN32" s="315"/>
      <c r="EO32" s="685" t="str">
        <f t="shared" si="20"/>
        <v>0</v>
      </c>
      <c r="EP32" s="315"/>
      <c r="EQ32" s="315"/>
      <c r="ER32" s="685" t="str">
        <f t="shared" si="21"/>
        <v>0</v>
      </c>
      <c r="ES32" s="315"/>
      <c r="ET32" s="315"/>
      <c r="EU32" s="685" t="str">
        <f t="shared" si="22"/>
        <v>0</v>
      </c>
      <c r="EV32" s="315"/>
      <c r="EW32" s="315"/>
      <c r="EX32" s="685" t="str">
        <f t="shared" si="23"/>
        <v>0</v>
      </c>
      <c r="EY32" s="315"/>
      <c r="EZ32" s="315"/>
      <c r="FA32" s="315"/>
      <c r="FB32" s="455">
        <f t="shared" si="24"/>
        <v>42275</v>
      </c>
      <c r="FC32" s="347">
        <v>42276</v>
      </c>
      <c r="FD32" s="707">
        <f t="shared" si="25"/>
        <v>3.3333333333333333E-2</v>
      </c>
      <c r="FE32" s="572"/>
      <c r="FF32" s="115">
        <v>42333</v>
      </c>
      <c r="FG32" s="234" t="s">
        <v>128</v>
      </c>
      <c r="FH32" s="115" t="e">
        <f>DATE(YEAR(#REF!),MONTH(#REF!),DAY(#REF!)+10)</f>
        <v>#REF!</v>
      </c>
      <c r="FI32" s="455"/>
      <c r="FJ32" s="455">
        <f t="shared" si="26"/>
        <v>42305</v>
      </c>
      <c r="FK32" s="351">
        <v>42313</v>
      </c>
      <c r="FL32" s="456">
        <v>2015</v>
      </c>
      <c r="FM32" s="702">
        <f t="shared" si="27"/>
        <v>0.26666666666666666</v>
      </c>
      <c r="FN32" s="699">
        <f>73432.856036765/12</f>
        <v>6119.4046697304175</v>
      </c>
      <c r="FO32" s="231">
        <f t="shared" si="28"/>
        <v>1631.8412452614446</v>
      </c>
      <c r="FP32" s="115"/>
      <c r="FQ32" s="552"/>
      <c r="FR32" s="692">
        <f t="shared" si="76"/>
        <v>23860</v>
      </c>
      <c r="FS32" s="556"/>
      <c r="FT32" s="556"/>
      <c r="FU32" s="556">
        <f>(25658+3320+12600+10350+8537+1080+595+1470+1190)*1.021</f>
        <v>66160.799999999988</v>
      </c>
      <c r="FV32" s="749">
        <f t="shared" si="75"/>
        <v>2.7264579017489746E-2</v>
      </c>
      <c r="FW32" s="553"/>
      <c r="FX32" s="566" t="s">
        <v>734</v>
      </c>
      <c r="FY32" s="553"/>
      <c r="FZ32" s="553"/>
      <c r="GA32" s="115">
        <v>42725</v>
      </c>
      <c r="GB32" s="115"/>
      <c r="GC32" s="115" t="s">
        <v>128</v>
      </c>
      <c r="GD32" s="115" t="s">
        <v>128</v>
      </c>
      <c r="GE32" s="115">
        <v>42555</v>
      </c>
      <c r="GF32" s="115">
        <v>42870</v>
      </c>
      <c r="GG32" s="115">
        <v>42660</v>
      </c>
      <c r="GH32" s="681">
        <v>13313</v>
      </c>
      <c r="GI32" s="194">
        <v>42324</v>
      </c>
      <c r="GJ32" s="194">
        <v>42402</v>
      </c>
      <c r="GK32" s="291"/>
      <c r="GL32" s="291"/>
      <c r="GM32" s="236">
        <v>42459</v>
      </c>
      <c r="GN32" s="53"/>
      <c r="GO32" s="200" t="s">
        <v>563</v>
      </c>
      <c r="GP32" s="200"/>
      <c r="GQ32" s="184" t="s">
        <v>592</v>
      </c>
      <c r="GR32" s="233" t="s">
        <v>128</v>
      </c>
      <c r="GS32" s="233"/>
      <c r="GT32" s="233" t="s">
        <v>128</v>
      </c>
      <c r="GU32" s="53"/>
      <c r="GV32" s="109" t="s">
        <v>120</v>
      </c>
      <c r="GW32" s="606">
        <v>2360150.41</v>
      </c>
      <c r="GX32" s="10">
        <f>+HI32+HN32+HU32</f>
        <v>2396286</v>
      </c>
      <c r="GY32" s="11">
        <f>HJ32+HO32+HV32+IO32</f>
        <v>2426621</v>
      </c>
      <c r="GZ32" s="797">
        <f t="shared" si="31"/>
        <v>2426621</v>
      </c>
      <c r="HA32" s="12">
        <f t="shared" si="32"/>
        <v>30335</v>
      </c>
      <c r="HB32" s="49">
        <f t="shared" si="33"/>
        <v>2323.1035076970211</v>
      </c>
      <c r="HC32" s="49">
        <f t="shared" si="34"/>
        <v>173330.07142857142</v>
      </c>
      <c r="HD32" s="10">
        <v>2112298</v>
      </c>
      <c r="HE32" s="11">
        <v>2153147</v>
      </c>
      <c r="HF32" s="12">
        <f t="shared" si="35"/>
        <v>40849</v>
      </c>
      <c r="HG32" s="127">
        <f t="shared" si="36"/>
        <v>0.89999952342917333</v>
      </c>
      <c r="HH32" s="128"/>
      <c r="HI32" s="10">
        <v>601367</v>
      </c>
      <c r="HJ32" s="11">
        <v>642565</v>
      </c>
      <c r="HK32" s="67"/>
      <c r="HL32" s="23">
        <f t="shared" si="37"/>
        <v>45897.5</v>
      </c>
      <c r="HM32" s="37">
        <f t="shared" si="38"/>
        <v>41198</v>
      </c>
      <c r="HN32" s="10">
        <v>1294919</v>
      </c>
      <c r="HO32" s="11">
        <f t="shared" si="39"/>
        <v>1260196</v>
      </c>
      <c r="HP32" s="13">
        <v>284216</v>
      </c>
      <c r="HQ32" s="13">
        <v>975980</v>
      </c>
      <c r="HR32" s="37">
        <f t="shared" si="40"/>
        <v>-34723</v>
      </c>
      <c r="HS32" s="629">
        <f t="shared" si="41"/>
        <v>90014</v>
      </c>
      <c r="HT32" s="11"/>
      <c r="HU32" s="10">
        <v>500000</v>
      </c>
      <c r="HV32" s="11">
        <v>500000</v>
      </c>
      <c r="HW32" s="67"/>
      <c r="HX32" s="40">
        <f t="shared" si="42"/>
        <v>0.20604783359247283</v>
      </c>
      <c r="HY32" s="303"/>
      <c r="HZ32" s="11">
        <v>0</v>
      </c>
      <c r="IA32" s="24">
        <f t="shared" si="66"/>
        <v>0</v>
      </c>
      <c r="IB32" s="23">
        <f t="shared" si="43"/>
        <v>35714.285714285717</v>
      </c>
      <c r="IC32" s="49">
        <f t="shared" si="44"/>
        <v>81611.78571428571</v>
      </c>
      <c r="ID32" s="24">
        <f t="shared" si="45"/>
        <v>0</v>
      </c>
      <c r="IE32" s="48"/>
      <c r="IF32" s="48"/>
      <c r="IG32" s="39">
        <v>461213.14905750001</v>
      </c>
      <c r="IH32" s="39">
        <v>238500</v>
      </c>
      <c r="II32" s="23">
        <f t="shared" si="46"/>
        <v>98647.5</v>
      </c>
      <c r="IJ32" s="39">
        <v>0</v>
      </c>
      <c r="IK32" s="23">
        <f t="shared" si="47"/>
        <v>98647.5</v>
      </c>
      <c r="IL32" s="50">
        <f t="shared" si="48"/>
        <v>0.49653574328412386</v>
      </c>
      <c r="IM32" s="39">
        <v>106433.17505000001</v>
      </c>
      <c r="IN32" s="39"/>
      <c r="IO32" s="432">
        <v>23860</v>
      </c>
      <c r="IP32" s="41">
        <f t="shared" si="49"/>
        <v>2887834.1490575001</v>
      </c>
      <c r="IQ32" s="231">
        <v>118584</v>
      </c>
      <c r="IR32" s="231">
        <f t="shared" si="50"/>
        <v>58369</v>
      </c>
      <c r="IS32" s="113">
        <v>40161</v>
      </c>
      <c r="IT32" s="231">
        <v>7820</v>
      </c>
      <c r="IU32" s="231"/>
      <c r="IV32" s="113"/>
      <c r="IW32" s="113">
        <v>41267</v>
      </c>
      <c r="IX32" s="231">
        <v>3939</v>
      </c>
      <c r="IY32" s="113">
        <v>41313</v>
      </c>
      <c r="IZ32" s="231">
        <v>17030</v>
      </c>
      <c r="JA32" s="113">
        <v>11851</v>
      </c>
      <c r="JB32" s="231">
        <v>11851</v>
      </c>
      <c r="JC32" s="114">
        <v>41547</v>
      </c>
      <c r="JD32" s="321">
        <v>17729</v>
      </c>
      <c r="JE32" s="313"/>
      <c r="JF32" s="313"/>
      <c r="JG32" s="122"/>
      <c r="JH32" s="231"/>
      <c r="JI32" s="122"/>
      <c r="JJ32" s="231"/>
      <c r="JK32" s="322"/>
      <c r="JL32" s="322"/>
      <c r="JM32" s="322"/>
      <c r="JN32" s="322"/>
      <c r="JO32" s="269"/>
      <c r="JP32" s="269"/>
      <c r="JQ32" s="269"/>
      <c r="JR32" s="269"/>
      <c r="JS32" s="269"/>
      <c r="JT32" s="269"/>
      <c r="JU32" s="231">
        <v>17030</v>
      </c>
      <c r="JV32" s="122"/>
      <c r="JW32" s="114"/>
      <c r="JX32" s="122"/>
      <c r="JY32" s="122"/>
      <c r="JZ32" s="114"/>
    </row>
    <row r="33" spans="1:286" ht="15" customHeight="1">
      <c r="A33" s="25" t="s">
        <v>337</v>
      </c>
      <c r="B33" s="655"/>
      <c r="C33" s="7" t="s">
        <v>34</v>
      </c>
      <c r="D33" s="7" t="s">
        <v>113</v>
      </c>
      <c r="E33" s="7">
        <v>2013</v>
      </c>
      <c r="F33" s="7" t="s">
        <v>49</v>
      </c>
      <c r="G33" s="7" t="s">
        <v>317</v>
      </c>
      <c r="H33" s="7" t="s">
        <v>463</v>
      </c>
      <c r="I33" s="7" t="s">
        <v>250</v>
      </c>
      <c r="J33" s="53"/>
      <c r="K33" s="53" t="s">
        <v>370</v>
      </c>
      <c r="L33" s="395" t="s">
        <v>627</v>
      </c>
      <c r="M33" s="162" t="s">
        <v>59</v>
      </c>
      <c r="N33" s="104" t="s">
        <v>67</v>
      </c>
      <c r="O33" s="105"/>
      <c r="P33" s="207">
        <v>18523</v>
      </c>
      <c r="Q33" s="207">
        <v>492000</v>
      </c>
      <c r="R33" s="207">
        <v>699015</v>
      </c>
      <c r="S33" s="207">
        <f>Q33/AE33</f>
        <v>13297.297297297297</v>
      </c>
      <c r="T33" s="207">
        <f t="shared" si="69"/>
        <v>26.56157209955191</v>
      </c>
      <c r="U33" s="207">
        <f t="shared" si="70"/>
        <v>37.737677482049342</v>
      </c>
      <c r="V33" s="207">
        <f>R33/(AN33+AN69)</f>
        <v>189.87388190043652</v>
      </c>
      <c r="W33" s="207">
        <f>R33/(AE33+AE69)</f>
        <v>4236.454545454545</v>
      </c>
      <c r="X33" s="207">
        <f>P33/(AE33+AE69)</f>
        <v>112.26060606060607</v>
      </c>
      <c r="Y33" s="208"/>
      <c r="Z33" s="904">
        <f t="shared" si="51"/>
        <v>19.975166009825621</v>
      </c>
      <c r="AA33" s="208" t="s">
        <v>198</v>
      </c>
      <c r="AB33" s="210"/>
      <c r="AC33" s="211"/>
      <c r="AD33" s="7" t="s">
        <v>15</v>
      </c>
      <c r="AE33" s="771">
        <f t="shared" si="0"/>
        <v>37</v>
      </c>
      <c r="AF33" s="771">
        <f t="shared" si="1"/>
        <v>37</v>
      </c>
      <c r="AG33" s="7">
        <v>37</v>
      </c>
      <c r="AH33" s="8"/>
      <c r="AI33" s="64"/>
      <c r="AJ33" s="64"/>
      <c r="AK33" s="269"/>
      <c r="AL33" s="9">
        <v>3305.14</v>
      </c>
      <c r="AM33" s="57"/>
      <c r="AN33" s="82">
        <v>3681.47</v>
      </c>
      <c r="AO33" s="9">
        <f t="shared" si="2"/>
        <v>99.499189189189181</v>
      </c>
      <c r="AP33" s="59"/>
      <c r="AQ33" s="59"/>
      <c r="AR33" s="59"/>
      <c r="AS33" s="59"/>
      <c r="AT33" s="59"/>
      <c r="AU33" s="9">
        <v>3236</v>
      </c>
      <c r="AV33" s="76"/>
      <c r="AW33" s="78">
        <f t="shared" si="65"/>
        <v>0</v>
      </c>
      <c r="AX33" s="57">
        <v>3.5</v>
      </c>
      <c r="AY33" s="56" t="s">
        <v>549</v>
      </c>
      <c r="AZ33" s="20" t="s">
        <v>120</v>
      </c>
      <c r="BA33" s="54"/>
      <c r="BB33" s="54"/>
      <c r="BC33" s="54"/>
      <c r="BD33" s="184">
        <v>41170</v>
      </c>
      <c r="BE33" s="184">
        <v>40963</v>
      </c>
      <c r="BF33" s="108" t="s">
        <v>11</v>
      </c>
      <c r="BG33" s="108" t="s">
        <v>148</v>
      </c>
      <c r="BH33" s="420"/>
      <c r="BI33" s="204">
        <v>41493</v>
      </c>
      <c r="BJ33" s="99"/>
      <c r="BK33" s="99">
        <v>41537</v>
      </c>
      <c r="BL33" s="204">
        <v>41543</v>
      </c>
      <c r="BM33" s="99"/>
      <c r="BN33" s="160">
        <v>41549</v>
      </c>
      <c r="BO33" s="202">
        <v>41576</v>
      </c>
      <c r="BP33" s="161">
        <f>DATE(YEAR(BO33),MONTH(BO33)+3,DAY(BO33))</f>
        <v>41668</v>
      </c>
      <c r="BQ33" s="161"/>
      <c r="BR33" s="299">
        <v>41659</v>
      </c>
      <c r="BS33" s="298">
        <f t="shared" si="3"/>
        <v>42389</v>
      </c>
      <c r="BT33" s="298">
        <f t="shared" si="4"/>
        <v>42755</v>
      </c>
      <c r="BU33" s="298"/>
      <c r="BV33" s="298" t="str">
        <f t="shared" si="64"/>
        <v>oui</v>
      </c>
      <c r="BW33" s="672">
        <f t="shared" si="5"/>
        <v>1</v>
      </c>
      <c r="BX33" s="672">
        <f t="shared" si="6"/>
        <v>23136.729423819084</v>
      </c>
      <c r="BY33" s="672">
        <f t="shared" si="7"/>
        <v>0</v>
      </c>
      <c r="BZ33" s="824"/>
      <c r="CA33" s="828">
        <v>41652</v>
      </c>
      <c r="CB33" s="826"/>
      <c r="CC33" s="826"/>
      <c r="CD33" s="826"/>
      <c r="CE33" s="826"/>
      <c r="CF33" s="819"/>
      <c r="CG33" s="819"/>
      <c r="CH33" s="819"/>
      <c r="CI33" s="819"/>
      <c r="CJ33" s="819"/>
      <c r="CK33" s="819"/>
      <c r="CL33" s="819"/>
      <c r="CM33" s="819"/>
      <c r="CN33" s="827"/>
      <c r="CO33" s="827"/>
      <c r="CP33" s="827"/>
      <c r="CQ33" s="827"/>
      <c r="CR33" s="827"/>
      <c r="CS33" s="156" t="s">
        <v>149</v>
      </c>
      <c r="CT33" s="307">
        <v>41635</v>
      </c>
      <c r="CU33" s="250"/>
      <c r="CV33" s="157">
        <v>13003860.789999999</v>
      </c>
      <c r="CW33" s="581">
        <f t="shared" si="61"/>
        <v>42182</v>
      </c>
      <c r="CX33" s="405">
        <f t="shared" si="62"/>
        <v>42365</v>
      </c>
      <c r="CY33" s="340">
        <v>42159</v>
      </c>
      <c r="CZ33" s="250">
        <v>42731</v>
      </c>
      <c r="DA33" s="597">
        <f t="shared" si="74"/>
        <v>-0.9</v>
      </c>
      <c r="DB33" s="122"/>
      <c r="DC33" s="122"/>
      <c r="DD33" s="122"/>
      <c r="DE33" s="523" t="str">
        <f t="shared" si="8"/>
        <v>0</v>
      </c>
      <c r="DF33" s="122"/>
      <c r="DG33" s="122"/>
      <c r="DH33" s="523" t="str">
        <f t="shared" si="9"/>
        <v>0</v>
      </c>
      <c r="DI33" s="122"/>
      <c r="DJ33" s="122"/>
      <c r="DK33" s="523" t="str">
        <f t="shared" si="10"/>
        <v>0</v>
      </c>
      <c r="DL33" s="122"/>
      <c r="DM33" s="122"/>
      <c r="DN33" s="523" t="str">
        <f t="shared" si="11"/>
        <v>0</v>
      </c>
      <c r="DO33" s="125"/>
      <c r="DP33" s="569"/>
      <c r="DQ33" s="523" t="str">
        <f t="shared" si="12"/>
        <v>0</v>
      </c>
      <c r="DR33" s="453"/>
      <c r="DS33" s="231"/>
      <c r="DT33" s="122"/>
      <c r="DU33" s="231"/>
      <c r="DV33" s="523" t="str">
        <f t="shared" si="13"/>
        <v>0</v>
      </c>
      <c r="DW33" s="122"/>
      <c r="DX33" s="347">
        <v>41801</v>
      </c>
      <c r="DY33" s="341">
        <v>2014</v>
      </c>
      <c r="DZ33" s="443">
        <f t="shared" si="14"/>
        <v>10.266666666666667</v>
      </c>
      <c r="EA33" s="523" t="str">
        <f t="shared" si="15"/>
        <v>0</v>
      </c>
      <c r="EB33" s="240">
        <v>24</v>
      </c>
      <c r="EC33" s="116">
        <f t="shared" si="16"/>
        <v>28</v>
      </c>
      <c r="ED33" s="122"/>
      <c r="EE33" s="231"/>
      <c r="EF33" s="523" t="str">
        <f t="shared" si="17"/>
        <v>0</v>
      </c>
      <c r="EG33" s="570"/>
      <c r="EH33" s="567"/>
      <c r="EI33" s="526" t="str">
        <f t="shared" si="18"/>
        <v>0</v>
      </c>
      <c r="EJ33" s="125"/>
      <c r="EK33" s="315"/>
      <c r="EL33" s="523" t="str">
        <f t="shared" si="19"/>
        <v>0</v>
      </c>
      <c r="EM33" s="122"/>
      <c r="EN33" s="122"/>
      <c r="EO33" s="523" t="str">
        <f t="shared" si="20"/>
        <v>0</v>
      </c>
      <c r="EP33" s="122"/>
      <c r="EQ33" s="122"/>
      <c r="ER33" s="523" t="str">
        <f t="shared" si="21"/>
        <v>0</v>
      </c>
      <c r="ES33" s="122"/>
      <c r="ET33" s="122"/>
      <c r="EU33" s="523" t="str">
        <f t="shared" si="22"/>
        <v>0</v>
      </c>
      <c r="EV33" s="122"/>
      <c r="EW33" s="122"/>
      <c r="EX33" s="523" t="str">
        <f t="shared" si="23"/>
        <v>0</v>
      </c>
      <c r="EY33" s="122"/>
      <c r="EZ33" s="122"/>
      <c r="FA33" s="122"/>
      <c r="FB33" s="572">
        <f t="shared" si="24"/>
        <v>42532</v>
      </c>
      <c r="FC33" s="347">
        <v>42682</v>
      </c>
      <c r="FD33" s="707">
        <f t="shared" si="25"/>
        <v>5</v>
      </c>
      <c r="FE33" s="626">
        <v>42735</v>
      </c>
      <c r="FF33" s="115">
        <v>42726</v>
      </c>
      <c r="FG33" s="115">
        <v>42538</v>
      </c>
      <c r="FH33" s="115">
        <v>42692</v>
      </c>
      <c r="FI33" s="455"/>
      <c r="FJ33" s="455">
        <f t="shared" si="26"/>
        <v>42562</v>
      </c>
      <c r="FK33" s="349">
        <v>42704</v>
      </c>
      <c r="FL33" s="343">
        <v>2016</v>
      </c>
      <c r="FM33" s="704">
        <f t="shared" si="27"/>
        <v>4.7333333333333334</v>
      </c>
      <c r="FN33" s="694">
        <f>277640.753085829/12</f>
        <v>23136.729423819084</v>
      </c>
      <c r="FO33" s="314">
        <f t="shared" si="28"/>
        <v>109513.85260607699</v>
      </c>
      <c r="FP33" s="115">
        <v>42670</v>
      </c>
      <c r="FQ33" s="789"/>
      <c r="FR33" s="692">
        <f t="shared" si="76"/>
        <v>0</v>
      </c>
      <c r="FS33" s="556"/>
      <c r="FT33" s="556"/>
      <c r="FU33" s="839">
        <f>128413*1.021</f>
        <v>131109.67299999998</v>
      </c>
      <c r="FV33" s="749">
        <f>FU33/(GY33+GY34)</f>
        <v>9.6389719953015856E-3</v>
      </c>
      <c r="FW33" s="791"/>
      <c r="FX33" s="793"/>
      <c r="FY33" s="553"/>
      <c r="FZ33" s="791"/>
      <c r="GA33" s="320" t="s">
        <v>128</v>
      </c>
      <c r="GB33" s="320" t="s">
        <v>128</v>
      </c>
      <c r="GC33" s="320" t="s">
        <v>128</v>
      </c>
      <c r="GD33" s="320" t="s">
        <v>128</v>
      </c>
      <c r="GE33" s="122">
        <v>43224</v>
      </c>
      <c r="GF33" s="619" t="s">
        <v>128</v>
      </c>
      <c r="GG33" s="122">
        <f t="shared" ref="GG33:GG35" si="77">DATE(YEAR(FC33)+1,MONTH(FC33),DAY(FC33))</f>
        <v>43047</v>
      </c>
      <c r="GH33" s="677">
        <v>91095</v>
      </c>
      <c r="GI33" s="316">
        <v>42795</v>
      </c>
      <c r="GJ33" s="323"/>
      <c r="GK33" s="323"/>
      <c r="GL33" s="323"/>
      <c r="GM33" s="272"/>
      <c r="GN33" s="53"/>
      <c r="GO33" s="316">
        <v>42795</v>
      </c>
      <c r="GP33" s="407" t="s">
        <v>596</v>
      </c>
      <c r="GQ33" s="53" t="s">
        <v>418</v>
      </c>
      <c r="GR33" s="233" t="s">
        <v>128</v>
      </c>
      <c r="GS33" s="183"/>
      <c r="GT33" s="114" t="s">
        <v>128</v>
      </c>
      <c r="GU33" s="53"/>
      <c r="GV33" s="109" t="s">
        <v>120</v>
      </c>
      <c r="GW33" s="612">
        <v>6447379</v>
      </c>
      <c r="GX33" s="10">
        <f t="shared" ref="GX33:GX35" si="78">+HI33+HN33+HU33+IO33</f>
        <v>6447379</v>
      </c>
      <c r="GY33" s="426">
        <f>HJ33+HO33+HV33+IO33+HT33+HZ33+HY33</f>
        <v>7137960</v>
      </c>
      <c r="GZ33" s="797">
        <f t="shared" si="31"/>
        <v>7137960</v>
      </c>
      <c r="HA33" s="12">
        <f t="shared" si="32"/>
        <v>690581</v>
      </c>
      <c r="HB33" s="49">
        <f t="shared" si="33"/>
        <v>2159.6543565476804</v>
      </c>
      <c r="HC33" s="49">
        <f t="shared" si="34"/>
        <v>192917.83783783784</v>
      </c>
      <c r="HD33" s="10">
        <v>5795250</v>
      </c>
      <c r="HE33" s="11">
        <v>6458898</v>
      </c>
      <c r="HF33" s="12">
        <f t="shared" si="35"/>
        <v>663648</v>
      </c>
      <c r="HG33" s="127">
        <f t="shared" si="36"/>
        <v>0.91772955335803885</v>
      </c>
      <c r="HH33" s="128"/>
      <c r="HI33" s="10">
        <v>2155832</v>
      </c>
      <c r="HJ33" s="11">
        <v>2453735</v>
      </c>
      <c r="HK33" s="67"/>
      <c r="HL33" s="23">
        <f t="shared" si="37"/>
        <v>66317.16216216216</v>
      </c>
      <c r="HM33" s="37">
        <f t="shared" si="38"/>
        <v>297903</v>
      </c>
      <c r="HN33" s="10">
        <v>4291546</v>
      </c>
      <c r="HO33" s="11">
        <f t="shared" si="39"/>
        <v>4684224</v>
      </c>
      <c r="HP33" s="13">
        <v>641413</v>
      </c>
      <c r="HQ33" s="13">
        <v>4042811</v>
      </c>
      <c r="HR33" s="37">
        <f t="shared" si="40"/>
        <v>392678</v>
      </c>
      <c r="HS33" s="629">
        <f t="shared" si="41"/>
        <v>126600.64864864865</v>
      </c>
      <c r="HT33" s="11"/>
      <c r="HU33" s="10">
        <v>1</v>
      </c>
      <c r="HV33" s="11">
        <v>1</v>
      </c>
      <c r="HW33" s="67"/>
      <c r="HX33" s="40">
        <f t="shared" si="42"/>
        <v>1.4009604985177837E-7</v>
      </c>
      <c r="HY33" s="631"/>
      <c r="HZ33" s="11">
        <v>0</v>
      </c>
      <c r="IA33" s="24">
        <f t="shared" si="66"/>
        <v>0</v>
      </c>
      <c r="IB33" s="23">
        <f t="shared" si="43"/>
        <v>2.7027027027027029E-2</v>
      </c>
      <c r="IC33" s="49">
        <f t="shared" si="44"/>
        <v>66317.189189189186</v>
      </c>
      <c r="ID33" s="24">
        <f t="shared" si="45"/>
        <v>0</v>
      </c>
      <c r="IE33" s="48"/>
      <c r="IF33" s="48"/>
      <c r="IG33" s="39">
        <v>2196102.662575</v>
      </c>
      <c r="IH33" s="39">
        <v>1303101.6922500001</v>
      </c>
      <c r="II33" s="23">
        <f t="shared" si="46"/>
        <v>101536.15384459461</v>
      </c>
      <c r="IJ33" s="39">
        <v>0</v>
      </c>
      <c r="IK33" s="23">
        <f t="shared" si="47"/>
        <v>101536.15384459461</v>
      </c>
      <c r="IL33" s="50">
        <f t="shared" si="48"/>
        <v>0.41994795777936861</v>
      </c>
      <c r="IM33" s="39">
        <v>388102.52</v>
      </c>
      <c r="IN33" s="39"/>
      <c r="IO33" s="432">
        <v>0</v>
      </c>
      <c r="IP33" s="41">
        <f t="shared" si="49"/>
        <v>9334062.662574999</v>
      </c>
      <c r="IQ33" s="231">
        <v>657747</v>
      </c>
      <c r="IR33" s="231">
        <f t="shared" si="50"/>
        <v>328481</v>
      </c>
      <c r="IS33" s="113">
        <v>40945</v>
      </c>
      <c r="IT33" s="231">
        <v>42492</v>
      </c>
      <c r="IU33" s="231"/>
      <c r="IV33" s="113"/>
      <c r="IW33" s="113"/>
      <c r="IX33" s="231"/>
      <c r="IY33" s="113">
        <v>41407</v>
      </c>
      <c r="IZ33" s="231">
        <v>121749</v>
      </c>
      <c r="JA33" s="113">
        <v>41485</v>
      </c>
      <c r="JB33" s="231">
        <v>65696</v>
      </c>
      <c r="JC33" s="114">
        <v>41570</v>
      </c>
      <c r="JD33" s="321">
        <v>98544</v>
      </c>
      <c r="JE33" s="313"/>
      <c r="JF33" s="313"/>
      <c r="JG33" s="122"/>
      <c r="JH33" s="231"/>
      <c r="JI33" s="122"/>
      <c r="JJ33" s="231"/>
      <c r="JK33" s="114"/>
      <c r="JL33" s="114"/>
      <c r="JM33" s="114"/>
      <c r="JN33" s="114"/>
      <c r="JO33" s="269"/>
      <c r="JP33" s="269"/>
      <c r="JQ33" s="269"/>
      <c r="JR33" s="269"/>
      <c r="JS33" s="269"/>
      <c r="JT33" s="269"/>
      <c r="JU33" s="231">
        <v>121749</v>
      </c>
      <c r="JV33" s="122"/>
      <c r="JW33" s="114"/>
      <c r="JX33" s="122"/>
      <c r="JY33" s="122"/>
      <c r="JZ33" s="114"/>
    </row>
    <row r="34" spans="1:286" ht="15" customHeight="1">
      <c r="A34" s="25" t="s">
        <v>338</v>
      </c>
      <c r="B34" s="655"/>
      <c r="C34" s="7" t="s">
        <v>34</v>
      </c>
      <c r="D34" s="7" t="s">
        <v>113</v>
      </c>
      <c r="E34" s="7">
        <v>2013</v>
      </c>
      <c r="F34" s="7" t="s">
        <v>49</v>
      </c>
      <c r="G34" s="7" t="s">
        <v>317</v>
      </c>
      <c r="H34" s="835"/>
      <c r="I34" s="7" t="s">
        <v>250</v>
      </c>
      <c r="J34" s="53"/>
      <c r="K34" s="53" t="s">
        <v>370</v>
      </c>
      <c r="L34" s="255"/>
      <c r="M34" s="162" t="s">
        <v>59</v>
      </c>
      <c r="N34" s="104" t="s">
        <v>67</v>
      </c>
      <c r="O34" s="105"/>
      <c r="P34" s="65"/>
      <c r="Q34" s="65"/>
      <c r="R34" s="65"/>
      <c r="S34" s="65"/>
      <c r="T34" s="65"/>
      <c r="U34" s="65"/>
      <c r="V34" s="65"/>
      <c r="W34" s="65"/>
      <c r="X34" s="65"/>
      <c r="Y34" s="64"/>
      <c r="Z34" s="64" t="e">
        <f t="shared" si="51"/>
        <v>#DIV/0!</v>
      </c>
      <c r="AA34" s="64"/>
      <c r="AB34" s="210"/>
      <c r="AC34" s="751"/>
      <c r="AD34" s="7" t="s">
        <v>16</v>
      </c>
      <c r="AE34" s="771">
        <f t="shared" ref="AE34:AE35" si="79">SUM(AG34:AJ34)</f>
        <v>44</v>
      </c>
      <c r="AF34" s="771">
        <f t="shared" ref="AF34:AF35" si="80">AE34-AJ34</f>
        <v>44</v>
      </c>
      <c r="AG34" s="8"/>
      <c r="AH34" s="7">
        <v>44</v>
      </c>
      <c r="AI34" s="53"/>
      <c r="AJ34" s="53"/>
      <c r="AK34" s="807"/>
      <c r="AL34" s="9">
        <v>3272.11</v>
      </c>
      <c r="AM34" s="57"/>
      <c r="AN34" s="82">
        <v>3318.11</v>
      </c>
      <c r="AO34" s="9">
        <f t="shared" si="2"/>
        <v>75.411590909090918</v>
      </c>
      <c r="AP34" s="59"/>
      <c r="AQ34" s="59"/>
      <c r="AR34" s="59"/>
      <c r="AS34" s="59"/>
      <c r="AT34" s="59"/>
      <c r="AU34" s="9"/>
      <c r="AV34" s="76"/>
      <c r="AW34" s="78" t="e">
        <f t="shared" si="65"/>
        <v>#DIV/0!</v>
      </c>
      <c r="AX34" s="57">
        <v>3.5</v>
      </c>
      <c r="AY34" s="56" t="s">
        <v>549</v>
      </c>
      <c r="AZ34" s="20" t="s">
        <v>120</v>
      </c>
      <c r="BA34" s="54"/>
      <c r="BB34" s="54"/>
      <c r="BC34" s="54"/>
      <c r="BD34" s="184">
        <v>41170</v>
      </c>
      <c r="BE34" s="184">
        <v>40963</v>
      </c>
      <c r="BF34" s="108" t="s">
        <v>11</v>
      </c>
      <c r="BG34" s="108" t="s">
        <v>148</v>
      </c>
      <c r="BH34" s="710">
        <v>220000</v>
      </c>
      <c r="BI34" s="204">
        <v>41465</v>
      </c>
      <c r="BJ34" s="99"/>
      <c r="BK34" s="99">
        <v>41537</v>
      </c>
      <c r="BL34" s="204">
        <v>41543</v>
      </c>
      <c r="BM34" s="99"/>
      <c r="BN34" s="160">
        <v>41549</v>
      </c>
      <c r="BO34" s="202">
        <v>41583</v>
      </c>
      <c r="BP34" s="161">
        <f>DATE(YEAR(BO34),MONTH(BO34)+3,DAY(BO34))</f>
        <v>41675</v>
      </c>
      <c r="BQ34" s="161"/>
      <c r="BR34" s="299">
        <v>41659</v>
      </c>
      <c r="BS34" s="298">
        <f t="shared" ref="BS34:BS35" si="81">DATE(YEAR(BR34),MONTH(BR34)+24,DAY(BR34))</f>
        <v>42389</v>
      </c>
      <c r="BT34" s="298">
        <f t="shared" ref="BT34:BT35" si="82">DATE(YEAR(BR34),MONTH(BR34)+36,DAY(BR34))</f>
        <v>42755</v>
      </c>
      <c r="BU34" s="298"/>
      <c r="BV34" s="298" t="str">
        <f t="shared" si="64"/>
        <v>oui</v>
      </c>
      <c r="BW34" s="672">
        <f t="shared" ref="BW34:BW35" si="83">DATEDIF(FK34,BT34,"M")</f>
        <v>1</v>
      </c>
      <c r="BX34" s="672">
        <f t="shared" ref="BX34:BX35" si="84">BW34*FN34</f>
        <v>17948.329338702748</v>
      </c>
      <c r="BY34" s="672">
        <f t="shared" ref="BY34:BY35" si="85">IF((BX34-BU34&gt;0),0,(BX34-BU34))</f>
        <v>0</v>
      </c>
      <c r="BZ34" s="824"/>
      <c r="CA34" s="828">
        <v>41659</v>
      </c>
      <c r="CB34" s="826"/>
      <c r="CC34" s="826"/>
      <c r="CD34" s="826"/>
      <c r="CE34" s="826"/>
      <c r="CF34" s="819"/>
      <c r="CG34" s="819"/>
      <c r="CH34" s="819"/>
      <c r="CI34" s="819"/>
      <c r="CJ34" s="819"/>
      <c r="CK34" s="819"/>
      <c r="CL34" s="819"/>
      <c r="CM34" s="827"/>
      <c r="CN34" s="827"/>
      <c r="CO34" s="827"/>
      <c r="CP34" s="827"/>
      <c r="CQ34" s="827"/>
      <c r="CR34" s="827"/>
      <c r="CS34" s="156"/>
      <c r="CT34" s="307">
        <v>41635</v>
      </c>
      <c r="CU34" s="250"/>
      <c r="CV34" s="157">
        <v>13003860.789999999</v>
      </c>
      <c r="CW34" s="581">
        <f t="shared" si="61"/>
        <v>42182</v>
      </c>
      <c r="CX34" s="405">
        <f t="shared" si="62"/>
        <v>42365</v>
      </c>
      <c r="CY34" s="340">
        <v>42159</v>
      </c>
      <c r="CZ34" s="405"/>
      <c r="DA34" s="405"/>
      <c r="DB34" s="122"/>
      <c r="DC34" s="122"/>
      <c r="DD34" s="122"/>
      <c r="DE34" s="523" t="str">
        <f t="shared" ref="DE34:DE35" si="86">IF(AND(DC34&gt;0,DD34&gt;0),DD34-DC34,"0")</f>
        <v>0</v>
      </c>
      <c r="DF34" s="122"/>
      <c r="DG34" s="122"/>
      <c r="DH34" s="523" t="str">
        <f t="shared" ref="DH34:DH35" si="87">IF(AND(DF34&gt;0,DG34&gt;0),DG34-DF34,"0")</f>
        <v>0</v>
      </c>
      <c r="DI34" s="122"/>
      <c r="DJ34" s="122"/>
      <c r="DK34" s="523" t="str">
        <f t="shared" ref="DK34:DK35" si="88">IF(AND(DI34&gt;0,DJ34&gt;0),DJ34-DI34,"0")</f>
        <v>0</v>
      </c>
      <c r="DL34" s="122"/>
      <c r="DM34" s="122"/>
      <c r="DN34" s="523" t="str">
        <f t="shared" ref="DN34:DN35" si="89">IF(AND(DL34&gt;0,DM34&gt;0),DM34-DL34,"0")</f>
        <v>0</v>
      </c>
      <c r="DO34" s="125"/>
      <c r="DP34" s="569"/>
      <c r="DQ34" s="523" t="str">
        <f t="shared" ref="DQ34:DQ35" si="90">IF(AND(DO34&gt;0,DP34&gt;0),DP34-DO34,"0")</f>
        <v>0</v>
      </c>
      <c r="DR34" s="453"/>
      <c r="DS34" s="231"/>
      <c r="DT34" s="122"/>
      <c r="DU34" s="231"/>
      <c r="DV34" s="523" t="str">
        <f t="shared" ref="DV34:DV35" si="91">IF(AND(DT34&gt;0,DU34&gt;0),DU34-DT34,"0")</f>
        <v>0</v>
      </c>
      <c r="DW34" s="122"/>
      <c r="DX34" s="347">
        <v>41801</v>
      </c>
      <c r="DY34" s="341">
        <v>2014</v>
      </c>
      <c r="DZ34" s="443">
        <f t="shared" ref="DZ34:DZ35" si="92">(DATEDIF(BI34,DX34,"d"))/30</f>
        <v>11.2</v>
      </c>
      <c r="EA34" s="523" t="str">
        <f t="shared" ref="EA34:EA35" si="93">IF(AND(DW34&gt;0,DX34&gt;0),DX34-DW34,"0")</f>
        <v>0</v>
      </c>
      <c r="EB34" s="240">
        <v>24</v>
      </c>
      <c r="EC34" s="116">
        <f t="shared" ref="EC34:EC35" si="94">DATEDIF(DX34,FC34,"M")</f>
        <v>28</v>
      </c>
      <c r="ED34" s="122"/>
      <c r="EE34" s="231"/>
      <c r="EF34" s="523" t="str">
        <f t="shared" ref="EF34:EF35" si="95">IF(AND(ED34&gt;0,EE34&gt;0),EE34-ED34,"0")</f>
        <v>0</v>
      </c>
      <c r="EG34" s="570"/>
      <c r="EH34" s="567"/>
      <c r="EI34" s="526" t="str">
        <f t="shared" ref="EI34:EI35" si="96">IF(AND(EG34&gt;0,EH34&gt;0),EH34-EG34,"0")</f>
        <v>0</v>
      </c>
      <c r="EJ34" s="125"/>
      <c r="EK34" s="315"/>
      <c r="EL34" s="523" t="str">
        <f t="shared" ref="EL34:EL35" si="97">IF(AND(EJ34&gt;0,EK34&gt;0),EK34-EJ34,"0")</f>
        <v>0</v>
      </c>
      <c r="EM34" s="122"/>
      <c r="EN34" s="122"/>
      <c r="EO34" s="523" t="str">
        <f t="shared" ref="EO34:EO35" si="98">IF(AND(EM34&gt;0,EN34&gt;0),EN34-EM34,"0")</f>
        <v>0</v>
      </c>
      <c r="EP34" s="122"/>
      <c r="EQ34" s="122"/>
      <c r="ER34" s="523" t="str">
        <f t="shared" ref="ER34:ER35" si="99">IF(AND(EP34&gt;0,EQ34&gt;0),EQ34-EP34,"0")</f>
        <v>0</v>
      </c>
      <c r="ES34" s="122"/>
      <c r="ET34" s="122"/>
      <c r="EU34" s="523" t="str">
        <f t="shared" ref="EU34:EU35" si="100">IF(AND(ES34&gt;0,ET34&gt;0),ET34-ES34,"0")</f>
        <v>0</v>
      </c>
      <c r="EV34" s="122"/>
      <c r="EW34" s="122"/>
      <c r="EX34" s="523" t="str">
        <f t="shared" ref="EX34:EX35" si="101">IF(AND(EV34&gt;0,EW34&gt;0),EW34-EV34,"0")</f>
        <v>0</v>
      </c>
      <c r="EY34" s="122"/>
      <c r="EZ34" s="122"/>
      <c r="FA34" s="122"/>
      <c r="FB34" s="572">
        <f t="shared" ref="FB34:FB35" si="102">DATE(YEAR(DX34),MONTH(DX34)+EB34,DAY(DX34))</f>
        <v>42532</v>
      </c>
      <c r="FC34" s="347">
        <v>42682</v>
      </c>
      <c r="FD34" s="707">
        <f t="shared" ref="FD34:FD35" si="103">(DATEDIF(FB34,FC34,"d"))/30</f>
        <v>5</v>
      </c>
      <c r="FE34" s="626">
        <v>42735</v>
      </c>
      <c r="FF34" s="115">
        <v>42726</v>
      </c>
      <c r="FG34" s="115">
        <v>42538</v>
      </c>
      <c r="FH34" s="115">
        <v>42692</v>
      </c>
      <c r="FI34" s="115"/>
      <c r="FJ34" s="455">
        <f t="shared" si="26"/>
        <v>42562</v>
      </c>
      <c r="FK34" s="349">
        <v>42704</v>
      </c>
      <c r="FL34" s="343">
        <v>2016</v>
      </c>
      <c r="FM34" s="704">
        <f t="shared" ref="FM34:FM35" si="104">(DATEDIF(FJ34,FK34,"d"))/30</f>
        <v>4.7333333333333334</v>
      </c>
      <c r="FN34" s="694">
        <f>215379.952064433/12</f>
        <v>17948.329338702748</v>
      </c>
      <c r="FO34" s="314">
        <f t="shared" ref="FO34:FO35" si="105">FN34*FM34</f>
        <v>84955.425536526338</v>
      </c>
      <c r="FP34" s="115">
        <v>42670</v>
      </c>
      <c r="FQ34" s="114"/>
      <c r="FR34" s="677">
        <f t="shared" si="76"/>
        <v>0</v>
      </c>
      <c r="FS34" s="231"/>
      <c r="FT34" s="231"/>
      <c r="FU34" s="231"/>
      <c r="FV34" s="750"/>
      <c r="FW34" s="553"/>
      <c r="FX34" s="566" t="s">
        <v>735</v>
      </c>
      <c r="FY34" s="553"/>
      <c r="FZ34" s="553"/>
      <c r="GA34" s="320" t="s">
        <v>128</v>
      </c>
      <c r="GB34" s="320" t="s">
        <v>128</v>
      </c>
      <c r="GC34" s="320" t="s">
        <v>128</v>
      </c>
      <c r="GD34" s="320" t="s">
        <v>128</v>
      </c>
      <c r="GE34" s="122">
        <v>43224</v>
      </c>
      <c r="GF34" s="619" t="s">
        <v>128</v>
      </c>
      <c r="GG34" s="122">
        <f t="shared" si="77"/>
        <v>43047</v>
      </c>
      <c r="GH34" s="677">
        <v>82104</v>
      </c>
      <c r="GI34" s="316">
        <v>42795</v>
      </c>
      <c r="GJ34" s="323"/>
      <c r="GK34" s="323"/>
      <c r="GL34" s="323"/>
      <c r="GM34" s="272"/>
      <c r="GN34" s="53"/>
      <c r="GO34" s="261">
        <v>42795</v>
      </c>
      <c r="GP34" s="407" t="s">
        <v>596</v>
      </c>
      <c r="GQ34" s="53" t="s">
        <v>418</v>
      </c>
      <c r="GR34" s="233" t="s">
        <v>128</v>
      </c>
      <c r="GS34" s="183"/>
      <c r="GT34" s="53"/>
      <c r="GU34" s="53"/>
      <c r="GV34" s="109" t="s">
        <v>120</v>
      </c>
      <c r="GW34" s="612">
        <v>6402537</v>
      </c>
      <c r="GX34" s="10">
        <f t="shared" si="78"/>
        <v>6402537</v>
      </c>
      <c r="GY34" s="426">
        <f>HJ34+HO34+HV34+IO34+HT34+HZ34+HY34</f>
        <v>6464079</v>
      </c>
      <c r="GZ34" s="797">
        <f t="shared" ref="GZ34:GZ35" si="106">GY34</f>
        <v>6464079</v>
      </c>
      <c r="HA34" s="12">
        <f t="shared" si="32"/>
        <v>61542</v>
      </c>
      <c r="HB34" s="49">
        <f t="shared" ref="HB34:HB35" si="107">GY34/AL34</f>
        <v>1975.5078527311123</v>
      </c>
      <c r="HC34" s="49">
        <f t="shared" ref="HC34:HC35" si="108">GY34/AE34</f>
        <v>146910.88636363635</v>
      </c>
      <c r="HD34" s="10">
        <v>5737343</v>
      </c>
      <c r="HE34" s="11">
        <v>5833192</v>
      </c>
      <c r="HF34" s="12">
        <f t="shared" ref="HF34:HF35" si="109">HE34-HD34</f>
        <v>95849</v>
      </c>
      <c r="HG34" s="127">
        <f t="shared" si="36"/>
        <v>0.91492281934489406</v>
      </c>
      <c r="HH34" s="128"/>
      <c r="HI34" s="10">
        <v>1799492</v>
      </c>
      <c r="HJ34" s="11">
        <v>1905132</v>
      </c>
      <c r="HK34" s="67"/>
      <c r="HL34" s="23">
        <f t="shared" ref="HL34:HL35" si="110">HJ34/AE34</f>
        <v>43298.454545454544</v>
      </c>
      <c r="HM34" s="37">
        <f t="shared" si="38"/>
        <v>105640</v>
      </c>
      <c r="HN34" s="10">
        <v>3703045</v>
      </c>
      <c r="HO34" s="11">
        <f t="shared" si="39"/>
        <v>3678947</v>
      </c>
      <c r="HP34" s="13">
        <v>473086</v>
      </c>
      <c r="HQ34" s="13">
        <v>3205861</v>
      </c>
      <c r="HR34" s="37">
        <f t="shared" si="40"/>
        <v>-24098</v>
      </c>
      <c r="HS34" s="629">
        <f t="shared" ref="HS34:HS35" si="111">HO34/AE34</f>
        <v>83612.431818181823</v>
      </c>
      <c r="HT34" s="11"/>
      <c r="HU34" s="10">
        <v>900000</v>
      </c>
      <c r="HV34" s="11">
        <v>880000</v>
      </c>
      <c r="HW34" s="67"/>
      <c r="HX34" s="40">
        <f t="shared" ref="HX34:HX35" si="112">HV34/GY34</f>
        <v>0.13613695005893336</v>
      </c>
      <c r="HY34" s="631"/>
      <c r="HZ34" s="11">
        <v>0</v>
      </c>
      <c r="IA34" s="24">
        <f t="shared" si="66"/>
        <v>-20000</v>
      </c>
      <c r="IB34" s="23">
        <f t="shared" ref="IB34:IB35" si="113">HV34/AE34</f>
        <v>20000</v>
      </c>
      <c r="IC34" s="49">
        <f t="shared" ref="IC34:IC35" si="114">(HJ34+HV34)/AE34</f>
        <v>63298.454545454544</v>
      </c>
      <c r="ID34" s="24">
        <f t="shared" si="45"/>
        <v>-454.54545454545456</v>
      </c>
      <c r="IE34" s="48"/>
      <c r="IF34" s="48"/>
      <c r="IG34" s="39">
        <v>0</v>
      </c>
      <c r="IH34" s="39">
        <v>0</v>
      </c>
      <c r="II34" s="23">
        <f t="shared" si="46"/>
        <v>63298.454545454544</v>
      </c>
      <c r="IJ34" s="39">
        <v>0</v>
      </c>
      <c r="IK34" s="23">
        <f t="shared" si="47"/>
        <v>63298.454545454544</v>
      </c>
      <c r="IL34" s="50">
        <f t="shared" si="48"/>
        <v>0.45371634850544579</v>
      </c>
      <c r="IM34" s="39">
        <v>325591.79499999998</v>
      </c>
      <c r="IN34" s="39"/>
      <c r="IO34" s="11">
        <v>0</v>
      </c>
      <c r="IP34" s="41">
        <f t="shared" si="49"/>
        <v>6464079</v>
      </c>
      <c r="IQ34" s="231"/>
      <c r="IR34" s="231">
        <f t="shared" si="50"/>
        <v>0</v>
      </c>
      <c r="IS34" s="113"/>
      <c r="IT34" s="231"/>
      <c r="IU34" s="231"/>
      <c r="IV34" s="113"/>
      <c r="IW34" s="113"/>
      <c r="IX34" s="231"/>
      <c r="IY34" s="113"/>
      <c r="IZ34" s="231"/>
      <c r="JA34" s="113"/>
      <c r="JB34" s="231"/>
      <c r="JC34" s="114"/>
      <c r="JD34" s="321"/>
      <c r="JE34" s="313"/>
      <c r="JF34" s="313"/>
      <c r="JG34" s="122"/>
      <c r="JH34" s="231"/>
      <c r="JI34" s="122"/>
      <c r="JJ34" s="231"/>
      <c r="JK34" s="323"/>
      <c r="JL34" s="323"/>
      <c r="JM34" s="323"/>
      <c r="JN34" s="323"/>
      <c r="JO34" s="269"/>
      <c r="JP34" s="269"/>
      <c r="JQ34" s="269"/>
      <c r="JR34" s="269"/>
      <c r="JS34" s="269"/>
      <c r="JT34" s="269"/>
      <c r="JU34" s="231"/>
      <c r="JV34" s="122"/>
      <c r="JW34" s="114"/>
      <c r="JX34" s="122"/>
      <c r="JY34" s="122"/>
      <c r="JZ34" s="114"/>
    </row>
    <row r="35" spans="1:286" ht="15" customHeight="1">
      <c r="A35" s="83" t="s">
        <v>298</v>
      </c>
      <c r="B35" s="98"/>
      <c r="C35" s="7" t="s">
        <v>39</v>
      </c>
      <c r="D35" s="7" t="s">
        <v>114</v>
      </c>
      <c r="E35" s="7">
        <v>2014</v>
      </c>
      <c r="F35" s="7" t="s">
        <v>159</v>
      </c>
      <c r="G35" s="7" t="s">
        <v>30</v>
      </c>
      <c r="H35" s="7" t="s">
        <v>463</v>
      </c>
      <c r="I35" s="20" t="s">
        <v>173</v>
      </c>
      <c r="J35" s="53"/>
      <c r="K35" s="53"/>
      <c r="L35" s="255" t="s">
        <v>376</v>
      </c>
      <c r="M35" s="162" t="s">
        <v>60</v>
      </c>
      <c r="N35" s="104" t="s">
        <v>138</v>
      </c>
      <c r="O35" s="105"/>
      <c r="P35" s="213">
        <v>2529</v>
      </c>
      <c r="Q35" s="213">
        <f>R35</f>
        <v>217810</v>
      </c>
      <c r="R35" s="213">
        <v>217810</v>
      </c>
      <c r="S35" s="207">
        <f t="shared" ref="S35" si="115">Q35/AE35</f>
        <v>7260.333333333333</v>
      </c>
      <c r="T35" s="213">
        <f t="shared" ref="T35" si="116">Q35/P35</f>
        <v>86.124950573349153</v>
      </c>
      <c r="U35" s="213">
        <f t="shared" ref="U35" si="117">R35/P35</f>
        <v>86.124950573349153</v>
      </c>
      <c r="V35" s="213">
        <f t="shared" ref="V35" si="118">R35/AN35</f>
        <v>84.317900278724068</v>
      </c>
      <c r="W35" s="213">
        <f t="shared" ref="W35" si="119">R35/AE35</f>
        <v>7260.333333333333</v>
      </c>
      <c r="X35" s="207">
        <f t="shared" ref="X35" si="120">P35/AE35</f>
        <v>84.3</v>
      </c>
      <c r="Y35" s="216">
        <f>523.3+554</f>
        <v>1077.3</v>
      </c>
      <c r="Z35" s="905">
        <f t="shared" si="51"/>
        <v>118.62396204033215</v>
      </c>
      <c r="AA35" s="216"/>
      <c r="AB35" s="210">
        <v>110</v>
      </c>
      <c r="AC35" s="211"/>
      <c r="AD35" s="7" t="s">
        <v>16</v>
      </c>
      <c r="AE35" s="771">
        <f t="shared" si="79"/>
        <v>30</v>
      </c>
      <c r="AF35" s="771">
        <f t="shared" si="80"/>
        <v>30</v>
      </c>
      <c r="AG35" s="8"/>
      <c r="AH35" s="7">
        <v>30</v>
      </c>
      <c r="AI35" s="53"/>
      <c r="AJ35" s="53"/>
      <c r="AK35" s="269"/>
      <c r="AL35" s="9">
        <v>2546.5500000000002</v>
      </c>
      <c r="AM35" s="57"/>
      <c r="AN35" s="82">
        <v>2583.1999999999998</v>
      </c>
      <c r="AO35" s="9">
        <f t="shared" si="2"/>
        <v>86.106666666666655</v>
      </c>
      <c r="AP35" s="78">
        <f>2/AE35</f>
        <v>6.6666666666666666E-2</v>
      </c>
      <c r="AQ35" s="78">
        <f>12/AE35</f>
        <v>0.4</v>
      </c>
      <c r="AR35" s="78">
        <f>12/AE35</f>
        <v>0.4</v>
      </c>
      <c r="AS35" s="78">
        <f>3/AE35</f>
        <v>0.1</v>
      </c>
      <c r="AT35" s="78">
        <f>1/AE35</f>
        <v>3.3333333333333333E-2</v>
      </c>
      <c r="AU35" s="9"/>
      <c r="AV35" s="76">
        <v>0</v>
      </c>
      <c r="AW35" s="78">
        <f t="shared" si="65"/>
        <v>0</v>
      </c>
      <c r="AX35" s="57">
        <v>4</v>
      </c>
      <c r="AY35" s="56" t="s">
        <v>549</v>
      </c>
      <c r="AZ35" s="7" t="s">
        <v>120</v>
      </c>
      <c r="BA35" s="53"/>
      <c r="BB35" s="53"/>
      <c r="BC35" s="53"/>
      <c r="BD35" s="184">
        <v>41667</v>
      </c>
      <c r="BE35" s="53"/>
      <c r="BF35" s="108" t="s">
        <v>11</v>
      </c>
      <c r="BG35" s="108" t="s">
        <v>239</v>
      </c>
      <c r="BH35" s="35"/>
      <c r="BI35" s="204">
        <v>41890</v>
      </c>
      <c r="BJ35" s="99"/>
      <c r="BK35" s="99" t="s">
        <v>128</v>
      </c>
      <c r="BL35" s="204">
        <v>42256</v>
      </c>
      <c r="BM35" s="99"/>
      <c r="BN35" s="160">
        <v>42233</v>
      </c>
      <c r="BO35" s="202">
        <v>42262</v>
      </c>
      <c r="BP35" s="161">
        <v>42353</v>
      </c>
      <c r="BQ35" s="161">
        <v>42269</v>
      </c>
      <c r="BR35" s="299">
        <f>BO35</f>
        <v>42262</v>
      </c>
      <c r="BS35" s="298">
        <f t="shared" si="81"/>
        <v>42993</v>
      </c>
      <c r="BT35" s="298">
        <f t="shared" si="82"/>
        <v>43358</v>
      </c>
      <c r="BU35" s="298"/>
      <c r="BV35" s="298" t="str">
        <f t="shared" si="64"/>
        <v>oui</v>
      </c>
      <c r="BW35" s="672">
        <f t="shared" si="83"/>
        <v>0</v>
      </c>
      <c r="BX35" s="672">
        <f t="shared" si="84"/>
        <v>0</v>
      </c>
      <c r="BY35" s="672">
        <f t="shared" si="85"/>
        <v>0</v>
      </c>
      <c r="BZ35" s="824" t="s">
        <v>128</v>
      </c>
      <c r="CA35" s="817" t="s">
        <v>388</v>
      </c>
      <c r="CB35" s="830" t="s">
        <v>387</v>
      </c>
      <c r="CC35" s="830"/>
      <c r="CD35" s="830"/>
      <c r="CE35" s="830"/>
      <c r="CF35" s="819" t="s">
        <v>345</v>
      </c>
      <c r="CG35" s="819"/>
      <c r="CH35" s="819"/>
      <c r="CI35" s="819"/>
      <c r="CJ35" s="819"/>
      <c r="CK35" s="819"/>
      <c r="CL35" s="819"/>
      <c r="CM35" s="819">
        <v>42410</v>
      </c>
      <c r="CN35" s="819"/>
      <c r="CO35" s="819"/>
      <c r="CP35" s="819"/>
      <c r="CQ35" s="819"/>
      <c r="CR35" s="819"/>
      <c r="CS35" s="156" t="s">
        <v>64</v>
      </c>
      <c r="CT35" s="307">
        <v>42725</v>
      </c>
      <c r="CU35" s="250" t="s">
        <v>540</v>
      </c>
      <c r="CV35" s="157">
        <v>4558993.83</v>
      </c>
      <c r="CW35" s="307">
        <f>DATE(YEAR(CT35),MONTH(CT35)+6,DAY(CT35))</f>
        <v>42907</v>
      </c>
      <c r="CX35" s="405">
        <v>42908</v>
      </c>
      <c r="CY35" s="307">
        <v>42907</v>
      </c>
      <c r="CZ35" s="256">
        <f>DATE(YEAR(CT35),MONTH(CT35)+24,DAY(CT35))</f>
        <v>43455</v>
      </c>
      <c r="DA35" s="597">
        <f>(FK35-CZ35)/30</f>
        <v>-3.8666666666666667</v>
      </c>
      <c r="DB35" s="122">
        <v>41543</v>
      </c>
      <c r="DC35" s="122">
        <v>41544</v>
      </c>
      <c r="DD35" s="122">
        <v>41554</v>
      </c>
      <c r="DE35" s="523">
        <f t="shared" si="86"/>
        <v>10</v>
      </c>
      <c r="DF35" s="122">
        <v>41676</v>
      </c>
      <c r="DG35" s="122">
        <v>41625</v>
      </c>
      <c r="DH35" s="523">
        <f t="shared" si="87"/>
        <v>-51</v>
      </c>
      <c r="DI35" s="122">
        <v>41708</v>
      </c>
      <c r="DJ35" s="122">
        <v>41708</v>
      </c>
      <c r="DK35" s="523">
        <f t="shared" si="88"/>
        <v>0</v>
      </c>
      <c r="DL35" s="122">
        <v>41835</v>
      </c>
      <c r="DM35" s="122">
        <v>41835</v>
      </c>
      <c r="DN35" s="523">
        <f t="shared" si="89"/>
        <v>0</v>
      </c>
      <c r="DO35" s="122">
        <v>41892</v>
      </c>
      <c r="DP35" s="122">
        <v>41892</v>
      </c>
      <c r="DQ35" s="523">
        <f t="shared" si="90"/>
        <v>0</v>
      </c>
      <c r="DR35" s="78"/>
      <c r="DS35" s="122">
        <v>42055</v>
      </c>
      <c r="DT35" s="122">
        <v>42368</v>
      </c>
      <c r="DU35" s="122">
        <v>42772</v>
      </c>
      <c r="DV35" s="523">
        <f t="shared" si="91"/>
        <v>404</v>
      </c>
      <c r="DW35" s="122">
        <v>42787</v>
      </c>
      <c r="DX35" s="757">
        <v>42772</v>
      </c>
      <c r="DY35" s="343">
        <v>2017</v>
      </c>
      <c r="DZ35" s="444">
        <f t="shared" si="92"/>
        <v>29.4</v>
      </c>
      <c r="EA35" s="523">
        <f t="shared" si="93"/>
        <v>-15</v>
      </c>
      <c r="EB35" s="240">
        <v>16</v>
      </c>
      <c r="EC35" s="116">
        <f t="shared" si="94"/>
        <v>18</v>
      </c>
      <c r="ED35" s="122">
        <v>42839</v>
      </c>
      <c r="EE35" s="122">
        <v>42839</v>
      </c>
      <c r="EF35" s="523">
        <f t="shared" si="95"/>
        <v>0</v>
      </c>
      <c r="EG35" s="876">
        <v>42908</v>
      </c>
      <c r="EH35" s="524">
        <v>42907</v>
      </c>
      <c r="EI35" s="526">
        <f t="shared" si="96"/>
        <v>-1</v>
      </c>
      <c r="EJ35" s="525">
        <v>43144</v>
      </c>
      <c r="EK35" s="525">
        <v>43088</v>
      </c>
      <c r="EL35" s="523">
        <f t="shared" si="97"/>
        <v>-56</v>
      </c>
      <c r="EM35" s="122">
        <v>43189</v>
      </c>
      <c r="EN35" s="122">
        <v>43189</v>
      </c>
      <c r="EO35" s="523">
        <f t="shared" si="98"/>
        <v>0</v>
      </c>
      <c r="EP35" s="122">
        <v>43147</v>
      </c>
      <c r="EQ35" s="122">
        <v>43209</v>
      </c>
      <c r="ER35" s="685">
        <f t="shared" si="99"/>
        <v>62</v>
      </c>
      <c r="ES35" s="315">
        <v>43168</v>
      </c>
      <c r="ET35" s="315">
        <f ca="1">IF(ES35&lt;TODAY(),TODAY(),ES35)</f>
        <v>43423</v>
      </c>
      <c r="EU35" s="685">
        <f t="shared" ca="1" si="100"/>
        <v>255</v>
      </c>
      <c r="EV35" s="315">
        <v>43238</v>
      </c>
      <c r="EW35" s="315">
        <f ca="1">IF(EV35&lt;TODAY(),TODAY(),EV35)</f>
        <v>43423</v>
      </c>
      <c r="EX35" s="685">
        <f t="shared" ca="1" si="101"/>
        <v>185</v>
      </c>
      <c r="EY35" s="315">
        <v>43224</v>
      </c>
      <c r="EZ35" s="315">
        <v>43224</v>
      </c>
      <c r="FA35" s="315">
        <v>43160</v>
      </c>
      <c r="FB35" s="729">
        <f t="shared" si="102"/>
        <v>43257</v>
      </c>
      <c r="FC35" s="730">
        <v>43319</v>
      </c>
      <c r="FD35" s="726">
        <f t="shared" si="103"/>
        <v>2.0666666666666669</v>
      </c>
      <c r="FE35" s="461">
        <f t="shared" ref="FE35" si="121">DATE(YEAR(CY35)+2,MONTH(CY35),DAY(CY35))</f>
        <v>43637</v>
      </c>
      <c r="FF35" s="186"/>
      <c r="FG35" s="234">
        <v>42702</v>
      </c>
      <c r="FH35" s="115">
        <f>DATE(YEAR(FC35),MONTH(FC35),DAY(FC35)+15)</f>
        <v>43334</v>
      </c>
      <c r="FI35" s="455" t="s">
        <v>825</v>
      </c>
      <c r="FJ35" s="455">
        <f>DATE(YEAR(FB35),MONTH(FB35),DAY(FB35)+15)</f>
        <v>43272</v>
      </c>
      <c r="FK35" s="349">
        <v>43339</v>
      </c>
      <c r="FL35" s="441">
        <v>2018</v>
      </c>
      <c r="FM35" s="794">
        <f t="shared" si="104"/>
        <v>2.2333333333333334</v>
      </c>
      <c r="FN35" s="696">
        <f>154560.988069324/12</f>
        <v>12880.082339110333</v>
      </c>
      <c r="FO35" s="232">
        <f t="shared" si="105"/>
        <v>28765.517224013078</v>
      </c>
      <c r="FP35" s="117">
        <v>43278</v>
      </c>
      <c r="FQ35" s="556">
        <v>0</v>
      </c>
      <c r="FR35" s="556">
        <v>0</v>
      </c>
      <c r="FS35" s="556">
        <f>99194.95*1.021</f>
        <v>101278.04394999999</v>
      </c>
      <c r="FT35" s="556"/>
      <c r="FU35" s="556">
        <v>84397</v>
      </c>
      <c r="FV35" s="749">
        <f t="shared" ref="FV35" si="122">FU35/GY35</f>
        <v>1.7698085099779645E-2</v>
      </c>
      <c r="FW35" s="554" t="s">
        <v>695</v>
      </c>
      <c r="FX35" s="760"/>
      <c r="FY35" s="650" t="s">
        <v>829</v>
      </c>
      <c r="FZ35" s="650" t="s">
        <v>779</v>
      </c>
      <c r="GA35" s="121"/>
      <c r="GB35" s="121" t="s">
        <v>958</v>
      </c>
      <c r="GC35" s="121"/>
      <c r="GD35" s="121"/>
      <c r="GE35" s="121"/>
      <c r="GF35" s="53"/>
      <c r="GG35" s="280">
        <f t="shared" si="77"/>
        <v>43684</v>
      </c>
      <c r="GH35" s="280"/>
      <c r="GI35" s="53"/>
      <c r="GJ35" s="184">
        <v>43417</v>
      </c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109"/>
      <c r="GW35" s="112"/>
      <c r="GX35" s="10">
        <f t="shared" si="78"/>
        <v>4943575.0199999996</v>
      </c>
      <c r="GY35" s="11">
        <f>HJ35+HO35+HV35+IO35+HW35+HZ35</f>
        <v>4768708</v>
      </c>
      <c r="GZ35" s="797">
        <f t="shared" si="106"/>
        <v>4768708</v>
      </c>
      <c r="HA35" s="12">
        <f t="shared" si="32"/>
        <v>-174867.01999999955</v>
      </c>
      <c r="HB35" s="49">
        <f t="shared" si="107"/>
        <v>1872.6151067130038</v>
      </c>
      <c r="HC35" s="49">
        <f t="shared" si="108"/>
        <v>158956.93333333332</v>
      </c>
      <c r="HD35" s="10">
        <v>4386257</v>
      </c>
      <c r="HE35" s="11">
        <v>3720168</v>
      </c>
      <c r="HF35" s="12">
        <f t="shared" si="109"/>
        <v>-666089</v>
      </c>
      <c r="HG35" s="127">
        <f t="shared" ref="HG35" si="123">HE35*1.021/GY35</f>
        <v>0.7965032725845238</v>
      </c>
      <c r="HH35" s="128"/>
      <c r="HI35" s="10">
        <v>1393063.02</v>
      </c>
      <c r="HJ35" s="11">
        <v>1462622</v>
      </c>
      <c r="HK35" s="645"/>
      <c r="HL35" s="23">
        <f t="shared" si="110"/>
        <v>48754.066666666666</v>
      </c>
      <c r="HM35" s="37">
        <f t="shared" si="38"/>
        <v>69558.979999999981</v>
      </c>
      <c r="HN35" s="10">
        <v>2950512</v>
      </c>
      <c r="HO35" s="11">
        <f t="shared" si="39"/>
        <v>2706086</v>
      </c>
      <c r="HP35" s="13">
        <v>461009</v>
      </c>
      <c r="HQ35" s="13">
        <v>2245077</v>
      </c>
      <c r="HR35" s="37">
        <f t="shared" si="40"/>
        <v>-244426</v>
      </c>
      <c r="HS35" s="629">
        <f t="shared" si="111"/>
        <v>90202.866666666669</v>
      </c>
      <c r="HT35" s="11"/>
      <c r="HU35" s="10">
        <v>600000</v>
      </c>
      <c r="HV35" s="740">
        <v>600000</v>
      </c>
      <c r="HW35" s="71">
        <v>0</v>
      </c>
      <c r="HX35" s="40">
        <f t="shared" si="112"/>
        <v>0.12582024313503784</v>
      </c>
      <c r="HY35" s="303"/>
      <c r="HZ35" s="11">
        <v>0</v>
      </c>
      <c r="IA35" s="24">
        <f t="shared" si="66"/>
        <v>0</v>
      </c>
      <c r="IB35" s="47">
        <f t="shared" si="113"/>
        <v>20000</v>
      </c>
      <c r="IC35" s="81">
        <f t="shared" si="114"/>
        <v>68754.066666666666</v>
      </c>
      <c r="ID35" s="21">
        <f t="shared" si="45"/>
        <v>0</v>
      </c>
      <c r="IE35" s="48">
        <v>6.29</v>
      </c>
      <c r="IF35" s="48">
        <v>6.16</v>
      </c>
      <c r="IG35" s="430">
        <v>0</v>
      </c>
      <c r="IH35" s="430">
        <v>0</v>
      </c>
      <c r="II35" s="47">
        <f t="shared" si="46"/>
        <v>68754.066666666666</v>
      </c>
      <c r="IJ35" s="430">
        <v>0</v>
      </c>
      <c r="IK35" s="47">
        <f t="shared" si="47"/>
        <v>68754.066666666666</v>
      </c>
      <c r="IL35" s="50">
        <f t="shared" si="48"/>
        <v>0.43253266922613004</v>
      </c>
      <c r="IM35" s="430">
        <v>0</v>
      </c>
      <c r="IN35" s="430"/>
      <c r="IO35" s="427">
        <f>FR35</f>
        <v>0</v>
      </c>
      <c r="IP35" s="41">
        <f t="shared" si="49"/>
        <v>4768708</v>
      </c>
      <c r="IQ35" s="277">
        <v>231904</v>
      </c>
      <c r="IR35" s="277">
        <f t="shared" si="50"/>
        <v>215671</v>
      </c>
      <c r="IS35" s="113">
        <v>41627</v>
      </c>
      <c r="IT35" s="231">
        <v>47620</v>
      </c>
      <c r="IU35" s="122"/>
      <c r="IV35" s="113"/>
      <c r="IW35" s="113">
        <v>38045</v>
      </c>
      <c r="IX35" s="231">
        <v>12520</v>
      </c>
      <c r="IY35" s="113"/>
      <c r="IZ35" s="231"/>
      <c r="JA35" s="125">
        <v>41820</v>
      </c>
      <c r="JB35" s="231">
        <v>24983</v>
      </c>
      <c r="JC35" s="122">
        <v>41990</v>
      </c>
      <c r="JD35" s="321">
        <v>36513</v>
      </c>
      <c r="JE35" s="313"/>
      <c r="JF35" s="313"/>
      <c r="JG35" s="122">
        <v>42727</v>
      </c>
      <c r="JH35" s="231"/>
      <c r="JI35" s="122">
        <v>42727</v>
      </c>
      <c r="JJ35" s="231">
        <v>28342</v>
      </c>
      <c r="JK35" s="113">
        <v>42907</v>
      </c>
      <c r="JL35" s="231">
        <v>11537</v>
      </c>
      <c r="JM35" s="113">
        <v>42971</v>
      </c>
      <c r="JN35" s="231">
        <v>11375</v>
      </c>
      <c r="JO35" s="113">
        <v>43160</v>
      </c>
      <c r="JP35" s="114">
        <v>12633</v>
      </c>
      <c r="JQ35" s="113">
        <v>43209</v>
      </c>
      <c r="JR35" s="114">
        <v>11595</v>
      </c>
      <c r="JS35" s="113">
        <v>43216</v>
      </c>
      <c r="JT35" s="114">
        <v>11596</v>
      </c>
      <c r="JU35" s="113">
        <v>43290</v>
      </c>
      <c r="JV35" s="114">
        <v>6957</v>
      </c>
      <c r="JW35" s="114"/>
      <c r="JX35" s="122"/>
      <c r="JY35" s="122"/>
      <c r="JZ35" s="114"/>
    </row>
    <row r="36" spans="1:286" ht="15" customHeight="1">
      <c r="A36" s="83" t="s">
        <v>945</v>
      </c>
      <c r="B36" s="98"/>
      <c r="C36" s="7" t="s">
        <v>28</v>
      </c>
      <c r="D36" s="7" t="s">
        <v>112</v>
      </c>
      <c r="E36" s="20">
        <v>2017</v>
      </c>
      <c r="F36" s="7"/>
      <c r="G36" s="20" t="s">
        <v>54</v>
      </c>
      <c r="H36" s="20" t="s">
        <v>837</v>
      </c>
      <c r="I36" s="20" t="s">
        <v>249</v>
      </c>
      <c r="J36" s="54"/>
      <c r="K36" s="53" t="s">
        <v>430</v>
      </c>
      <c r="L36" s="255"/>
      <c r="M36" s="162"/>
      <c r="N36" s="104"/>
      <c r="O36" s="105"/>
      <c r="P36" s="213">
        <v>10895</v>
      </c>
      <c r="Q36" s="213">
        <v>949780</v>
      </c>
      <c r="R36" s="217">
        <f>Q36</f>
        <v>949780</v>
      </c>
      <c r="S36" s="207" t="e">
        <f t="shared" ref="S36:S41" si="124">Q36/AE36</f>
        <v>#DIV/0!</v>
      </c>
      <c r="T36" s="213">
        <f t="shared" ref="T36:T41" si="125">Q36/P36</f>
        <v>87.175768701239107</v>
      </c>
      <c r="U36" s="217">
        <f t="shared" ref="U36:U41" si="126">R36/P36</f>
        <v>87.175768701239107</v>
      </c>
      <c r="V36" s="217">
        <f t="shared" ref="V36:V41" si="127">R36/AN36</f>
        <v>296.99372729035201</v>
      </c>
      <c r="W36" s="217" t="e">
        <f t="shared" ref="W36:W41" si="128">R36/AE36</f>
        <v>#DIV/0!</v>
      </c>
      <c r="X36" s="207" t="e">
        <f t="shared" ref="X36:X41" si="129">P36/AE36</f>
        <v>#DIV/0!</v>
      </c>
      <c r="Y36" s="216"/>
      <c r="Z36" s="905">
        <f t="shared" si="51"/>
        <v>0</v>
      </c>
      <c r="AA36" s="216"/>
      <c r="AB36" s="412">
        <v>650</v>
      </c>
      <c r="AC36" s="413"/>
      <c r="AD36" s="20" t="s">
        <v>16</v>
      </c>
      <c r="AE36" s="771">
        <f t="shared" ref="AE36:AE79" si="130">SUM(AG36:AJ36)</f>
        <v>0</v>
      </c>
      <c r="AF36" s="771">
        <f t="shared" ref="AF36:AF79" si="131">AE36-AJ36</f>
        <v>0</v>
      </c>
      <c r="AG36" s="8"/>
      <c r="AH36" s="7">
        <f>37*0</f>
        <v>0</v>
      </c>
      <c r="AI36" s="53"/>
      <c r="AJ36" s="53"/>
      <c r="AK36" s="269">
        <v>3032.98</v>
      </c>
      <c r="AL36" s="416">
        <v>3196.53</v>
      </c>
      <c r="AM36" s="58">
        <v>3197.98</v>
      </c>
      <c r="AN36" s="417">
        <v>3197.98</v>
      </c>
      <c r="AO36" s="9" t="e">
        <f t="shared" ref="AO36:AO41" si="132">AN36/AE36</f>
        <v>#DIV/0!</v>
      </c>
      <c r="AP36" s="60"/>
      <c r="AQ36" s="60"/>
      <c r="AR36" s="60"/>
      <c r="AS36" s="60"/>
      <c r="AT36" s="60"/>
      <c r="AU36" s="416"/>
      <c r="AV36" s="77"/>
      <c r="AW36" s="79"/>
      <c r="AX36" s="58"/>
      <c r="AY36" s="54" t="s">
        <v>548</v>
      </c>
      <c r="AZ36" s="20" t="s">
        <v>120</v>
      </c>
      <c r="BA36" s="60">
        <v>6377000</v>
      </c>
      <c r="BB36" s="606">
        <f>BA36/AN36</f>
        <v>1994.0712574812851</v>
      </c>
      <c r="BC36" s="54"/>
      <c r="BD36" s="190">
        <v>42761</v>
      </c>
      <c r="BE36" s="190">
        <v>42761</v>
      </c>
      <c r="BF36" s="108" t="s">
        <v>168</v>
      </c>
      <c r="BG36" s="108"/>
      <c r="BH36" s="420"/>
      <c r="BI36" s="204">
        <v>42998</v>
      </c>
      <c r="BJ36" s="99"/>
      <c r="BK36" s="99"/>
      <c r="BL36" s="204"/>
      <c r="BM36" s="99"/>
      <c r="BN36" s="882">
        <v>43292</v>
      </c>
      <c r="BO36" s="689">
        <f>DATE(YEAR(BN36),MONTH(BN36)+1,DAY(BN36))</f>
        <v>43323</v>
      </c>
      <c r="BP36" s="690">
        <f>DATE(YEAR(BO36),MONTH(BO36)+3,DAY(BO36))</f>
        <v>43415</v>
      </c>
      <c r="BQ36" s="161"/>
      <c r="BR36" s="299">
        <f>BO36</f>
        <v>43323</v>
      </c>
      <c r="BS36" s="298">
        <f t="shared" ref="BS36:BS41" si="133">DATE(YEAR(BR36),MONTH(BR36)+24,DAY(BR36))</f>
        <v>44054</v>
      </c>
      <c r="BT36" s="298">
        <f t="shared" ref="BT36:BT41" si="134">DATE(YEAR(BR36),MONTH(BR36)+36,DAY(BR36))</f>
        <v>44419</v>
      </c>
      <c r="BU36" s="298"/>
      <c r="BV36" s="298" t="str">
        <f t="shared" ref="BV36:BV41" si="135">IF(FK36&gt;BS36,"oui","non")</f>
        <v>non</v>
      </c>
      <c r="BW36" s="672">
        <f t="shared" ref="BW36:BW79" si="136">DATEDIF(FK36,BT36,"M")</f>
        <v>1442</v>
      </c>
      <c r="BX36" s="672">
        <f t="shared" ref="BX36:BX79" si="137">BW36*FN36</f>
        <v>0</v>
      </c>
      <c r="BY36" s="672">
        <f t="shared" ref="BY36:BY79" si="138">IF((BX36-BU36&gt;0),0,(BX36-BU36))</f>
        <v>0</v>
      </c>
      <c r="BZ36" s="824"/>
      <c r="CA36" s="828"/>
      <c r="CB36" s="827"/>
      <c r="CC36" s="827"/>
      <c r="CD36" s="827"/>
      <c r="CE36" s="827"/>
      <c r="CF36" s="827"/>
      <c r="CG36" s="827"/>
      <c r="CH36" s="827"/>
      <c r="CI36" s="827"/>
      <c r="CJ36" s="827"/>
      <c r="CK36" s="827"/>
      <c r="CL36" s="827"/>
      <c r="CM36" s="827"/>
      <c r="CN36" s="827"/>
      <c r="CO36" s="827"/>
      <c r="CP36" s="827"/>
      <c r="CQ36" s="827"/>
      <c r="CR36" s="827"/>
      <c r="CS36" s="156"/>
      <c r="CT36" s="163"/>
      <c r="CU36" s="250"/>
      <c r="CV36" s="157">
        <v>6377000.5999999996</v>
      </c>
      <c r="CW36" s="163"/>
      <c r="CX36" s="163"/>
      <c r="CY36" s="250"/>
      <c r="CZ36" s="250"/>
      <c r="DA36" s="597"/>
      <c r="DB36" s="122"/>
      <c r="DC36" s="122"/>
      <c r="DD36" s="122"/>
      <c r="DE36" s="523" t="str">
        <f t="shared" ref="DE36:DE79" si="139">IF(AND(DC36&gt;0,DD36&gt;0),DD36-DC36,"0")</f>
        <v>0</v>
      </c>
      <c r="DF36" s="122"/>
      <c r="DG36" s="122"/>
      <c r="DH36" s="523" t="str">
        <f t="shared" ref="DH36:DH79" si="140">IF(AND(DF36&gt;0,DG36&gt;0),DG36-DF36,"0")</f>
        <v>0</v>
      </c>
      <c r="DI36" s="315"/>
      <c r="DJ36" s="315"/>
      <c r="DK36" s="523" t="str">
        <f t="shared" ref="DK36:DK79" si="141">IF(AND(DI36&gt;0,DJ36&gt;0),DJ36-DI36,"0")</f>
        <v>0</v>
      </c>
      <c r="DL36" s="543"/>
      <c r="DM36" s="543"/>
      <c r="DN36" s="545" t="str">
        <f t="shared" ref="DN36:DN79" si="142">IF(AND(DL36&gt;0,DM36&gt;0),DM36-DL36,"0")</f>
        <v>0</v>
      </c>
      <c r="DO36" s="543"/>
      <c r="DP36" s="543">
        <f ca="1">IF(DO36&lt;TODAY(),TODAY(),DO36)</f>
        <v>43423</v>
      </c>
      <c r="DQ36" s="545" t="str">
        <f t="shared" ref="DQ36:DQ79" ca="1" si="143">IF(AND(DO36&gt;0,DP36&gt;0),DP36-DO36,"0")</f>
        <v>0</v>
      </c>
      <c r="DR36" s="453"/>
      <c r="DS36" s="543"/>
      <c r="DT36" s="537"/>
      <c r="DU36" s="533">
        <f ca="1">IF(DT36&lt;TODAY(),TODAY(),DT36)</f>
        <v>43423</v>
      </c>
      <c r="DV36" s="529" t="str">
        <f t="shared" ref="DV36:DV79" ca="1" si="144">IF(AND(DT36&gt;0,DU36&gt;0),DU36-DT36,"0")</f>
        <v>0</v>
      </c>
      <c r="DW36" s="537"/>
      <c r="DX36" s="686"/>
      <c r="DY36" s="344"/>
      <c r="DZ36" s="442" t="e">
        <f t="shared" ref="DZ36:DZ67" si="145">(DATEDIF(BI36,DX36,"d"))/30</f>
        <v>#NUM!</v>
      </c>
      <c r="EA36" s="529" t="str">
        <f t="shared" ref="EA36:EA67" si="146">IF(AND(DW36&gt;0,DX36&gt;0),DX36-DW36,"0")</f>
        <v>0</v>
      </c>
      <c r="EB36" s="687">
        <v>16</v>
      </c>
      <c r="EC36" s="241">
        <f t="shared" ref="EC36:EC67" si="147">DATEDIF(DX36,FC36,"M")</f>
        <v>16</v>
      </c>
      <c r="ED36" s="533"/>
      <c r="EE36" s="533">
        <f ca="1">IF(ED36&lt;TODAY(),TODAY(),ED36)</f>
        <v>43423</v>
      </c>
      <c r="EF36" s="529" t="str">
        <f t="shared" ref="EF36:EF67" ca="1" si="148">IF(AND(ED36&gt;0,EE36&gt;0),EE36-ED36,"0")</f>
        <v>0</v>
      </c>
      <c r="EG36" s="533"/>
      <c r="EH36" s="551">
        <f ca="1">IF(EG36&lt;TODAY(),TODAY(),EG36)</f>
        <v>43423</v>
      </c>
      <c r="EI36" s="530" t="str">
        <f t="shared" ref="EI36:EI82" ca="1" si="149">IF(AND(EG36&gt;0,EH36&gt;0),EH36-EG36,"0")</f>
        <v>0</v>
      </c>
      <c r="EJ36" s="533"/>
      <c r="EK36" s="533">
        <f ca="1">IF(EJ36&lt;TODAY(),TODAY(),EJ36)</f>
        <v>43423</v>
      </c>
      <c r="EL36" s="529" t="str">
        <f t="shared" ref="EL36:EL67" ca="1" si="150">IF(AND(EJ36&gt;0,EK36&gt;0),EK36-EJ36,"0")</f>
        <v>0</v>
      </c>
      <c r="EM36" s="533"/>
      <c r="EN36" s="533">
        <f ca="1">IF(EM36&lt;TODAY(),TODAY(),EM36)</f>
        <v>43423</v>
      </c>
      <c r="EO36" s="529" t="str">
        <f t="shared" ref="EO36:EO78" ca="1" si="151">IF(AND(EM36&gt;0,EN36&gt;0),EN36-EM36,"0")</f>
        <v>0</v>
      </c>
      <c r="EP36" s="533"/>
      <c r="EQ36" s="533">
        <f ca="1">IF(EP36&lt;TODAY(),TODAY(),EP36)</f>
        <v>43423</v>
      </c>
      <c r="ER36" s="529" t="str">
        <f t="shared" ref="ER36:ER78" ca="1" si="152">IF(AND(EP36&gt;0,EQ36&gt;0),EQ36-EP36,"0")</f>
        <v>0</v>
      </c>
      <c r="ES36" s="533"/>
      <c r="ET36" s="533">
        <f ca="1">IF(ES36&lt;TODAY(),TODAY(),ES36)</f>
        <v>43423</v>
      </c>
      <c r="EU36" s="529" t="str">
        <f t="shared" ref="EU36:EU78" ca="1" si="153">IF(AND(ES36&gt;0,ET36&gt;0),ET36-ES36,"0")</f>
        <v>0</v>
      </c>
      <c r="EV36" s="533"/>
      <c r="EW36" s="533">
        <f ca="1">IF(EV36&lt;TODAY(),TODAY(),EV36)</f>
        <v>43423</v>
      </c>
      <c r="EX36" s="529" t="str">
        <f t="shared" ref="EX36:EX78" ca="1" si="154">IF(AND(EV36&gt;0,EW36&gt;0),EW36-EV36,"0")</f>
        <v>0</v>
      </c>
      <c r="EY36" s="533"/>
      <c r="EZ36" s="533"/>
      <c r="FA36" s="533"/>
      <c r="FB36" s="731">
        <f t="shared" ref="FB36:FB79" si="155">DATE(YEAR(DX36),MONTH(DX36)+EB36,DAY(DX36))</f>
        <v>486</v>
      </c>
      <c r="FC36" s="730">
        <f>DATE(YEAR(FB36),MONTH(FB36)+1,DAY(FB36))</f>
        <v>516</v>
      </c>
      <c r="FD36" s="727">
        <f t="shared" ref="FD36:FD67" si="156">(DATEDIF(FB36,FC36,"d"))/30</f>
        <v>1</v>
      </c>
      <c r="FE36" s="573">
        <f t="shared" ref="FE36:FE68" si="157">DATE(YEAR(CY36)+2,MONTH(CY36),DAY(CY36))</f>
        <v>731</v>
      </c>
      <c r="FF36" s="242"/>
      <c r="FG36" s="242"/>
      <c r="FH36" s="186">
        <f>DATE(YEAR(FC36),MONTH(FC36),DAY(FC36))</f>
        <v>516</v>
      </c>
      <c r="FI36" s="186"/>
      <c r="FJ36" s="461">
        <f>DATE(YEAR(FB36),MONTH(FB36)+1,DAY(FB36))</f>
        <v>516</v>
      </c>
      <c r="FK36" s="730">
        <f>DATE(YEAR(FH36),MONTH(FH36),DAY(FH36))</f>
        <v>516</v>
      </c>
      <c r="FL36" s="574"/>
      <c r="FM36" s="724">
        <f t="shared" ref="FM36:FM41" si="158">(DATEDIF(FJ36,FK36,"d"))/30</f>
        <v>0</v>
      </c>
      <c r="FN36" s="700"/>
      <c r="FO36" s="246">
        <f t="shared" ref="FO36:FO67" si="159">FN36*FM36</f>
        <v>0</v>
      </c>
      <c r="FP36" s="117"/>
      <c r="FQ36" s="556">
        <v>0</v>
      </c>
      <c r="FR36" s="556">
        <v>0</v>
      </c>
      <c r="FS36" s="556"/>
      <c r="FT36" s="556"/>
      <c r="FU36" s="748"/>
      <c r="FV36" s="749">
        <f t="shared" ref="FV36:FV41" si="160">FU36/GY36</f>
        <v>0</v>
      </c>
      <c r="FW36" s="559"/>
      <c r="FX36" s="577"/>
      <c r="FY36" s="577" t="s">
        <v>751</v>
      </c>
      <c r="FZ36" s="559"/>
      <c r="GA36" s="123"/>
      <c r="GB36" s="123"/>
      <c r="GC36" s="123"/>
      <c r="GD36" s="123"/>
      <c r="GE36" s="123"/>
      <c r="GF36" s="54"/>
      <c r="GG36" s="280">
        <f t="shared" ref="GG36:GG79" si="161">DATE(YEAR(FC36)+1,MONTH(FC36),DAY(FC36))</f>
        <v>881</v>
      </c>
      <c r="GH36" s="280"/>
      <c r="GI36" s="54"/>
      <c r="GJ36" s="54"/>
      <c r="GK36" s="54"/>
      <c r="GL36" s="54"/>
      <c r="GM36" s="54"/>
      <c r="GN36" s="54"/>
      <c r="GO36" s="54"/>
      <c r="GP36" s="54"/>
      <c r="GQ36" s="54"/>
      <c r="GR36" s="54"/>
      <c r="GS36" s="54"/>
      <c r="GT36" s="54"/>
      <c r="GU36" s="54"/>
      <c r="GV36" s="109"/>
      <c r="GW36" s="112"/>
      <c r="GX36" s="10">
        <f>+HI36+HN36+HU36+IO36+HZ36</f>
        <v>6545033</v>
      </c>
      <c r="GY36" s="11">
        <f>HJ36+HO36+HV36+IO36+HW36+HZ36</f>
        <v>6863538.2000000002</v>
      </c>
      <c r="GZ36" s="67">
        <f t="shared" ref="GZ36:GZ41" si="162">GY36</f>
        <v>6863538.2000000002</v>
      </c>
      <c r="HA36" s="12">
        <f t="shared" ref="HA36:HA41" si="163">GY36-GX36</f>
        <v>318505.20000000019</v>
      </c>
      <c r="HB36" s="49">
        <f t="shared" ref="HB36:HB41" si="164">GY36/AL36</f>
        <v>2147.1840401935847</v>
      </c>
      <c r="HC36" s="49" t="e">
        <f t="shared" ref="HC36:HC41" si="165">GY36/AE36</f>
        <v>#DIV/0!</v>
      </c>
      <c r="HD36" s="22"/>
      <c r="HE36" s="427">
        <v>6233418.6500000004</v>
      </c>
      <c r="HF36" s="12">
        <f t="shared" ref="HF36:HF41" si="166">HE36-HD36</f>
        <v>6233418.6500000004</v>
      </c>
      <c r="HG36" s="127">
        <f t="shared" ref="HG36:HG41" si="167">HE36*1.021/GY36</f>
        <v>0.92726524661143417</v>
      </c>
      <c r="HH36" s="129">
        <v>0.4</v>
      </c>
      <c r="HI36" s="22">
        <v>1969908</v>
      </c>
      <c r="HJ36" s="11">
        <v>2271739</v>
      </c>
      <c r="HK36" s="645"/>
      <c r="HL36" s="23" t="e">
        <f t="shared" ref="HL36:HL41" si="168">HJ36/AE36</f>
        <v>#DIV/0!</v>
      </c>
      <c r="HM36" s="37">
        <f t="shared" ref="HM36:HM41" si="169">HJ36-HI36</f>
        <v>301831</v>
      </c>
      <c r="HN36" s="891">
        <v>3915125</v>
      </c>
      <c r="HO36" s="11">
        <f>HP36+HQ36</f>
        <v>3931799.2</v>
      </c>
      <c r="HP36" s="429">
        <v>1087640.28</v>
      </c>
      <c r="HQ36" s="429">
        <v>2844158.92</v>
      </c>
      <c r="HR36" s="37">
        <f t="shared" ref="HR36:HR41" si="170">HO36-HN36</f>
        <v>16674.200000000186</v>
      </c>
      <c r="HS36" s="629" t="e">
        <f t="shared" ref="HS36:HS41" si="171">HO36/AE36</f>
        <v>#DIV/0!</v>
      </c>
      <c r="HT36" s="388"/>
      <c r="HU36" s="22">
        <v>660000</v>
      </c>
      <c r="HV36" s="427">
        <v>660000</v>
      </c>
      <c r="HW36" s="72"/>
      <c r="HX36" s="40">
        <f t="shared" ref="HX36:HX79" si="172">HV36/GY36</f>
        <v>9.6160315680912212E-2</v>
      </c>
      <c r="HY36" s="393"/>
      <c r="HZ36" s="427"/>
      <c r="IA36" s="24">
        <f t="shared" ref="IA36:IA79" si="173">HV36-HU36</f>
        <v>0</v>
      </c>
      <c r="IB36" s="23" t="e">
        <f t="shared" ref="IB36:IB79" si="174">HV36/AE36</f>
        <v>#DIV/0!</v>
      </c>
      <c r="IC36" s="81" t="e">
        <f t="shared" ref="IC36:IC79" si="175">(HJ36+HV36)/AE36</f>
        <v>#DIV/0!</v>
      </c>
      <c r="ID36" s="24" t="e">
        <f>IA36/AE36</f>
        <v>#DIV/0!</v>
      </c>
      <c r="IE36" s="48">
        <v>5.15</v>
      </c>
      <c r="IF36" s="48">
        <v>5.0999999999999996</v>
      </c>
      <c r="IG36" s="430"/>
      <c r="IH36" s="430"/>
      <c r="II36" s="23" t="e">
        <f>(HI36+HU36+IH36)/AE36</f>
        <v>#DIV/0!</v>
      </c>
      <c r="IJ36" s="430"/>
      <c r="IK36" s="23" t="e">
        <f>(HJ36+HV36+IH36+IJ36)/AE36</f>
        <v>#DIV/0!</v>
      </c>
      <c r="IL36" s="50">
        <f>(HI36+HU36+IH36+IJ36)/(IG36+GX36-IM36)</f>
        <v>0.4018173781553126</v>
      </c>
      <c r="IM36" s="430"/>
      <c r="IN36" s="430"/>
      <c r="IO36" s="11">
        <f>FR36</f>
        <v>0</v>
      </c>
      <c r="IP36" s="41">
        <f>GX36+IG36</f>
        <v>6545033</v>
      </c>
      <c r="IQ36" s="277"/>
      <c r="IR36" s="277">
        <f>IT36+IV36+IX36+IZ36+JB36+JD36+JF36+JH36+JJ36+JL36+JN36+JP36+JR36+JT36+JV36+JX36+JZ36</f>
        <v>0</v>
      </c>
      <c r="IS36" s="278"/>
      <c r="IT36" s="277"/>
      <c r="IU36" s="277"/>
      <c r="IV36" s="270"/>
      <c r="IW36" s="270"/>
      <c r="IX36" s="458"/>
      <c r="IY36" s="270"/>
      <c r="IZ36" s="274"/>
      <c r="JA36" s="270"/>
      <c r="JB36" s="460"/>
      <c r="JC36" s="279"/>
      <c r="JD36" s="284"/>
      <c r="JE36" s="282"/>
      <c r="JF36" s="282"/>
      <c r="JG36" s="276"/>
      <c r="JH36" s="281"/>
      <c r="JI36" s="276"/>
      <c r="JJ36" s="281"/>
      <c r="JK36" s="300"/>
      <c r="JL36" s="300"/>
      <c r="JM36" s="300"/>
      <c r="JN36" s="300"/>
      <c r="JO36" s="269"/>
      <c r="JP36" s="269"/>
      <c r="JQ36" s="269"/>
      <c r="JR36" s="269"/>
      <c r="JS36" s="269"/>
      <c r="JT36" s="269"/>
      <c r="JU36" s="277"/>
      <c r="JV36" s="271"/>
      <c r="JW36" s="279"/>
      <c r="JX36" s="271"/>
      <c r="JY36" s="271"/>
      <c r="JZ36" s="279"/>
    </row>
    <row r="37" spans="1:286" ht="15" customHeight="1">
      <c r="A37" s="83" t="s">
        <v>268</v>
      </c>
      <c r="B37" s="98"/>
      <c r="C37" s="20" t="s">
        <v>35</v>
      </c>
      <c r="D37" s="20" t="s">
        <v>112</v>
      </c>
      <c r="E37" s="20">
        <v>2014</v>
      </c>
      <c r="F37" s="20" t="s">
        <v>200</v>
      </c>
      <c r="G37" s="20" t="s">
        <v>379</v>
      </c>
      <c r="H37" s="851"/>
      <c r="I37" s="20" t="s">
        <v>250</v>
      </c>
      <c r="J37" s="54"/>
      <c r="K37" s="54"/>
      <c r="L37" s="206"/>
      <c r="M37" s="162"/>
      <c r="N37" s="104"/>
      <c r="O37" s="105"/>
      <c r="P37" s="212">
        <f>1032+357+882+400</f>
        <v>2671</v>
      </c>
      <c r="Q37" s="212">
        <f>R37</f>
        <v>637295</v>
      </c>
      <c r="R37" s="212">
        <v>637295</v>
      </c>
      <c r="S37" s="207">
        <f t="shared" si="124"/>
        <v>13559.468085106382</v>
      </c>
      <c r="T37" s="212">
        <f t="shared" si="125"/>
        <v>238.5979034069637</v>
      </c>
      <c r="U37" s="213">
        <f t="shared" si="126"/>
        <v>238.5979034069637</v>
      </c>
      <c r="V37" s="213">
        <f t="shared" si="127"/>
        <v>166.56952430737061</v>
      </c>
      <c r="W37" s="213">
        <f t="shared" si="128"/>
        <v>13559.468085106382</v>
      </c>
      <c r="X37" s="207">
        <f t="shared" si="129"/>
        <v>56.829787234042556</v>
      </c>
      <c r="Y37" s="214"/>
      <c r="Z37" s="906">
        <f t="shared" si="51"/>
        <v>175.96405840509172</v>
      </c>
      <c r="AA37" s="214" t="s">
        <v>188</v>
      </c>
      <c r="AB37" s="412">
        <v>512</v>
      </c>
      <c r="AC37" s="413"/>
      <c r="AD37" s="20" t="s">
        <v>16</v>
      </c>
      <c r="AE37" s="771">
        <f t="shared" si="130"/>
        <v>47</v>
      </c>
      <c r="AF37" s="771">
        <f t="shared" si="131"/>
        <v>47</v>
      </c>
      <c r="AG37" s="52"/>
      <c r="AH37" s="20">
        <v>47</v>
      </c>
      <c r="AI37" s="54"/>
      <c r="AJ37" s="54"/>
      <c r="AK37" s="269">
        <v>3318.5</v>
      </c>
      <c r="AL37" s="416">
        <v>3826</v>
      </c>
      <c r="AM37" s="58">
        <v>3826</v>
      </c>
      <c r="AN37" s="417">
        <v>3826</v>
      </c>
      <c r="AO37" s="9">
        <f t="shared" si="132"/>
        <v>81.40425531914893</v>
      </c>
      <c r="AP37" s="60"/>
      <c r="AQ37" s="60"/>
      <c r="AR37" s="60"/>
      <c r="AS37" s="60"/>
      <c r="AT37" s="60"/>
      <c r="AU37" s="416"/>
      <c r="AV37" s="77">
        <v>0</v>
      </c>
      <c r="AW37" s="79">
        <f>AV37/P37</f>
        <v>0</v>
      </c>
      <c r="AX37" s="58">
        <v>4.5</v>
      </c>
      <c r="AY37" s="56" t="s">
        <v>549</v>
      </c>
      <c r="AZ37" s="20" t="s">
        <v>120</v>
      </c>
      <c r="BA37" s="60">
        <v>7250000</v>
      </c>
      <c r="BB37" s="606">
        <f>BA37/AN37</f>
        <v>1894.929430214323</v>
      </c>
      <c r="BC37" s="54"/>
      <c r="BD37" s="239">
        <v>41591</v>
      </c>
      <c r="BE37" s="239">
        <v>41771</v>
      </c>
      <c r="BF37" s="108" t="s">
        <v>12</v>
      </c>
      <c r="BG37" s="108" t="s">
        <v>238</v>
      </c>
      <c r="BH37" s="35" t="s">
        <v>168</v>
      </c>
      <c r="BI37" s="204">
        <v>41800</v>
      </c>
      <c r="BJ37" s="99"/>
      <c r="BK37" s="99">
        <v>41935</v>
      </c>
      <c r="BL37" s="204">
        <v>41957</v>
      </c>
      <c r="BM37" s="99"/>
      <c r="BN37" s="160">
        <v>41989</v>
      </c>
      <c r="BO37" s="202">
        <v>41990</v>
      </c>
      <c r="BP37" s="161">
        <v>42080</v>
      </c>
      <c r="BQ37" s="161" t="s">
        <v>128</v>
      </c>
      <c r="BR37" s="299">
        <v>42080</v>
      </c>
      <c r="BS37" s="298">
        <f t="shared" si="133"/>
        <v>42811</v>
      </c>
      <c r="BT37" s="298">
        <f t="shared" si="134"/>
        <v>43176</v>
      </c>
      <c r="BU37" s="298"/>
      <c r="BV37" s="298" t="str">
        <f t="shared" si="135"/>
        <v>non</v>
      </c>
      <c r="BW37" s="672">
        <f t="shared" si="136"/>
        <v>16</v>
      </c>
      <c r="BX37" s="672">
        <f t="shared" si="137"/>
        <v>327147.92451910797</v>
      </c>
      <c r="BY37" s="672">
        <f t="shared" si="138"/>
        <v>0</v>
      </c>
      <c r="BZ37" s="829" t="s">
        <v>260</v>
      </c>
      <c r="CA37" s="817" t="s">
        <v>307</v>
      </c>
      <c r="CB37" s="830" t="s">
        <v>327</v>
      </c>
      <c r="CC37" s="830"/>
      <c r="CD37" s="830"/>
      <c r="CE37" s="830"/>
      <c r="CF37" s="819"/>
      <c r="CG37" s="819"/>
      <c r="CH37" s="819"/>
      <c r="CI37" s="819"/>
      <c r="CJ37" s="819"/>
      <c r="CK37" s="819"/>
      <c r="CL37" s="819"/>
      <c r="CM37" s="819">
        <v>42276</v>
      </c>
      <c r="CN37" s="819"/>
      <c r="CO37" s="819"/>
      <c r="CP37" s="819"/>
      <c r="CQ37" s="819"/>
      <c r="CR37" s="819"/>
      <c r="CS37" s="156" t="s">
        <v>144</v>
      </c>
      <c r="CT37" s="307">
        <v>41992</v>
      </c>
      <c r="CU37" s="250"/>
      <c r="CV37" s="580">
        <v>7100881.4887365336</v>
      </c>
      <c r="CW37" s="581">
        <f>DATE(YEAR(CT37),MONTH(CT37)+18,DAY(CT37))</f>
        <v>42540</v>
      </c>
      <c r="CX37" s="405">
        <f t="shared" ref="CX37:CX41" si="176">DATE(YEAR(CT37),MONTH(CT37)+24,DAY(CT37))</f>
        <v>42723</v>
      </c>
      <c r="CY37" s="307">
        <v>42143</v>
      </c>
      <c r="CZ37" s="250">
        <v>42662</v>
      </c>
      <c r="DA37" s="597">
        <f t="shared" ref="DA37:DA41" si="177">(FK37-CZ37)/30</f>
        <v>0.66666666666666663</v>
      </c>
      <c r="DB37" s="122"/>
      <c r="DC37" s="122"/>
      <c r="DD37" s="122"/>
      <c r="DE37" s="523" t="str">
        <f t="shared" si="139"/>
        <v>0</v>
      </c>
      <c r="DF37" s="122"/>
      <c r="DG37" s="122"/>
      <c r="DH37" s="523" t="str">
        <f t="shared" si="140"/>
        <v>0</v>
      </c>
      <c r="DI37" s="122"/>
      <c r="DJ37" s="122"/>
      <c r="DK37" s="523" t="str">
        <f t="shared" si="141"/>
        <v>0</v>
      </c>
      <c r="DL37" s="122"/>
      <c r="DM37" s="122"/>
      <c r="DN37" s="523" t="str">
        <f t="shared" si="142"/>
        <v>0</v>
      </c>
      <c r="DO37" s="125"/>
      <c r="DP37" s="569"/>
      <c r="DQ37" s="523" t="str">
        <f t="shared" si="143"/>
        <v>0</v>
      </c>
      <c r="DR37" s="453"/>
      <c r="DS37" s="231"/>
      <c r="DT37" s="122"/>
      <c r="DU37" s="231"/>
      <c r="DV37" s="523" t="str">
        <f t="shared" si="144"/>
        <v>0</v>
      </c>
      <c r="DW37" s="122"/>
      <c r="DX37" s="347">
        <v>42037</v>
      </c>
      <c r="DY37" s="343">
        <v>2015</v>
      </c>
      <c r="DZ37" s="444">
        <f t="shared" si="145"/>
        <v>7.9</v>
      </c>
      <c r="EA37" s="523" t="str">
        <f t="shared" si="146"/>
        <v>0</v>
      </c>
      <c r="EB37" s="240">
        <v>18</v>
      </c>
      <c r="EC37" s="116">
        <f t="shared" si="147"/>
        <v>20</v>
      </c>
      <c r="ED37" s="122"/>
      <c r="EE37" s="231"/>
      <c r="EF37" s="523" t="str">
        <f t="shared" si="148"/>
        <v>0</v>
      </c>
      <c r="EG37" s="122"/>
      <c r="EH37" s="567"/>
      <c r="EI37" s="526" t="str">
        <f t="shared" si="149"/>
        <v>0</v>
      </c>
      <c r="EJ37" s="125"/>
      <c r="EK37" s="315"/>
      <c r="EL37" s="523" t="str">
        <f t="shared" si="150"/>
        <v>0</v>
      </c>
      <c r="EM37" s="122"/>
      <c r="EN37" s="122"/>
      <c r="EO37" s="523" t="str">
        <f t="shared" si="151"/>
        <v>0</v>
      </c>
      <c r="EP37" s="122"/>
      <c r="EQ37" s="122"/>
      <c r="ER37" s="523" t="str">
        <f t="shared" si="152"/>
        <v>0</v>
      </c>
      <c r="ES37" s="122"/>
      <c r="ET37" s="122"/>
      <c r="EU37" s="523" t="str">
        <f t="shared" si="153"/>
        <v>0</v>
      </c>
      <c r="EV37" s="122"/>
      <c r="EW37" s="122"/>
      <c r="EX37" s="523" t="str">
        <f t="shared" si="154"/>
        <v>0</v>
      </c>
      <c r="EY37" s="122"/>
      <c r="EZ37" s="122"/>
      <c r="FA37" s="122"/>
      <c r="FB37" s="572">
        <f t="shared" si="155"/>
        <v>42584</v>
      </c>
      <c r="FC37" s="347">
        <v>42674</v>
      </c>
      <c r="FD37" s="707">
        <f t="shared" si="156"/>
        <v>3</v>
      </c>
      <c r="FE37" s="732">
        <f t="shared" si="157"/>
        <v>42874</v>
      </c>
      <c r="FF37" s="115">
        <v>42657</v>
      </c>
      <c r="FG37" s="115">
        <v>42591</v>
      </c>
      <c r="FH37" s="115"/>
      <c r="FI37" s="115"/>
      <c r="FJ37" s="455">
        <f>DATE(YEAR(FB37),MONTH(FB37)+1,DAY(FB37))</f>
        <v>42615</v>
      </c>
      <c r="FK37" s="602">
        <v>42682</v>
      </c>
      <c r="FL37" s="343">
        <v>2016</v>
      </c>
      <c r="FM37" s="703">
        <f t="shared" si="158"/>
        <v>2.2333333333333334</v>
      </c>
      <c r="FN37" s="694">
        <f>245360.943389331/12</f>
        <v>20446.745282444248</v>
      </c>
      <c r="FO37" s="314">
        <f t="shared" si="159"/>
        <v>45664.39779745882</v>
      </c>
      <c r="FP37" s="315" t="s">
        <v>128</v>
      </c>
      <c r="FQ37" s="552"/>
      <c r="FR37" s="692">
        <f>IO37</f>
        <v>0</v>
      </c>
      <c r="FS37" s="556"/>
      <c r="FT37" s="556"/>
      <c r="FU37" s="556">
        <v>0</v>
      </c>
      <c r="FV37" s="749">
        <f t="shared" si="160"/>
        <v>0</v>
      </c>
      <c r="FW37" s="553"/>
      <c r="FX37" s="566"/>
      <c r="FY37" s="553"/>
      <c r="FZ37" s="553"/>
      <c r="GA37" s="118"/>
      <c r="GB37" s="118"/>
      <c r="GC37" s="235"/>
      <c r="GD37" s="235" t="s">
        <v>533</v>
      </c>
      <c r="GE37" s="235" t="s">
        <v>128</v>
      </c>
      <c r="GF37" s="235"/>
      <c r="GG37" s="122">
        <f t="shared" si="161"/>
        <v>43039</v>
      </c>
      <c r="GH37" s="677">
        <v>27200</v>
      </c>
      <c r="GI37" s="239">
        <v>42710</v>
      </c>
      <c r="GJ37" s="239">
        <v>42779</v>
      </c>
      <c r="GK37" s="54"/>
      <c r="GL37" s="54"/>
      <c r="GM37" s="648"/>
      <c r="GN37" s="323" t="s">
        <v>168</v>
      </c>
      <c r="GO37" s="323" t="s">
        <v>128</v>
      </c>
      <c r="GP37" s="323"/>
      <c r="GQ37" s="324" t="s">
        <v>568</v>
      </c>
      <c r="GR37" s="233">
        <v>42808</v>
      </c>
      <c r="GS37" s="233" t="s">
        <v>128</v>
      </c>
      <c r="GT37" s="54" t="s">
        <v>128</v>
      </c>
      <c r="GU37" s="54"/>
      <c r="GV37" s="109"/>
      <c r="GW37" s="606"/>
      <c r="GX37" s="22">
        <f>+HI37+HN37+HU37+IO37</f>
        <v>9070838.1099999994</v>
      </c>
      <c r="GY37" s="426">
        <f>HJ37+HO37+HV37+IO37+HT37+HZ37+HY37</f>
        <v>7893608.4299999997</v>
      </c>
      <c r="GZ37" s="797">
        <f t="shared" si="162"/>
        <v>7893608.4299999997</v>
      </c>
      <c r="HA37" s="46">
        <f t="shared" si="163"/>
        <v>-1177229.6799999997</v>
      </c>
      <c r="HB37" s="49">
        <f t="shared" si="164"/>
        <v>2063.1490930475693</v>
      </c>
      <c r="HC37" s="49">
        <f t="shared" si="165"/>
        <v>167949.1155319149</v>
      </c>
      <c r="HD37" s="22">
        <v>7995841</v>
      </c>
      <c r="HE37" s="427">
        <v>6785519</v>
      </c>
      <c r="HF37" s="46">
        <f t="shared" si="166"/>
        <v>-1210322</v>
      </c>
      <c r="HG37" s="127">
        <f t="shared" si="167"/>
        <v>0.87767400174928611</v>
      </c>
      <c r="HH37" s="128"/>
      <c r="HI37" s="22">
        <v>2612892.11</v>
      </c>
      <c r="HJ37" s="427">
        <v>2234701</v>
      </c>
      <c r="HK37" s="72"/>
      <c r="HL37" s="23">
        <f t="shared" si="168"/>
        <v>47546.829787234041</v>
      </c>
      <c r="HM37" s="38">
        <f t="shared" si="169"/>
        <v>-378191.10999999987</v>
      </c>
      <c r="HN37" s="22">
        <v>5339946</v>
      </c>
      <c r="HO37" s="427">
        <f>HP37+HQ37</f>
        <v>4540907.43</v>
      </c>
      <c r="HP37" s="429">
        <v>1362272</v>
      </c>
      <c r="HQ37" s="429">
        <v>3178635.43</v>
      </c>
      <c r="HR37" s="38">
        <f t="shared" si="170"/>
        <v>-799038.5700000003</v>
      </c>
      <c r="HS37" s="629">
        <f t="shared" si="171"/>
        <v>96615.051702127646</v>
      </c>
      <c r="HT37" s="427">
        <v>0</v>
      </c>
      <c r="HU37" s="22">
        <v>1118000</v>
      </c>
      <c r="HV37" s="427">
        <f>HU37</f>
        <v>1118000</v>
      </c>
      <c r="HW37" s="72">
        <v>0</v>
      </c>
      <c r="HX37" s="40">
        <f t="shared" si="172"/>
        <v>0.1416335773321353</v>
      </c>
      <c r="HY37" s="631"/>
      <c r="HZ37" s="427">
        <v>0</v>
      </c>
      <c r="IA37" s="21">
        <f t="shared" si="173"/>
        <v>0</v>
      </c>
      <c r="IB37" s="47">
        <f t="shared" si="174"/>
        <v>23787.234042553191</v>
      </c>
      <c r="IC37" s="81">
        <f t="shared" si="175"/>
        <v>71334.063829787236</v>
      </c>
      <c r="ID37" s="21">
        <f>IA37/AE37</f>
        <v>0</v>
      </c>
      <c r="IE37" s="48">
        <v>5.07</v>
      </c>
      <c r="IF37" s="48">
        <v>4.96</v>
      </c>
      <c r="IG37" s="430">
        <v>0</v>
      </c>
      <c r="IH37" s="430">
        <v>0</v>
      </c>
      <c r="II37" s="47">
        <f>(HJ37+HV37+IH37)/AE37</f>
        <v>71334.063829787236</v>
      </c>
      <c r="IJ37" s="430">
        <v>0</v>
      </c>
      <c r="IK37" s="47">
        <f>(HJ37+HV37+IH37+IJ37)/AE37</f>
        <v>71334.063829787236</v>
      </c>
      <c r="IL37" s="50">
        <f t="shared" ref="IL37:IL41" si="178">(HJ37+HV37+IH37+IJ37)/(IG37+GY37-IM37)</f>
        <v>0.42473616847497969</v>
      </c>
      <c r="IM37" s="430">
        <v>0</v>
      </c>
      <c r="IN37" s="430"/>
      <c r="IO37" s="433">
        <v>0</v>
      </c>
      <c r="IP37" s="41">
        <f t="shared" ref="IP37:IP41" si="179">GY37+IG37</f>
        <v>7893608.4299999997</v>
      </c>
      <c r="IQ37" s="231"/>
      <c r="IR37" s="231">
        <f>IT37+IV37+IX37+IZ37+JB37+JD37+JF37+JH37+JJ37+JL37+JN37+JP37+JR37+JT37+JV37+JX37+JZ37</f>
        <v>0</v>
      </c>
      <c r="IS37" s="113"/>
      <c r="IT37" s="231"/>
      <c r="IU37" s="231"/>
      <c r="IV37" s="113"/>
      <c r="IW37" s="113"/>
      <c r="IX37" s="231"/>
      <c r="IY37" s="113"/>
      <c r="IZ37" s="231"/>
      <c r="JA37" s="113"/>
      <c r="JB37" s="231"/>
      <c r="JC37" s="114"/>
      <c r="JD37" s="321"/>
      <c r="JE37" s="313"/>
      <c r="JF37" s="313"/>
      <c r="JG37" s="122"/>
      <c r="JH37" s="231"/>
      <c r="JI37" s="122"/>
      <c r="JJ37" s="231"/>
      <c r="JK37" s="114"/>
      <c r="JL37" s="114"/>
      <c r="JM37" s="114"/>
      <c r="JN37" s="114"/>
      <c r="JO37" s="269"/>
      <c r="JP37" s="269"/>
      <c r="JQ37" s="269"/>
      <c r="JR37" s="269"/>
      <c r="JS37" s="269"/>
      <c r="JT37" s="269"/>
      <c r="JU37" s="231"/>
      <c r="JV37" s="122"/>
      <c r="JW37" s="114"/>
      <c r="JX37" s="122"/>
      <c r="JY37" s="122"/>
      <c r="JZ37" s="114"/>
    </row>
    <row r="38" spans="1:286" ht="42.75" customHeight="1">
      <c r="A38" s="85" t="s">
        <v>237</v>
      </c>
      <c r="B38" s="656"/>
      <c r="C38" s="7" t="s">
        <v>35</v>
      </c>
      <c r="D38" s="7" t="s">
        <v>112</v>
      </c>
      <c r="E38" s="7">
        <v>2014</v>
      </c>
      <c r="F38" s="7" t="s">
        <v>329</v>
      </c>
      <c r="G38" s="7" t="s">
        <v>54</v>
      </c>
      <c r="H38" s="7" t="s">
        <v>610</v>
      </c>
      <c r="I38" s="7" t="s">
        <v>172</v>
      </c>
      <c r="J38" s="53"/>
      <c r="K38" s="53"/>
      <c r="L38" s="255"/>
      <c r="M38" s="162"/>
      <c r="N38" s="104"/>
      <c r="O38" s="105"/>
      <c r="P38" s="213">
        <v>3512</v>
      </c>
      <c r="Q38" s="213">
        <f>R38</f>
        <v>977347</v>
      </c>
      <c r="R38" s="213">
        <v>977347</v>
      </c>
      <c r="S38" s="207">
        <f t="shared" si="124"/>
        <v>19546.939999999999</v>
      </c>
      <c r="T38" s="213">
        <f t="shared" si="125"/>
        <v>278.28787015945329</v>
      </c>
      <c r="U38" s="213">
        <f t="shared" si="126"/>
        <v>278.28787015945329</v>
      </c>
      <c r="V38" s="213">
        <f t="shared" si="127"/>
        <v>217.55371245915362</v>
      </c>
      <c r="W38" s="213">
        <f t="shared" si="128"/>
        <v>19546.939999999999</v>
      </c>
      <c r="X38" s="207">
        <f t="shared" si="129"/>
        <v>70.239999999999995</v>
      </c>
      <c r="Y38" s="216"/>
      <c r="Z38" s="905">
        <f t="shared" si="51"/>
        <v>142.36902050113895</v>
      </c>
      <c r="AA38" s="216" t="s">
        <v>194</v>
      </c>
      <c r="AB38" s="210"/>
      <c r="AC38" s="211"/>
      <c r="AD38" s="7" t="s">
        <v>16</v>
      </c>
      <c r="AE38" s="771">
        <f t="shared" si="130"/>
        <v>50</v>
      </c>
      <c r="AF38" s="771">
        <f t="shared" si="131"/>
        <v>50</v>
      </c>
      <c r="AG38" s="8"/>
      <c r="AH38" s="7">
        <v>50</v>
      </c>
      <c r="AI38" s="53"/>
      <c r="AJ38" s="53"/>
      <c r="AK38" s="269">
        <v>3918.4</v>
      </c>
      <c r="AL38" s="9">
        <v>4492.4399999999996</v>
      </c>
      <c r="AM38" s="57">
        <v>4492.4399999999996</v>
      </c>
      <c r="AN38" s="82">
        <v>4492.4399999999996</v>
      </c>
      <c r="AO38" s="9">
        <f t="shared" si="132"/>
        <v>89.848799999999997</v>
      </c>
      <c r="AP38" s="59"/>
      <c r="AQ38" s="59"/>
      <c r="AR38" s="59"/>
      <c r="AS38" s="59"/>
      <c r="AT38" s="59"/>
      <c r="AU38" s="9"/>
      <c r="AV38" s="76">
        <v>0</v>
      </c>
      <c r="AW38" s="78">
        <f>AV38/P38</f>
        <v>0</v>
      </c>
      <c r="AX38" s="57">
        <v>4</v>
      </c>
      <c r="AY38" s="56" t="s">
        <v>549</v>
      </c>
      <c r="AZ38" s="7" t="s">
        <v>120</v>
      </c>
      <c r="BA38" s="59">
        <v>8177215</v>
      </c>
      <c r="BB38" s="803">
        <f>BA38/AN38</f>
        <v>1820.2168532022688</v>
      </c>
      <c r="BC38" s="53"/>
      <c r="BD38" s="190">
        <v>41591</v>
      </c>
      <c r="BE38" s="53"/>
      <c r="BF38" s="110" t="s">
        <v>12</v>
      </c>
      <c r="BG38" s="108" t="s">
        <v>246</v>
      </c>
      <c r="BH38" s="774" t="s">
        <v>168</v>
      </c>
      <c r="BI38" s="204">
        <v>41848</v>
      </c>
      <c r="BJ38" s="99"/>
      <c r="BK38" s="99">
        <v>41962</v>
      </c>
      <c r="BL38" s="204">
        <v>42195</v>
      </c>
      <c r="BM38" s="99"/>
      <c r="BN38" s="160">
        <v>42228</v>
      </c>
      <c r="BO38" s="202">
        <v>42250</v>
      </c>
      <c r="BP38" s="161">
        <v>42328</v>
      </c>
      <c r="BQ38" s="161">
        <v>42264</v>
      </c>
      <c r="BR38" s="299">
        <v>42325</v>
      </c>
      <c r="BS38" s="298">
        <f t="shared" si="133"/>
        <v>43056</v>
      </c>
      <c r="BT38" s="298">
        <f t="shared" si="134"/>
        <v>43421</v>
      </c>
      <c r="BU38" s="298"/>
      <c r="BV38" s="298" t="str">
        <f t="shared" si="135"/>
        <v>oui</v>
      </c>
      <c r="BW38" s="672">
        <f t="shared" si="136"/>
        <v>7</v>
      </c>
      <c r="BX38" s="672">
        <f t="shared" si="137"/>
        <v>163112.89964363858</v>
      </c>
      <c r="BY38" s="672">
        <f t="shared" si="138"/>
        <v>0</v>
      </c>
      <c r="BZ38" s="824" t="s">
        <v>128</v>
      </c>
      <c r="CA38" s="817" t="s">
        <v>358</v>
      </c>
      <c r="CB38" s="826"/>
      <c r="CC38" s="826"/>
      <c r="CD38" s="826"/>
      <c r="CE38" s="826"/>
      <c r="CF38" s="819">
        <v>42401</v>
      </c>
      <c r="CG38" s="819"/>
      <c r="CH38" s="819"/>
      <c r="CI38" s="819"/>
      <c r="CJ38" s="819"/>
      <c r="CK38" s="819"/>
      <c r="CL38" s="819"/>
      <c r="CM38" s="819">
        <v>42410</v>
      </c>
      <c r="CN38" s="819">
        <v>42360</v>
      </c>
      <c r="CO38" s="819"/>
      <c r="CP38" s="819"/>
      <c r="CQ38" s="819"/>
      <c r="CR38" s="819"/>
      <c r="CS38" s="156" t="s">
        <v>68</v>
      </c>
      <c r="CT38" s="307">
        <v>42333</v>
      </c>
      <c r="CU38" s="405" t="s">
        <v>361</v>
      </c>
      <c r="CV38" s="580">
        <v>8009024.4900000002</v>
      </c>
      <c r="CW38" s="581">
        <f>DATE(YEAR(CT38),MONTH(CT38)+18,DAY(CT38))</f>
        <v>42880</v>
      </c>
      <c r="CX38" s="405">
        <f t="shared" si="176"/>
        <v>43064</v>
      </c>
      <c r="CY38" s="340">
        <v>42636</v>
      </c>
      <c r="CZ38" s="250">
        <v>43157</v>
      </c>
      <c r="DA38" s="597">
        <f t="shared" si="177"/>
        <v>1.6666666666666667</v>
      </c>
      <c r="DB38" s="122"/>
      <c r="DC38" s="122"/>
      <c r="DD38" s="122"/>
      <c r="DE38" s="550" t="str">
        <f t="shared" si="139"/>
        <v>0</v>
      </c>
      <c r="DF38" s="122">
        <v>41676</v>
      </c>
      <c r="DG38" s="122">
        <v>40946</v>
      </c>
      <c r="DH38" s="550">
        <f t="shared" si="140"/>
        <v>-730</v>
      </c>
      <c r="DI38" s="122"/>
      <c r="DJ38" s="122"/>
      <c r="DK38" s="550" t="str">
        <f t="shared" si="141"/>
        <v>0</v>
      </c>
      <c r="DL38" s="122"/>
      <c r="DM38" s="122"/>
      <c r="DN38" s="550" t="str">
        <f t="shared" si="142"/>
        <v>0</v>
      </c>
      <c r="DO38" s="122"/>
      <c r="DP38" s="122"/>
      <c r="DQ38" s="550" t="str">
        <f t="shared" si="143"/>
        <v>0</v>
      </c>
      <c r="DR38" s="78"/>
      <c r="DS38" s="122"/>
      <c r="DT38" s="122"/>
      <c r="DU38" s="122"/>
      <c r="DV38" s="550" t="str">
        <f t="shared" si="144"/>
        <v>0</v>
      </c>
      <c r="DW38" s="122">
        <v>42349</v>
      </c>
      <c r="DX38" s="757">
        <v>42348</v>
      </c>
      <c r="DY38" s="343">
        <v>2015</v>
      </c>
      <c r="DZ38" s="444">
        <f t="shared" si="145"/>
        <v>16.666666666666668</v>
      </c>
      <c r="EA38" s="523">
        <f t="shared" si="146"/>
        <v>-1</v>
      </c>
      <c r="EB38" s="243">
        <v>24</v>
      </c>
      <c r="EC38" s="116">
        <f t="shared" si="147"/>
        <v>27</v>
      </c>
      <c r="ED38" s="122"/>
      <c r="EE38" s="122"/>
      <c r="EF38" s="523" t="str">
        <f t="shared" si="148"/>
        <v>0</v>
      </c>
      <c r="EG38" s="525"/>
      <c r="EH38" s="524">
        <v>42606</v>
      </c>
      <c r="EI38" s="526" t="str">
        <f t="shared" si="149"/>
        <v>0</v>
      </c>
      <c r="EJ38" s="525"/>
      <c r="EK38" s="736"/>
      <c r="EL38" s="523" t="str">
        <f t="shared" si="150"/>
        <v>0</v>
      </c>
      <c r="EM38" s="122"/>
      <c r="EN38" s="122">
        <v>42929</v>
      </c>
      <c r="EO38" s="523" t="str">
        <f t="shared" si="151"/>
        <v>0</v>
      </c>
      <c r="EP38" s="122"/>
      <c r="EQ38" s="122">
        <v>43034</v>
      </c>
      <c r="ER38" s="523" t="str">
        <f t="shared" si="152"/>
        <v>0</v>
      </c>
      <c r="ES38" s="122"/>
      <c r="ET38" s="122"/>
      <c r="EU38" s="523" t="str">
        <f t="shared" si="153"/>
        <v>0</v>
      </c>
      <c r="EV38" s="122"/>
      <c r="EW38" s="122">
        <v>43052</v>
      </c>
      <c r="EX38" s="523" t="str">
        <f t="shared" si="154"/>
        <v>0</v>
      </c>
      <c r="EY38" s="122"/>
      <c r="EZ38" s="122"/>
      <c r="FA38" s="122"/>
      <c r="FB38" s="601">
        <f t="shared" si="155"/>
        <v>43079</v>
      </c>
      <c r="FC38" s="349">
        <v>43189</v>
      </c>
      <c r="FD38" s="707">
        <f t="shared" si="156"/>
        <v>3.6666666666666665</v>
      </c>
      <c r="FE38" s="732">
        <f t="shared" si="157"/>
        <v>43366</v>
      </c>
      <c r="FF38" s="624">
        <v>43189</v>
      </c>
      <c r="FG38" s="315">
        <v>43017</v>
      </c>
      <c r="FH38" s="315">
        <v>43189</v>
      </c>
      <c r="FI38" s="601"/>
      <c r="FJ38" s="455">
        <f>DATE(YEAR(FB38),MONTH(FB38)+1,DAY(FB38))</f>
        <v>43110</v>
      </c>
      <c r="FK38" s="440">
        <v>43207</v>
      </c>
      <c r="FL38" s="441">
        <v>2018</v>
      </c>
      <c r="FM38" s="705">
        <f t="shared" si="158"/>
        <v>3.2333333333333334</v>
      </c>
      <c r="FN38" s="694">
        <f>279622.113674809/12</f>
        <v>23301.842806234083</v>
      </c>
      <c r="FO38" s="314">
        <f t="shared" si="159"/>
        <v>75342.625073490199</v>
      </c>
      <c r="FP38" s="735" t="s">
        <v>648</v>
      </c>
      <c r="FQ38" s="556">
        <v>119075</v>
      </c>
      <c r="FR38" s="692">
        <v>66513.73</v>
      </c>
      <c r="FS38" s="556"/>
      <c r="FT38" s="556"/>
      <c r="FU38" s="556">
        <v>0</v>
      </c>
      <c r="FV38" s="749">
        <f t="shared" si="160"/>
        <v>0</v>
      </c>
      <c r="FW38" s="554" t="s">
        <v>696</v>
      </c>
      <c r="FX38" s="760"/>
      <c r="FY38" s="760" t="s">
        <v>812</v>
      </c>
      <c r="FZ38" s="555" t="s">
        <v>697</v>
      </c>
      <c r="GA38" s="121"/>
      <c r="GB38" s="121"/>
      <c r="GC38" s="121"/>
      <c r="GD38" s="121"/>
      <c r="GE38" s="121"/>
      <c r="GF38" s="53"/>
      <c r="GG38" s="280">
        <f t="shared" si="161"/>
        <v>43554</v>
      </c>
      <c r="GH38" s="682"/>
      <c r="GI38" s="114"/>
      <c r="GJ38" s="113">
        <v>43340</v>
      </c>
      <c r="GK38" s="53"/>
      <c r="GL38" s="53"/>
      <c r="GM38" s="53"/>
      <c r="GN38" s="53"/>
      <c r="GO38" s="53"/>
      <c r="GP38" s="53"/>
      <c r="GQ38" s="184"/>
      <c r="GR38" s="113">
        <v>43287</v>
      </c>
      <c r="GS38" s="53"/>
      <c r="GT38" s="53"/>
      <c r="GU38" s="53"/>
      <c r="GV38" s="109"/>
      <c r="GW38" s="112"/>
      <c r="GX38" s="10">
        <f>+HI38+HN38+HU38+IO38</f>
        <v>8927957.6050000004</v>
      </c>
      <c r="GY38" s="11">
        <f>HJ38+HO38+HV38+IO38+HW38+HZ38</f>
        <v>8836763.6449999996</v>
      </c>
      <c r="GZ38" s="797">
        <f t="shared" si="162"/>
        <v>8836763.6449999996</v>
      </c>
      <c r="HA38" s="12">
        <f t="shared" si="163"/>
        <v>-91193.960000000894</v>
      </c>
      <c r="HB38" s="49">
        <f t="shared" si="164"/>
        <v>1967.0298646170011</v>
      </c>
      <c r="HC38" s="49">
        <f t="shared" si="165"/>
        <v>176735.27289999998</v>
      </c>
      <c r="HD38" s="10">
        <v>8046979</v>
      </c>
      <c r="HE38" s="11">
        <v>7435240.3190134894</v>
      </c>
      <c r="HF38" s="12">
        <f t="shared" si="166"/>
        <v>-611738.68098651059</v>
      </c>
      <c r="HG38" s="127">
        <f t="shared" si="167"/>
        <v>0.8590679428218172</v>
      </c>
      <c r="HH38" s="128"/>
      <c r="HI38" s="10">
        <v>2663620</v>
      </c>
      <c r="HJ38" s="11">
        <v>2572426.04</v>
      </c>
      <c r="HK38" s="646"/>
      <c r="HL38" s="23">
        <f t="shared" si="168"/>
        <v>51448.520799999998</v>
      </c>
      <c r="HM38" s="37">
        <f t="shared" si="169"/>
        <v>-91193.959999999963</v>
      </c>
      <c r="HN38" s="10">
        <f>HO38</f>
        <v>5272823.875</v>
      </c>
      <c r="HO38" s="11">
        <f>HP38+HQ38</f>
        <v>5272823.875</v>
      </c>
      <c r="HP38" s="13">
        <v>1076863.6000000001</v>
      </c>
      <c r="HQ38" s="13">
        <v>4195960.2750000004</v>
      </c>
      <c r="HR38" s="37">
        <f t="shared" si="170"/>
        <v>0</v>
      </c>
      <c r="HS38" s="629">
        <f t="shared" si="171"/>
        <v>105456.47749999999</v>
      </c>
      <c r="HT38" s="11"/>
      <c r="HU38" s="10">
        <v>925000</v>
      </c>
      <c r="HV38" s="11">
        <f>HU38</f>
        <v>925000</v>
      </c>
      <c r="HW38" s="67">
        <v>0</v>
      </c>
      <c r="HX38" s="40">
        <f t="shared" si="172"/>
        <v>0.10467633142178491</v>
      </c>
      <c r="HY38" s="303"/>
      <c r="HZ38" s="11">
        <v>0</v>
      </c>
      <c r="IA38" s="24">
        <f t="shared" si="173"/>
        <v>0</v>
      </c>
      <c r="IB38" s="47">
        <f t="shared" si="174"/>
        <v>18500</v>
      </c>
      <c r="IC38" s="81">
        <f t="shared" si="175"/>
        <v>69948.520799999998</v>
      </c>
      <c r="ID38" s="24">
        <f>IA38/AE38</f>
        <v>0</v>
      </c>
      <c r="IE38" s="780">
        <v>4.9400000000000004</v>
      </c>
      <c r="IF38" s="780">
        <v>4.93</v>
      </c>
      <c r="IG38" s="39"/>
      <c r="IH38" s="39">
        <v>0</v>
      </c>
      <c r="II38" s="23">
        <f>(HJ38+HV38+IH38)/AE38</f>
        <v>69948.520799999998</v>
      </c>
      <c r="IJ38" s="39"/>
      <c r="IK38" s="23">
        <f>(HJ38+HV38+IH38+IJ38)/AE38</f>
        <v>69948.520799999998</v>
      </c>
      <c r="IL38" s="50">
        <f t="shared" si="178"/>
        <v>0.39578132679591432</v>
      </c>
      <c r="IM38" s="39"/>
      <c r="IN38" s="39"/>
      <c r="IO38" s="11">
        <f>FR38</f>
        <v>66513.73</v>
      </c>
      <c r="IP38" s="41">
        <f t="shared" si="179"/>
        <v>8836763.6449999996</v>
      </c>
      <c r="IQ38" s="277"/>
      <c r="IR38" s="277">
        <f>IT38+IV38+IX38+IZ38+JB38+JD38+JF38+JH38+JJ38+JL38+JN38+JP38+JR38+JT38+JV38+JX38+JZ38</f>
        <v>0</v>
      </c>
      <c r="IS38" s="113"/>
      <c r="IT38" s="231"/>
      <c r="IU38" s="122"/>
      <c r="IV38" s="113"/>
      <c r="IW38" s="113"/>
      <c r="IX38" s="231"/>
      <c r="IY38" s="113"/>
      <c r="IZ38" s="231"/>
      <c r="JA38" s="125"/>
      <c r="JB38" s="231"/>
      <c r="JC38" s="122"/>
      <c r="JD38" s="321"/>
      <c r="JE38" s="313"/>
      <c r="JF38" s="313"/>
      <c r="JG38" s="122"/>
      <c r="JH38" s="231"/>
      <c r="JI38" s="122"/>
      <c r="JJ38" s="231"/>
      <c r="JK38" s="114"/>
      <c r="JL38" s="114"/>
      <c r="JM38" s="300"/>
      <c r="JN38" s="300"/>
      <c r="JO38" s="269"/>
      <c r="JP38" s="269"/>
      <c r="JQ38" s="269"/>
      <c r="JR38" s="269"/>
      <c r="JS38" s="269"/>
      <c r="JT38" s="269"/>
      <c r="JU38" s="231"/>
      <c r="JV38" s="122"/>
      <c r="JW38" s="114"/>
      <c r="JX38" s="122"/>
      <c r="JY38" s="122"/>
      <c r="JZ38" s="114"/>
    </row>
    <row r="39" spans="1:286" ht="15" customHeight="1">
      <c r="A39" s="83" t="s">
        <v>278</v>
      </c>
      <c r="B39" s="98"/>
      <c r="C39" s="7" t="s">
        <v>39</v>
      </c>
      <c r="D39" s="7" t="s">
        <v>114</v>
      </c>
      <c r="E39" s="20">
        <v>2014</v>
      </c>
      <c r="F39" s="7" t="s">
        <v>165</v>
      </c>
      <c r="G39" s="20" t="s">
        <v>54</v>
      </c>
      <c r="H39" s="765" t="s">
        <v>610</v>
      </c>
      <c r="I39" s="20" t="s">
        <v>250</v>
      </c>
      <c r="J39" s="54" t="s">
        <v>120</v>
      </c>
      <c r="K39" s="53"/>
      <c r="L39" s="255"/>
      <c r="M39" s="162" t="s">
        <v>60</v>
      </c>
      <c r="N39" s="104" t="s">
        <v>138</v>
      </c>
      <c r="O39" s="105"/>
      <c r="P39" s="213">
        <v>1500</v>
      </c>
      <c r="Q39" s="213">
        <f>R39</f>
        <v>128915</v>
      </c>
      <c r="R39" s="213">
        <v>128915</v>
      </c>
      <c r="S39" s="207">
        <f t="shared" si="124"/>
        <v>8057.1875</v>
      </c>
      <c r="T39" s="213">
        <f t="shared" si="125"/>
        <v>85.943333333333328</v>
      </c>
      <c r="U39" s="213">
        <f t="shared" si="126"/>
        <v>85.943333333333328</v>
      </c>
      <c r="V39" s="213">
        <f t="shared" si="127"/>
        <v>91.134345662255399</v>
      </c>
      <c r="W39" s="213">
        <f t="shared" si="128"/>
        <v>8057.1875</v>
      </c>
      <c r="X39" s="207">
        <f t="shared" si="129"/>
        <v>93.75</v>
      </c>
      <c r="Y39" s="216"/>
      <c r="Z39" s="905">
        <f t="shared" si="51"/>
        <v>106.66666666666667</v>
      </c>
      <c r="AA39" s="216"/>
      <c r="AB39" s="412">
        <v>90</v>
      </c>
      <c r="AC39" s="413"/>
      <c r="AD39" s="7" t="s">
        <v>16</v>
      </c>
      <c r="AE39" s="771">
        <f t="shared" si="130"/>
        <v>16</v>
      </c>
      <c r="AF39" s="771">
        <f t="shared" si="131"/>
        <v>16</v>
      </c>
      <c r="AG39" s="8"/>
      <c r="AH39" s="7">
        <v>16</v>
      </c>
      <c r="AI39" s="53"/>
      <c r="AJ39" s="53"/>
      <c r="AK39" s="269"/>
      <c r="AL39" s="416">
        <v>1374.99</v>
      </c>
      <c r="AM39" s="58"/>
      <c r="AN39" s="417">
        <v>1414.56</v>
      </c>
      <c r="AO39" s="9">
        <f t="shared" si="132"/>
        <v>88.41</v>
      </c>
      <c r="AP39" s="79">
        <f>2/AE39</f>
        <v>0.125</v>
      </c>
      <c r="AQ39" s="79">
        <f>2/AE39</f>
        <v>0.125</v>
      </c>
      <c r="AR39" s="79">
        <f>6/AE39</f>
        <v>0.375</v>
      </c>
      <c r="AS39" s="79">
        <f>5/AE39</f>
        <v>0.3125</v>
      </c>
      <c r="AT39" s="79">
        <f>1/AE39</f>
        <v>6.25E-2</v>
      </c>
      <c r="AU39" s="416"/>
      <c r="AV39" s="77">
        <v>0</v>
      </c>
      <c r="AW39" s="79">
        <f>AV39/P39</f>
        <v>0</v>
      </c>
      <c r="AX39" s="58">
        <v>2.5</v>
      </c>
      <c r="AY39" s="56" t="s">
        <v>549</v>
      </c>
      <c r="AZ39" s="20" t="s">
        <v>120</v>
      </c>
      <c r="BA39" s="54"/>
      <c r="BB39" s="54"/>
      <c r="BC39" s="54"/>
      <c r="BD39" s="190">
        <v>41667</v>
      </c>
      <c r="BE39" s="190">
        <v>41781</v>
      </c>
      <c r="BF39" s="110" t="s">
        <v>247</v>
      </c>
      <c r="BG39" s="108" t="s">
        <v>367</v>
      </c>
      <c r="BH39" s="35"/>
      <c r="BI39" s="204">
        <v>41929</v>
      </c>
      <c r="BJ39" s="99"/>
      <c r="BK39" s="99">
        <v>41955</v>
      </c>
      <c r="BL39" s="204">
        <v>41992</v>
      </c>
      <c r="BM39" s="99"/>
      <c r="BN39" s="160">
        <v>42017</v>
      </c>
      <c r="BO39" s="424" t="s">
        <v>269</v>
      </c>
      <c r="BP39" s="164">
        <v>42116</v>
      </c>
      <c r="BQ39" s="164">
        <v>42074</v>
      </c>
      <c r="BR39" s="298">
        <v>42118</v>
      </c>
      <c r="BS39" s="298">
        <f t="shared" si="133"/>
        <v>42849</v>
      </c>
      <c r="BT39" s="298">
        <f t="shared" si="134"/>
        <v>43214</v>
      </c>
      <c r="BU39" s="298"/>
      <c r="BV39" s="298" t="str">
        <f t="shared" si="135"/>
        <v>oui</v>
      </c>
      <c r="BW39" s="672">
        <f t="shared" si="136"/>
        <v>8</v>
      </c>
      <c r="BX39" s="672">
        <f t="shared" si="137"/>
        <v>59281.617932302062</v>
      </c>
      <c r="BY39" s="672">
        <f t="shared" si="138"/>
        <v>0</v>
      </c>
      <c r="BZ39" s="829" t="s">
        <v>262</v>
      </c>
      <c r="CA39" s="817" t="s">
        <v>281</v>
      </c>
      <c r="CB39" s="830" t="s">
        <v>327</v>
      </c>
      <c r="CC39" s="830"/>
      <c r="CD39" s="830"/>
      <c r="CE39" s="830"/>
      <c r="CF39" s="819"/>
      <c r="CG39" s="819"/>
      <c r="CH39" s="819"/>
      <c r="CI39" s="819"/>
      <c r="CJ39" s="819"/>
      <c r="CK39" s="819"/>
      <c r="CL39" s="819"/>
      <c r="CM39" s="819"/>
      <c r="CN39" s="819"/>
      <c r="CO39" s="819"/>
      <c r="CP39" s="819"/>
      <c r="CQ39" s="819"/>
      <c r="CR39" s="819"/>
      <c r="CS39" s="156" t="s">
        <v>138</v>
      </c>
      <c r="CT39" s="307">
        <v>42478</v>
      </c>
      <c r="CU39" s="250" t="s">
        <v>409</v>
      </c>
      <c r="CV39" s="157">
        <v>2657721.79</v>
      </c>
      <c r="CW39" s="307">
        <v>42522</v>
      </c>
      <c r="CX39" s="340">
        <f t="shared" si="176"/>
        <v>43208</v>
      </c>
      <c r="CY39" s="340">
        <v>42573</v>
      </c>
      <c r="CZ39" s="256">
        <f>DATE(YEAR(CT39),MONTH(CT39)+22,DAY(CT39))</f>
        <v>43149</v>
      </c>
      <c r="DA39" s="597">
        <f t="shared" si="177"/>
        <v>-6.4</v>
      </c>
      <c r="DB39" s="122"/>
      <c r="DC39" s="122"/>
      <c r="DD39" s="122"/>
      <c r="DE39" s="523" t="str">
        <f t="shared" si="139"/>
        <v>0</v>
      </c>
      <c r="DF39" s="122"/>
      <c r="DG39" s="122"/>
      <c r="DH39" s="523" t="str">
        <f t="shared" si="140"/>
        <v>0</v>
      </c>
      <c r="DI39" s="122"/>
      <c r="DJ39" s="122"/>
      <c r="DK39" s="523" t="str">
        <f t="shared" si="141"/>
        <v>0</v>
      </c>
      <c r="DL39" s="122"/>
      <c r="DM39" s="122"/>
      <c r="DN39" s="523" t="str">
        <f t="shared" si="142"/>
        <v>0</v>
      </c>
      <c r="DO39" s="125"/>
      <c r="DP39" s="569"/>
      <c r="DQ39" s="523" t="str">
        <f t="shared" si="143"/>
        <v>0</v>
      </c>
      <c r="DR39" s="452"/>
      <c r="DS39" s="231"/>
      <c r="DT39" s="122"/>
      <c r="DU39" s="231"/>
      <c r="DV39" s="523" t="str">
        <f t="shared" si="144"/>
        <v>0</v>
      </c>
      <c r="DW39" s="122"/>
      <c r="DX39" s="347">
        <v>42488</v>
      </c>
      <c r="DY39" s="343">
        <v>2016</v>
      </c>
      <c r="DZ39" s="444">
        <f t="shared" si="145"/>
        <v>18.633333333333333</v>
      </c>
      <c r="EA39" s="523" t="str">
        <f t="shared" si="146"/>
        <v>0</v>
      </c>
      <c r="EB39" s="116">
        <v>13</v>
      </c>
      <c r="EC39" s="116">
        <f t="shared" si="147"/>
        <v>14</v>
      </c>
      <c r="ED39" s="122"/>
      <c r="EE39" s="231"/>
      <c r="EF39" s="523" t="str">
        <f t="shared" si="148"/>
        <v>0</v>
      </c>
      <c r="EG39" s="122"/>
      <c r="EH39" s="567"/>
      <c r="EI39" s="526" t="str">
        <f t="shared" si="149"/>
        <v>0</v>
      </c>
      <c r="EJ39" s="125"/>
      <c r="EK39" s="315"/>
      <c r="EL39" s="523" t="str">
        <f t="shared" si="150"/>
        <v>0</v>
      </c>
      <c r="EM39" s="122"/>
      <c r="EN39" s="122"/>
      <c r="EO39" s="523" t="str">
        <f t="shared" si="151"/>
        <v>0</v>
      </c>
      <c r="EP39" s="122"/>
      <c r="EQ39" s="122"/>
      <c r="ER39" s="523" t="str">
        <f t="shared" si="152"/>
        <v>0</v>
      </c>
      <c r="ES39" s="122"/>
      <c r="ET39" s="122"/>
      <c r="EU39" s="523" t="str">
        <f t="shared" si="153"/>
        <v>0</v>
      </c>
      <c r="EV39" s="122"/>
      <c r="EW39" s="122"/>
      <c r="EX39" s="523" t="str">
        <f t="shared" si="154"/>
        <v>0</v>
      </c>
      <c r="EY39" s="122"/>
      <c r="EZ39" s="122"/>
      <c r="FA39" s="122"/>
      <c r="FB39" s="572">
        <f t="shared" si="155"/>
        <v>42883</v>
      </c>
      <c r="FC39" s="347">
        <v>42921</v>
      </c>
      <c r="FD39" s="707">
        <f t="shared" si="156"/>
        <v>1.2666666666666666</v>
      </c>
      <c r="FE39" s="455">
        <f t="shared" si="157"/>
        <v>43303</v>
      </c>
      <c r="FF39" s="115">
        <v>42928</v>
      </c>
      <c r="FG39" s="115">
        <v>42702</v>
      </c>
      <c r="FH39" s="115">
        <v>42942</v>
      </c>
      <c r="FI39" s="115"/>
      <c r="FJ39" s="455">
        <f>DATE(YEAR(FB39),MONTH(FB39)+1,DAY(FB39))</f>
        <v>42914</v>
      </c>
      <c r="FK39" s="349">
        <v>42957</v>
      </c>
      <c r="FL39" s="343">
        <v>2017</v>
      </c>
      <c r="FM39" s="704">
        <f t="shared" si="158"/>
        <v>1.4333333333333333</v>
      </c>
      <c r="FN39" s="444">
        <f>88922.4268984531/12</f>
        <v>7410.2022415377578</v>
      </c>
      <c r="FO39" s="314">
        <f t="shared" si="159"/>
        <v>10621.289879537453</v>
      </c>
      <c r="FP39" s="404">
        <v>42901</v>
      </c>
      <c r="FQ39" s="552">
        <v>0</v>
      </c>
      <c r="FR39" s="552">
        <v>0</v>
      </c>
      <c r="FS39" s="556"/>
      <c r="FT39" s="556"/>
      <c r="FU39" s="556">
        <v>12993.96</v>
      </c>
      <c r="FV39" s="749">
        <f t="shared" si="160"/>
        <v>4.665640564888658E-3</v>
      </c>
      <c r="FW39" s="558"/>
      <c r="FX39" s="576" t="s">
        <v>736</v>
      </c>
      <c r="FY39" s="558"/>
      <c r="FZ39" s="558"/>
      <c r="GA39" s="235" t="s">
        <v>128</v>
      </c>
      <c r="GB39" s="235" t="s">
        <v>128</v>
      </c>
      <c r="GC39" s="200" t="s">
        <v>128</v>
      </c>
      <c r="GD39" s="122" t="s">
        <v>128</v>
      </c>
      <c r="GE39" s="315">
        <v>43146</v>
      </c>
      <c r="GF39" s="323" t="s">
        <v>770</v>
      </c>
      <c r="GG39" s="280">
        <f t="shared" si="161"/>
        <v>43286</v>
      </c>
      <c r="GH39" s="677">
        <v>9694</v>
      </c>
      <c r="GI39" s="315">
        <v>43056</v>
      </c>
      <c r="GJ39" s="315">
        <v>43059</v>
      </c>
      <c r="GK39" s="315"/>
      <c r="GL39" s="315"/>
      <c r="GM39" s="316">
        <v>43180</v>
      </c>
      <c r="GN39" s="54"/>
      <c r="GO39" s="323" t="s">
        <v>128</v>
      </c>
      <c r="GP39" s="799">
        <v>43336</v>
      </c>
      <c r="GQ39" s="54"/>
      <c r="GR39" s="233" t="s">
        <v>128</v>
      </c>
      <c r="GS39" s="233" t="s">
        <v>128</v>
      </c>
      <c r="GT39" s="233" t="s">
        <v>128</v>
      </c>
      <c r="GU39" s="54"/>
      <c r="GV39" s="109"/>
      <c r="GW39" s="606">
        <v>2681224</v>
      </c>
      <c r="GX39" s="22">
        <f>HI39+HN39+HU39</f>
        <v>2681224</v>
      </c>
      <c r="GY39" s="427">
        <f>HJ39+HO39+HV39+IO39+HT39+HZ39+HY39</f>
        <v>2785032.37</v>
      </c>
      <c r="GZ39" s="797">
        <f t="shared" si="162"/>
        <v>2785032.37</v>
      </c>
      <c r="HA39" s="46">
        <f t="shared" si="163"/>
        <v>103808.37000000011</v>
      </c>
      <c r="HB39" s="49">
        <f t="shared" si="164"/>
        <v>2025.4928181295866</v>
      </c>
      <c r="HC39" s="49">
        <f t="shared" si="165"/>
        <v>174064.52312500001</v>
      </c>
      <c r="HD39" s="22"/>
      <c r="HE39" s="427">
        <v>2460822</v>
      </c>
      <c r="HF39" s="46">
        <f t="shared" si="166"/>
        <v>2460822</v>
      </c>
      <c r="HG39" s="127">
        <f t="shared" si="167"/>
        <v>0.90214364797490654</v>
      </c>
      <c r="HH39" s="128"/>
      <c r="HI39" s="22">
        <v>797080</v>
      </c>
      <c r="HJ39" s="836">
        <v>863024</v>
      </c>
      <c r="HK39" s="766"/>
      <c r="HL39" s="640">
        <f t="shared" si="168"/>
        <v>53939</v>
      </c>
      <c r="HM39" s="38">
        <f t="shared" si="169"/>
        <v>65944</v>
      </c>
      <c r="HN39" s="22">
        <f>290632+1273512</f>
        <v>1564144</v>
      </c>
      <c r="HO39" s="427">
        <f>HP39+HQ39</f>
        <v>1596953.37</v>
      </c>
      <c r="HP39" s="429">
        <v>242605.3</v>
      </c>
      <c r="HQ39" s="429">
        <v>1354348.07</v>
      </c>
      <c r="HR39" s="38">
        <f t="shared" si="170"/>
        <v>32809.370000000112</v>
      </c>
      <c r="HS39" s="629">
        <f t="shared" si="171"/>
        <v>99809.585625000007</v>
      </c>
      <c r="HT39" s="427"/>
      <c r="HU39" s="22">
        <v>320000</v>
      </c>
      <c r="HV39" s="427">
        <f>144000*0+320000</f>
        <v>320000</v>
      </c>
      <c r="HW39" s="72">
        <v>0</v>
      </c>
      <c r="HX39" s="40">
        <f t="shared" si="172"/>
        <v>0.1148999212529799</v>
      </c>
      <c r="HY39" s="93"/>
      <c r="HZ39" s="427">
        <v>5055</v>
      </c>
      <c r="IA39" s="21">
        <f t="shared" si="173"/>
        <v>0</v>
      </c>
      <c r="IB39" s="47">
        <f t="shared" si="174"/>
        <v>20000</v>
      </c>
      <c r="IC39" s="81">
        <f t="shared" si="175"/>
        <v>73939</v>
      </c>
      <c r="ID39" s="24">
        <f>IA39/AE39</f>
        <v>0</v>
      </c>
      <c r="IE39" s="780">
        <v>5.07</v>
      </c>
      <c r="IF39" s="780">
        <v>5.07</v>
      </c>
      <c r="IG39" s="39">
        <v>0</v>
      </c>
      <c r="IH39" s="39">
        <v>0</v>
      </c>
      <c r="II39" s="23">
        <f>(HJ39+HV39+IH39)/AE39</f>
        <v>73939</v>
      </c>
      <c r="IJ39" s="39">
        <v>0</v>
      </c>
      <c r="IK39" s="23">
        <f>(HJ39+HV39+IH39+IJ39)/AE39</f>
        <v>73939</v>
      </c>
      <c r="IL39" s="50">
        <f t="shared" si="178"/>
        <v>0.42477926387620407</v>
      </c>
      <c r="IM39" s="39">
        <v>0</v>
      </c>
      <c r="IN39" s="39"/>
      <c r="IO39" s="11">
        <v>0</v>
      </c>
      <c r="IP39" s="41">
        <f t="shared" si="179"/>
        <v>2785032.37</v>
      </c>
      <c r="IQ39" s="277">
        <v>141274</v>
      </c>
      <c r="IR39" s="277">
        <f>IT39+IV39+IX39+IZ39+JB39+JD39+JF39+JH39+JJ39+JL39+JN39+JP39+JR39+JT39+JV39+JX39+JZ39</f>
        <v>141274</v>
      </c>
      <c r="IS39" s="113">
        <v>41641</v>
      </c>
      <c r="IT39" s="231">
        <v>14192</v>
      </c>
      <c r="IU39" s="231"/>
      <c r="IV39" s="113"/>
      <c r="IW39" s="113">
        <v>41696</v>
      </c>
      <c r="IX39" s="231">
        <v>7096</v>
      </c>
      <c r="IY39" s="113"/>
      <c r="IZ39" s="231"/>
      <c r="JA39" s="113">
        <v>41827</v>
      </c>
      <c r="JB39" s="231">
        <v>27458</v>
      </c>
      <c r="JC39" s="114">
        <v>41933</v>
      </c>
      <c r="JD39" s="321">
        <v>20852</v>
      </c>
      <c r="JE39" s="313"/>
      <c r="JF39" s="313"/>
      <c r="JG39" s="122">
        <v>42564</v>
      </c>
      <c r="JH39" s="231"/>
      <c r="JI39" s="122">
        <v>42564</v>
      </c>
      <c r="JJ39" s="231"/>
      <c r="JK39" s="122">
        <v>42564</v>
      </c>
      <c r="JL39" s="231">
        <v>30071</v>
      </c>
      <c r="JM39" s="122">
        <v>42660</v>
      </c>
      <c r="JN39" s="231">
        <v>8517</v>
      </c>
      <c r="JO39" s="122">
        <v>42822</v>
      </c>
      <c r="JP39" s="231">
        <v>6635</v>
      </c>
      <c r="JQ39" s="236">
        <v>42902</v>
      </c>
      <c r="JR39" s="231">
        <v>7555</v>
      </c>
      <c r="JS39" s="236">
        <v>42921</v>
      </c>
      <c r="JT39" s="231">
        <v>7198</v>
      </c>
      <c r="JU39" s="231"/>
      <c r="JV39" s="122"/>
      <c r="JW39" s="113">
        <v>42964</v>
      </c>
      <c r="JX39" s="114">
        <v>7429</v>
      </c>
      <c r="JY39" s="122">
        <v>43143</v>
      </c>
      <c r="JZ39" s="114">
        <v>4271</v>
      </c>
    </row>
    <row r="40" spans="1:286" ht="25.5" customHeight="1">
      <c r="A40" s="83" t="s">
        <v>280</v>
      </c>
      <c r="B40" s="98"/>
      <c r="C40" s="20" t="s">
        <v>39</v>
      </c>
      <c r="D40" s="20" t="s">
        <v>114</v>
      </c>
      <c r="E40" s="20">
        <v>2014</v>
      </c>
      <c r="F40" s="20" t="s">
        <v>162</v>
      </c>
      <c r="G40" s="20" t="s">
        <v>378</v>
      </c>
      <c r="H40" s="20" t="s">
        <v>181</v>
      </c>
      <c r="I40" s="7" t="s">
        <v>172</v>
      </c>
      <c r="J40" s="54" t="s">
        <v>120</v>
      </c>
      <c r="K40" s="54"/>
      <c r="L40" s="206"/>
      <c r="M40" s="162" t="s">
        <v>60</v>
      </c>
      <c r="N40" s="104" t="s">
        <v>138</v>
      </c>
      <c r="O40" s="105">
        <v>41407</v>
      </c>
      <c r="P40" s="212">
        <v>1492</v>
      </c>
      <c r="Q40" s="212">
        <v>325000</v>
      </c>
      <c r="R40" s="212">
        <v>85500</v>
      </c>
      <c r="S40" s="207">
        <f t="shared" si="124"/>
        <v>36111.111111111109</v>
      </c>
      <c r="T40" s="212">
        <f t="shared" si="125"/>
        <v>217.82841823056302</v>
      </c>
      <c r="U40" s="213">
        <f t="shared" si="126"/>
        <v>57.305630026809652</v>
      </c>
      <c r="V40" s="213">
        <f t="shared" si="127"/>
        <v>103.33949744370717</v>
      </c>
      <c r="W40" s="213">
        <f t="shared" si="128"/>
        <v>9500</v>
      </c>
      <c r="X40" s="207">
        <f t="shared" si="129"/>
        <v>165.77777777777777</v>
      </c>
      <c r="Y40" s="214"/>
      <c r="Z40" s="906">
        <f t="shared" si="51"/>
        <v>60.321715817694368</v>
      </c>
      <c r="AA40" s="214" t="s">
        <v>194</v>
      </c>
      <c r="AB40" s="412">
        <v>30</v>
      </c>
      <c r="AC40" s="413"/>
      <c r="AD40" s="20" t="s">
        <v>15</v>
      </c>
      <c r="AE40" s="771">
        <f t="shared" si="130"/>
        <v>9</v>
      </c>
      <c r="AF40" s="771">
        <f t="shared" si="131"/>
        <v>9</v>
      </c>
      <c r="AG40" s="20">
        <v>9</v>
      </c>
      <c r="AH40" s="52"/>
      <c r="AI40" s="257"/>
      <c r="AJ40" s="257"/>
      <c r="AK40" s="269"/>
      <c r="AL40" s="416">
        <v>858.51</v>
      </c>
      <c r="AM40" s="416"/>
      <c r="AN40" s="417">
        <v>827.37</v>
      </c>
      <c r="AO40" s="9">
        <f t="shared" si="132"/>
        <v>91.93</v>
      </c>
      <c r="AP40" s="60">
        <v>0</v>
      </c>
      <c r="AQ40" s="60">
        <v>0</v>
      </c>
      <c r="AR40" s="60">
        <v>0</v>
      </c>
      <c r="AS40" s="79">
        <f>8/AE40</f>
        <v>0.88888888888888884</v>
      </c>
      <c r="AT40" s="79">
        <f>1/AE40</f>
        <v>0.1111111111111111</v>
      </c>
      <c r="AU40" s="416"/>
      <c r="AV40" s="77">
        <v>0</v>
      </c>
      <c r="AW40" s="79">
        <f>AV40/P40</f>
        <v>0</v>
      </c>
      <c r="AX40" s="58">
        <v>2</v>
      </c>
      <c r="AY40" s="54" t="s">
        <v>548</v>
      </c>
      <c r="AZ40" s="20" t="s">
        <v>121</v>
      </c>
      <c r="BA40" s="54"/>
      <c r="BB40" s="54"/>
      <c r="BC40" s="54"/>
      <c r="BD40" s="190">
        <v>41591</v>
      </c>
      <c r="BE40" s="190">
        <v>41773</v>
      </c>
      <c r="BF40" s="110" t="s">
        <v>247</v>
      </c>
      <c r="BG40" s="108" t="s">
        <v>368</v>
      </c>
      <c r="BH40" s="420"/>
      <c r="BI40" s="204">
        <v>41800</v>
      </c>
      <c r="BJ40" s="99"/>
      <c r="BK40" s="99">
        <v>41820</v>
      </c>
      <c r="BL40" s="204">
        <v>41963</v>
      </c>
      <c r="BM40" s="99"/>
      <c r="BN40" s="160">
        <v>42054</v>
      </c>
      <c r="BO40" s="202">
        <v>42059</v>
      </c>
      <c r="BP40" s="161">
        <v>42147</v>
      </c>
      <c r="BQ40" s="161">
        <v>42074</v>
      </c>
      <c r="BR40" s="299">
        <v>42146</v>
      </c>
      <c r="BS40" s="298">
        <f t="shared" si="133"/>
        <v>42877</v>
      </c>
      <c r="BT40" s="298">
        <f t="shared" si="134"/>
        <v>43242</v>
      </c>
      <c r="BU40" s="298"/>
      <c r="BV40" s="298" t="str">
        <f t="shared" si="135"/>
        <v>oui</v>
      </c>
      <c r="BW40" s="672">
        <f t="shared" si="136"/>
        <v>0</v>
      </c>
      <c r="BX40" s="672">
        <f t="shared" si="137"/>
        <v>0</v>
      </c>
      <c r="BY40" s="672">
        <f t="shared" si="138"/>
        <v>0</v>
      </c>
      <c r="BZ40" s="829" t="s">
        <v>128</v>
      </c>
      <c r="CA40" s="817" t="s">
        <v>281</v>
      </c>
      <c r="CB40" s="830" t="s">
        <v>327</v>
      </c>
      <c r="CC40" s="830"/>
      <c r="CD40" s="830"/>
      <c r="CE40" s="830"/>
      <c r="CF40" s="819"/>
      <c r="CG40" s="819"/>
      <c r="CH40" s="819"/>
      <c r="CI40" s="819"/>
      <c r="CJ40" s="819"/>
      <c r="CK40" s="819"/>
      <c r="CL40" s="819"/>
      <c r="CM40" s="819"/>
      <c r="CN40" s="819"/>
      <c r="CO40" s="819"/>
      <c r="CP40" s="819"/>
      <c r="CQ40" s="819"/>
      <c r="CR40" s="819"/>
      <c r="CS40" s="156" t="s">
        <v>149</v>
      </c>
      <c r="CT40" s="307">
        <v>42478</v>
      </c>
      <c r="CU40" s="250">
        <v>42548</v>
      </c>
      <c r="CV40" s="157">
        <v>1734390.06</v>
      </c>
      <c r="CW40" s="307">
        <v>42522</v>
      </c>
      <c r="CX40" s="340">
        <f t="shared" si="176"/>
        <v>43208</v>
      </c>
      <c r="CY40" s="340">
        <v>42614</v>
      </c>
      <c r="CZ40" s="256">
        <v>43131</v>
      </c>
      <c r="DA40" s="597">
        <f t="shared" si="177"/>
        <v>2.8</v>
      </c>
      <c r="DB40" s="122">
        <v>41548</v>
      </c>
      <c r="DC40" s="122">
        <v>41549</v>
      </c>
      <c r="DD40" s="122">
        <v>41555</v>
      </c>
      <c r="DE40" s="550">
        <f t="shared" si="139"/>
        <v>6</v>
      </c>
      <c r="DF40" s="122">
        <v>41676</v>
      </c>
      <c r="DG40" s="122">
        <v>41676</v>
      </c>
      <c r="DH40" s="550">
        <f t="shared" si="140"/>
        <v>0</v>
      </c>
      <c r="DI40" s="122">
        <v>41684</v>
      </c>
      <c r="DJ40" s="122">
        <v>41688</v>
      </c>
      <c r="DK40" s="550">
        <f t="shared" si="141"/>
        <v>4</v>
      </c>
      <c r="DL40" s="122">
        <v>41773</v>
      </c>
      <c r="DM40" s="122">
        <v>41801</v>
      </c>
      <c r="DN40" s="550">
        <f t="shared" si="142"/>
        <v>28</v>
      </c>
      <c r="DO40" s="122">
        <v>41946</v>
      </c>
      <c r="DP40" s="122">
        <v>41946</v>
      </c>
      <c r="DQ40" s="550">
        <f t="shared" si="143"/>
        <v>0</v>
      </c>
      <c r="DR40" s="452"/>
      <c r="DS40" s="122">
        <v>42146</v>
      </c>
      <c r="DT40" s="122">
        <v>42158</v>
      </c>
      <c r="DU40" s="122">
        <v>42500</v>
      </c>
      <c r="DV40" s="550">
        <f t="shared" si="144"/>
        <v>342</v>
      </c>
      <c r="DW40" s="122">
        <v>42083</v>
      </c>
      <c r="DX40" s="757">
        <v>42500</v>
      </c>
      <c r="DY40" s="343">
        <v>2016</v>
      </c>
      <c r="DZ40" s="444">
        <f t="shared" si="145"/>
        <v>23.333333333333332</v>
      </c>
      <c r="EA40" s="523">
        <f t="shared" si="146"/>
        <v>417</v>
      </c>
      <c r="EB40" s="116">
        <v>13</v>
      </c>
      <c r="EC40" s="116">
        <f t="shared" si="147"/>
        <v>22</v>
      </c>
      <c r="ED40" s="122">
        <v>42552</v>
      </c>
      <c r="EE40" s="122">
        <v>42906</v>
      </c>
      <c r="EF40" s="523">
        <f t="shared" si="148"/>
        <v>354</v>
      </c>
      <c r="EG40" s="525">
        <v>42615</v>
      </c>
      <c r="EH40" s="524">
        <v>42604</v>
      </c>
      <c r="EI40" s="526">
        <f t="shared" si="149"/>
        <v>-11</v>
      </c>
      <c r="EJ40" s="525">
        <v>42705</v>
      </c>
      <c r="EK40" s="525">
        <v>42906</v>
      </c>
      <c r="EL40" s="523">
        <f t="shared" si="150"/>
        <v>201</v>
      </c>
      <c r="EM40" s="122">
        <v>42775</v>
      </c>
      <c r="EN40" s="122">
        <v>43035</v>
      </c>
      <c r="EO40" s="523">
        <f t="shared" si="151"/>
        <v>260</v>
      </c>
      <c r="EP40" s="122">
        <v>42801</v>
      </c>
      <c r="EQ40" s="122">
        <v>42979</v>
      </c>
      <c r="ER40" s="523">
        <f t="shared" si="152"/>
        <v>178</v>
      </c>
      <c r="ES40" s="122">
        <v>42818</v>
      </c>
      <c r="ET40" s="122">
        <v>43017</v>
      </c>
      <c r="EU40" s="523">
        <f t="shared" si="153"/>
        <v>199</v>
      </c>
      <c r="EV40" s="122">
        <v>42879</v>
      </c>
      <c r="EW40" s="122">
        <v>43149</v>
      </c>
      <c r="EX40" s="523">
        <f t="shared" si="154"/>
        <v>270</v>
      </c>
      <c r="EY40" s="122">
        <v>43059</v>
      </c>
      <c r="EZ40" s="122" t="s">
        <v>539</v>
      </c>
      <c r="FA40" s="122">
        <v>43069</v>
      </c>
      <c r="FB40" s="455">
        <f t="shared" si="155"/>
        <v>42896</v>
      </c>
      <c r="FC40" s="349">
        <v>43171</v>
      </c>
      <c r="FD40" s="707">
        <f t="shared" si="156"/>
        <v>9.1666666666666661</v>
      </c>
      <c r="FE40" s="455">
        <f t="shared" si="157"/>
        <v>43344</v>
      </c>
      <c r="FF40" s="624">
        <v>43206</v>
      </c>
      <c r="FG40" s="115" t="s">
        <v>128</v>
      </c>
      <c r="FH40" s="115">
        <v>43205</v>
      </c>
      <c r="FI40" s="455"/>
      <c r="FJ40" s="784">
        <f>DATE(YEAR(FB40),MONTH(FB40)+1,DAY(FB40))</f>
        <v>42926</v>
      </c>
      <c r="FK40" s="440">
        <v>43215</v>
      </c>
      <c r="FL40" s="343">
        <v>2018</v>
      </c>
      <c r="FM40" s="705">
        <f t="shared" si="158"/>
        <v>9.6333333333333329</v>
      </c>
      <c r="FN40" s="694">
        <f>64366.3774204337/12</f>
        <v>5363.8647850361422</v>
      </c>
      <c r="FO40" s="314">
        <f t="shared" si="159"/>
        <v>51671.897429181503</v>
      </c>
      <c r="FP40" s="315">
        <v>43167</v>
      </c>
      <c r="FQ40" s="556">
        <v>0</v>
      </c>
      <c r="FR40" s="692">
        <v>24629</v>
      </c>
      <c r="FS40" s="556">
        <f>3369*1.021</f>
        <v>3439.7489999999998</v>
      </c>
      <c r="FT40" s="749"/>
      <c r="FU40" s="556">
        <f>26909*1.021</f>
        <v>27474.088999999996</v>
      </c>
      <c r="FV40" s="749">
        <f t="shared" si="160"/>
        <v>1.4941306318628278E-2</v>
      </c>
      <c r="FW40" s="554" t="s">
        <v>698</v>
      </c>
      <c r="FX40" s="760" t="s">
        <v>813</v>
      </c>
      <c r="FY40" s="760" t="s">
        <v>827</v>
      </c>
      <c r="FZ40" s="555" t="s">
        <v>699</v>
      </c>
      <c r="GA40" s="123"/>
      <c r="GB40" s="123"/>
      <c r="GC40" s="123"/>
      <c r="GD40" s="315" t="s">
        <v>128</v>
      </c>
      <c r="GE40" s="123"/>
      <c r="GF40" s="316">
        <v>43418</v>
      </c>
      <c r="GG40" s="280">
        <f t="shared" si="161"/>
        <v>43536</v>
      </c>
      <c r="GH40" s="682"/>
      <c r="GI40" s="323" t="s">
        <v>128</v>
      </c>
      <c r="GJ40" s="316">
        <v>43262</v>
      </c>
      <c r="GK40" s="54"/>
      <c r="GL40" s="54"/>
      <c r="GM40" s="54"/>
      <c r="GN40" s="54"/>
      <c r="GO40" s="54"/>
      <c r="GP40" s="54"/>
      <c r="GQ40" s="184"/>
      <c r="GR40" s="316">
        <v>43223</v>
      </c>
      <c r="GS40" s="54"/>
      <c r="GT40" s="54"/>
      <c r="GU40" s="54"/>
      <c r="GV40" s="109"/>
      <c r="GW40" s="112"/>
      <c r="GX40" s="22">
        <f>+HI40+HN40+HU40+IO40</f>
        <v>1569068</v>
      </c>
      <c r="GY40" s="72">
        <f t="shared" ref="GY40:GY41" si="180">HJ40+HO40+HV40+IO40+HW40+HZ40</f>
        <v>1838801</v>
      </c>
      <c r="GZ40" s="797">
        <f t="shared" si="162"/>
        <v>1838801</v>
      </c>
      <c r="HA40" s="46">
        <f t="shared" si="163"/>
        <v>269733</v>
      </c>
      <c r="HB40" s="49">
        <f t="shared" si="164"/>
        <v>2141.8515800631326</v>
      </c>
      <c r="HC40" s="49">
        <f t="shared" si="165"/>
        <v>204311.22222222222</v>
      </c>
      <c r="HD40" s="22">
        <v>1344547</v>
      </c>
      <c r="HE40" s="427">
        <v>1545657.7250008537</v>
      </c>
      <c r="HF40" s="46">
        <f t="shared" si="166"/>
        <v>201110.72500085365</v>
      </c>
      <c r="HG40" s="127">
        <f t="shared" si="167"/>
        <v>0.85823128072361898</v>
      </c>
      <c r="HH40" s="128"/>
      <c r="HI40" s="22">
        <v>478312</v>
      </c>
      <c r="HJ40" s="836">
        <v>614225</v>
      </c>
      <c r="HK40" s="766"/>
      <c r="HL40" s="640">
        <f t="shared" si="168"/>
        <v>68247.222222222219</v>
      </c>
      <c r="HM40" s="38">
        <f t="shared" si="169"/>
        <v>135913</v>
      </c>
      <c r="HN40" s="22">
        <v>980627</v>
      </c>
      <c r="HO40" s="427">
        <f>HP40+HQ40</f>
        <v>1199946</v>
      </c>
      <c r="HP40" s="429">
        <v>270994</v>
      </c>
      <c r="HQ40" s="429">
        <v>928952</v>
      </c>
      <c r="HR40" s="38">
        <f t="shared" si="170"/>
        <v>219319</v>
      </c>
      <c r="HS40" s="629">
        <f t="shared" si="171"/>
        <v>133327.33333333334</v>
      </c>
      <c r="HT40" s="427">
        <v>0</v>
      </c>
      <c r="HU40" s="22">
        <v>85500</v>
      </c>
      <c r="HV40" s="427">
        <v>1</v>
      </c>
      <c r="HW40" s="72">
        <v>0</v>
      </c>
      <c r="HX40" s="40">
        <f t="shared" si="172"/>
        <v>5.4383263876841485E-7</v>
      </c>
      <c r="HY40" s="303"/>
      <c r="HZ40" s="427">
        <v>0</v>
      </c>
      <c r="IA40" s="21">
        <f t="shared" si="173"/>
        <v>-85499</v>
      </c>
      <c r="IB40" s="47">
        <f t="shared" si="174"/>
        <v>0.1111111111111111</v>
      </c>
      <c r="IC40" s="81">
        <f t="shared" si="175"/>
        <v>68247.333333333328</v>
      </c>
      <c r="ID40" s="24">
        <f>IA40/AE39</f>
        <v>-5343.6875</v>
      </c>
      <c r="IE40" s="780">
        <v>5.7</v>
      </c>
      <c r="IF40" s="780">
        <v>5.59</v>
      </c>
      <c r="IG40" s="39">
        <v>0</v>
      </c>
      <c r="IH40" s="39">
        <v>0</v>
      </c>
      <c r="II40" s="23" t="e">
        <f>(HJ40+HV40+IH40)/#REF!</f>
        <v>#REF!</v>
      </c>
      <c r="IJ40" s="39"/>
      <c r="IK40" s="23" t="e">
        <f>(HJ40+HV40+IH40+IJ40)/#REF!</f>
        <v>#REF!</v>
      </c>
      <c r="IL40" s="50">
        <f t="shared" si="178"/>
        <v>0.33403614638016838</v>
      </c>
      <c r="IM40" s="39"/>
      <c r="IN40" s="39"/>
      <c r="IO40" s="11">
        <v>24629</v>
      </c>
      <c r="IP40" s="41">
        <f t="shared" si="179"/>
        <v>1838801</v>
      </c>
      <c r="IQ40" s="277">
        <v>91876</v>
      </c>
      <c r="IR40" s="277">
        <f>IT40+IX40+JB40+JD40+JL40+JN40+JT40+JX40</f>
        <v>86406</v>
      </c>
      <c r="IS40" s="113">
        <v>41324</v>
      </c>
      <c r="IT40" s="231">
        <v>7458</v>
      </c>
      <c r="IU40" s="122"/>
      <c r="IV40" s="113"/>
      <c r="IW40" s="113">
        <v>41681</v>
      </c>
      <c r="IX40" s="231">
        <v>5456</v>
      </c>
      <c r="IY40" s="113"/>
      <c r="IZ40" s="231"/>
      <c r="JA40" s="113">
        <v>41773</v>
      </c>
      <c r="JB40" s="231">
        <v>17627</v>
      </c>
      <c r="JC40" s="122">
        <v>41946</v>
      </c>
      <c r="JD40" s="321">
        <v>13089</v>
      </c>
      <c r="JE40" s="313"/>
      <c r="JF40" s="313"/>
      <c r="JG40" s="122" t="s">
        <v>128</v>
      </c>
      <c r="JH40" s="231"/>
      <c r="JI40" s="122" t="s">
        <v>128</v>
      </c>
      <c r="JJ40" s="231"/>
      <c r="JK40" s="122">
        <v>42594</v>
      </c>
      <c r="JL40" s="231">
        <v>17699</v>
      </c>
      <c r="JM40" s="122">
        <v>42712</v>
      </c>
      <c r="JN40" s="231">
        <v>5451</v>
      </c>
      <c r="JO40" s="236">
        <v>42985</v>
      </c>
      <c r="JP40" s="291" t="s">
        <v>539</v>
      </c>
      <c r="JQ40" s="236">
        <v>42985</v>
      </c>
      <c r="JR40" s="291"/>
      <c r="JS40" s="236">
        <v>42985</v>
      </c>
      <c r="JT40" s="620">
        <v>15909</v>
      </c>
      <c r="JU40" s="236">
        <v>43167</v>
      </c>
      <c r="JV40" s="122"/>
      <c r="JW40" s="113">
        <v>43167</v>
      </c>
      <c r="JX40" s="620">
        <v>3717</v>
      </c>
      <c r="JY40" s="122"/>
      <c r="JZ40" s="114"/>
    </row>
    <row r="41" spans="1:286" ht="15" customHeight="1">
      <c r="A41" s="6" t="s">
        <v>844</v>
      </c>
      <c r="B41" s="86"/>
      <c r="C41" s="7" t="s">
        <v>47</v>
      </c>
      <c r="D41" s="7" t="s">
        <v>113</v>
      </c>
      <c r="E41" s="7">
        <v>2015</v>
      </c>
      <c r="F41" s="7" t="s">
        <v>254</v>
      </c>
      <c r="G41" s="7" t="s">
        <v>317</v>
      </c>
      <c r="H41" s="7" t="s">
        <v>181</v>
      </c>
      <c r="I41" s="783" t="s">
        <v>172</v>
      </c>
      <c r="J41" s="55"/>
      <c r="K41" s="53"/>
      <c r="L41" s="255" t="s">
        <v>375</v>
      </c>
      <c r="M41" s="162" t="s">
        <v>65</v>
      </c>
      <c r="N41" s="104" t="s">
        <v>144</v>
      </c>
      <c r="O41" s="105"/>
      <c r="P41" s="207">
        <v>1767</v>
      </c>
      <c r="Q41" s="207">
        <v>210000</v>
      </c>
      <c r="R41" s="207">
        <v>210000</v>
      </c>
      <c r="S41" s="207">
        <f t="shared" si="124"/>
        <v>11666.666666666666</v>
      </c>
      <c r="T41" s="207">
        <f t="shared" si="125"/>
        <v>118.84550084889644</v>
      </c>
      <c r="U41" s="213">
        <f t="shared" si="126"/>
        <v>118.84550084889644</v>
      </c>
      <c r="V41" s="213">
        <f t="shared" si="127"/>
        <v>122.68720021966851</v>
      </c>
      <c r="W41" s="213">
        <f t="shared" si="128"/>
        <v>11666.666666666666</v>
      </c>
      <c r="X41" s="207">
        <f t="shared" si="129"/>
        <v>98.166666666666671</v>
      </c>
      <c r="Y41" s="208"/>
      <c r="Z41" s="904">
        <f t="shared" si="51"/>
        <v>101.86757215619694</v>
      </c>
      <c r="AA41" s="208" t="s">
        <v>263</v>
      </c>
      <c r="AB41" s="210">
        <v>200</v>
      </c>
      <c r="AC41" s="211"/>
      <c r="AD41" s="20" t="s">
        <v>16</v>
      </c>
      <c r="AE41" s="771">
        <f t="shared" si="130"/>
        <v>18</v>
      </c>
      <c r="AF41" s="771">
        <f t="shared" si="131"/>
        <v>18</v>
      </c>
      <c r="AG41" s="8"/>
      <c r="AH41" s="7">
        <v>18</v>
      </c>
      <c r="AI41" s="53"/>
      <c r="AJ41" s="53"/>
      <c r="AK41" s="269"/>
      <c r="AL41" s="9">
        <v>1709.55</v>
      </c>
      <c r="AM41" s="57"/>
      <c r="AN41" s="417">
        <v>1711.67</v>
      </c>
      <c r="AO41" s="9">
        <f t="shared" si="132"/>
        <v>95.092777777777783</v>
      </c>
      <c r="AP41" s="78">
        <v>0</v>
      </c>
      <c r="AQ41" s="78">
        <v>0</v>
      </c>
      <c r="AR41" s="78">
        <f>10/AE41</f>
        <v>0.55555555555555558</v>
      </c>
      <c r="AS41" s="78">
        <f>4/AE41</f>
        <v>0.22222222222222221</v>
      </c>
      <c r="AT41" s="78">
        <f>4/AE41</f>
        <v>0.22222222222222221</v>
      </c>
      <c r="AU41" s="9"/>
      <c r="AV41" s="76">
        <v>0</v>
      </c>
      <c r="AW41" s="78">
        <v>0</v>
      </c>
      <c r="AX41" s="57">
        <v>3</v>
      </c>
      <c r="AY41" s="56" t="s">
        <v>549</v>
      </c>
      <c r="AZ41" s="7" t="s">
        <v>120</v>
      </c>
      <c r="BA41" s="53"/>
      <c r="BB41" s="53"/>
      <c r="BC41" s="53"/>
      <c r="BD41" s="184">
        <v>41920</v>
      </c>
      <c r="BE41" s="53"/>
      <c r="BF41" s="108" t="s">
        <v>11</v>
      </c>
      <c r="BG41" s="108" t="s">
        <v>273</v>
      </c>
      <c r="BH41" s="35"/>
      <c r="BI41" s="204">
        <v>42320</v>
      </c>
      <c r="BJ41" s="99"/>
      <c r="BK41" s="99">
        <v>42573</v>
      </c>
      <c r="BL41" s="204">
        <v>42607</v>
      </c>
      <c r="BM41" s="99">
        <v>42607</v>
      </c>
      <c r="BN41" s="160">
        <v>42608</v>
      </c>
      <c r="BO41" s="202">
        <v>42620</v>
      </c>
      <c r="BP41" s="161">
        <v>42711</v>
      </c>
      <c r="BQ41" s="161">
        <v>42648</v>
      </c>
      <c r="BR41" s="299">
        <f t="shared" ref="BR41" si="181">BO41</f>
        <v>42620</v>
      </c>
      <c r="BS41" s="298">
        <f t="shared" si="133"/>
        <v>43350</v>
      </c>
      <c r="BT41" s="298">
        <f t="shared" si="134"/>
        <v>43715</v>
      </c>
      <c r="BU41" s="298"/>
      <c r="BV41" s="298" t="str">
        <f t="shared" si="135"/>
        <v>oui</v>
      </c>
      <c r="BW41" s="672">
        <f t="shared" si="136"/>
        <v>11</v>
      </c>
      <c r="BX41" s="672">
        <f t="shared" si="137"/>
        <v>0</v>
      </c>
      <c r="BY41" s="672">
        <f t="shared" si="138"/>
        <v>0</v>
      </c>
      <c r="BZ41" s="828">
        <v>42627</v>
      </c>
      <c r="CA41" s="828">
        <v>42725</v>
      </c>
      <c r="CB41" s="290"/>
      <c r="CC41" s="290"/>
      <c r="CD41" s="290"/>
      <c r="CE41" s="290"/>
      <c r="CF41" s="289"/>
      <c r="CG41" s="289"/>
      <c r="CH41" s="289"/>
      <c r="CI41" s="289"/>
      <c r="CJ41" s="289"/>
      <c r="CK41" s="289"/>
      <c r="CL41" s="289"/>
      <c r="CM41" s="101">
        <v>42725</v>
      </c>
      <c r="CN41" s="289"/>
      <c r="CO41" s="289"/>
      <c r="CP41" s="289"/>
      <c r="CQ41" s="289"/>
      <c r="CR41" s="289"/>
      <c r="CS41" s="156" t="s">
        <v>144</v>
      </c>
      <c r="CT41" s="307">
        <v>42719</v>
      </c>
      <c r="CU41" s="250" t="s">
        <v>540</v>
      </c>
      <c r="CV41" s="157">
        <f>3299575.14/1.021</f>
        <v>3231709.2458374146</v>
      </c>
      <c r="CW41" s="581">
        <f>DATE(YEAR(CT41),MONTH(CT41)+18,DAY(CT41))</f>
        <v>43266</v>
      </c>
      <c r="CX41" s="405">
        <f t="shared" si="176"/>
        <v>43449</v>
      </c>
      <c r="CY41" s="340">
        <v>42990</v>
      </c>
      <c r="CZ41" s="256">
        <v>43449</v>
      </c>
      <c r="DA41" s="597">
        <f t="shared" si="177"/>
        <v>-2.6333333333333333</v>
      </c>
      <c r="DB41" s="122">
        <v>41813</v>
      </c>
      <c r="DC41" s="122">
        <v>41814</v>
      </c>
      <c r="DD41" s="122">
        <v>41813</v>
      </c>
      <c r="DE41" s="523">
        <f t="shared" si="139"/>
        <v>-1</v>
      </c>
      <c r="DF41" s="122">
        <v>42027</v>
      </c>
      <c r="DG41" s="122">
        <v>41996</v>
      </c>
      <c r="DH41" s="523">
        <f t="shared" si="140"/>
        <v>-31</v>
      </c>
      <c r="DI41" s="122">
        <v>42026</v>
      </c>
      <c r="DJ41" s="122">
        <v>42038</v>
      </c>
      <c r="DK41" s="523">
        <f t="shared" si="141"/>
        <v>12</v>
      </c>
      <c r="DL41" s="122">
        <v>42078</v>
      </c>
      <c r="DM41" s="122">
        <v>42128</v>
      </c>
      <c r="DN41" s="523">
        <f t="shared" si="142"/>
        <v>50</v>
      </c>
      <c r="DO41" s="122">
        <v>42186</v>
      </c>
      <c r="DP41" s="122">
        <v>42254</v>
      </c>
      <c r="DQ41" s="523">
        <f t="shared" si="143"/>
        <v>68</v>
      </c>
      <c r="DR41" s="451"/>
      <c r="DS41" s="122">
        <v>42472</v>
      </c>
      <c r="DT41" s="122">
        <v>42695</v>
      </c>
      <c r="DU41" s="122">
        <v>42769</v>
      </c>
      <c r="DV41" s="523">
        <f t="shared" si="144"/>
        <v>74</v>
      </c>
      <c r="DW41" s="122">
        <v>42783</v>
      </c>
      <c r="DX41" s="758">
        <v>42772</v>
      </c>
      <c r="DY41" s="343">
        <v>2017</v>
      </c>
      <c r="DZ41" s="444">
        <f t="shared" si="145"/>
        <v>15.066666666666666</v>
      </c>
      <c r="EA41" s="523">
        <f t="shared" si="146"/>
        <v>-11</v>
      </c>
      <c r="EB41" s="325">
        <v>16</v>
      </c>
      <c r="EC41" s="116">
        <f t="shared" si="147"/>
        <v>18</v>
      </c>
      <c r="ED41" s="122">
        <v>42800</v>
      </c>
      <c r="EE41" s="122">
        <v>42867</v>
      </c>
      <c r="EF41" s="523">
        <f t="shared" si="148"/>
        <v>67</v>
      </c>
      <c r="EG41" s="122">
        <v>42899</v>
      </c>
      <c r="EH41" s="567">
        <v>42923</v>
      </c>
      <c r="EI41" s="526">
        <f t="shared" si="149"/>
        <v>24</v>
      </c>
      <c r="EJ41" s="122">
        <v>43068</v>
      </c>
      <c r="EK41" s="122">
        <v>43064</v>
      </c>
      <c r="EL41" s="523">
        <f t="shared" si="150"/>
        <v>-4</v>
      </c>
      <c r="EM41" s="533">
        <v>43082</v>
      </c>
      <c r="EN41" s="533">
        <f ca="1">IF(EM41&lt;TODAY(),TODAY(),EM41)</f>
        <v>43423</v>
      </c>
      <c r="EO41" s="529">
        <f t="shared" ca="1" si="151"/>
        <v>341</v>
      </c>
      <c r="EP41" s="533">
        <v>43136</v>
      </c>
      <c r="EQ41" s="533">
        <f ca="1">IF(EP41&lt;TODAY(),TODAY(),EP41)</f>
        <v>43423</v>
      </c>
      <c r="ER41" s="529">
        <f t="shared" ca="1" si="152"/>
        <v>287</v>
      </c>
      <c r="ES41" s="533">
        <v>43216</v>
      </c>
      <c r="ET41" s="533">
        <f ca="1">IF(ES41&lt;TODAY(),TODAY(),ES41)</f>
        <v>43423</v>
      </c>
      <c r="EU41" s="529">
        <f t="shared" ca="1" si="153"/>
        <v>207</v>
      </c>
      <c r="EV41" s="533">
        <v>43244</v>
      </c>
      <c r="EW41" s="533">
        <f ca="1">IF(EV41&lt;TODAY(),TODAY(),EV41)</f>
        <v>43423</v>
      </c>
      <c r="EX41" s="529">
        <f t="shared" ca="1" si="154"/>
        <v>179</v>
      </c>
      <c r="EY41" s="533"/>
      <c r="EZ41" s="533"/>
      <c r="FA41" s="533"/>
      <c r="FB41" s="601">
        <f t="shared" si="155"/>
        <v>43257</v>
      </c>
      <c r="FC41" s="349">
        <v>43346</v>
      </c>
      <c r="FD41" s="798">
        <f t="shared" si="156"/>
        <v>2.9666666666666668</v>
      </c>
      <c r="FE41" s="455">
        <f t="shared" si="157"/>
        <v>43720</v>
      </c>
      <c r="FF41" s="115">
        <v>43360</v>
      </c>
      <c r="FG41" s="316">
        <v>42879</v>
      </c>
      <c r="FH41" s="115">
        <v>43334</v>
      </c>
      <c r="FI41" s="455">
        <v>43340</v>
      </c>
      <c r="FJ41" s="784">
        <f>DATE(YEAR(FB41),MONTH(FB41),DAY(FB41)+15)</f>
        <v>43272</v>
      </c>
      <c r="FK41" s="349">
        <v>43370</v>
      </c>
      <c r="FL41" s="447">
        <v>2018</v>
      </c>
      <c r="FM41" s="723">
        <f t="shared" si="158"/>
        <v>3.2666666666666666</v>
      </c>
      <c r="FN41" s="700"/>
      <c r="FO41" s="232">
        <f t="shared" si="159"/>
        <v>0</v>
      </c>
      <c r="FP41" s="117">
        <v>43328</v>
      </c>
      <c r="FQ41" s="556">
        <v>0</v>
      </c>
      <c r="FR41" s="556">
        <v>0</v>
      </c>
      <c r="FS41" s="556">
        <f>174061.74*1.021</f>
        <v>177717.03653999997</v>
      </c>
      <c r="FT41" s="556">
        <v>70491</v>
      </c>
      <c r="FU41" s="556">
        <f>8252.34*1.021</f>
        <v>8425.6391399999993</v>
      </c>
      <c r="FV41" s="749">
        <f t="shared" si="160"/>
        <v>2.4681831068391752E-3</v>
      </c>
      <c r="FW41" s="553" t="s">
        <v>700</v>
      </c>
      <c r="FX41" s="650"/>
      <c r="FY41" s="650" t="s">
        <v>806</v>
      </c>
      <c r="FZ41" s="650" t="s">
        <v>705</v>
      </c>
      <c r="GA41" s="121"/>
      <c r="GB41" s="121"/>
      <c r="GC41" s="121"/>
      <c r="GD41" s="121"/>
      <c r="GE41" s="121"/>
      <c r="GF41" s="53"/>
      <c r="GG41" s="280">
        <f t="shared" si="161"/>
        <v>43711</v>
      </c>
      <c r="GH41" s="280"/>
      <c r="GI41" s="53"/>
      <c r="GJ41" s="184">
        <v>43417</v>
      </c>
      <c r="GK41" s="53"/>
      <c r="GL41" s="53"/>
      <c r="GM41" s="53"/>
      <c r="GN41" s="53"/>
      <c r="GO41" s="53"/>
      <c r="GP41" s="53"/>
      <c r="GQ41" s="113"/>
      <c r="GR41" s="114" t="s">
        <v>128</v>
      </c>
      <c r="GS41" s="53"/>
      <c r="GT41" s="53"/>
      <c r="GU41" s="53"/>
      <c r="GV41" s="109"/>
      <c r="GW41" s="112"/>
      <c r="GX41" s="10">
        <f>HI41+HN41+HU41</f>
        <v>3425875.7637468651</v>
      </c>
      <c r="GY41" s="67">
        <f t="shared" si="180"/>
        <v>3413701</v>
      </c>
      <c r="GZ41" s="797">
        <f t="shared" si="162"/>
        <v>3413701</v>
      </c>
      <c r="HA41" s="12">
        <f t="shared" si="163"/>
        <v>-12174.763746865094</v>
      </c>
      <c r="HB41" s="49">
        <f t="shared" si="164"/>
        <v>1996.8418589687344</v>
      </c>
      <c r="HC41" s="49">
        <f t="shared" si="165"/>
        <v>189650.05555555556</v>
      </c>
      <c r="HD41" s="10">
        <v>3100225</v>
      </c>
      <c r="HE41" s="11">
        <v>2697771.947337376</v>
      </c>
      <c r="HF41" s="12">
        <f t="shared" si="166"/>
        <v>-402453.05266262405</v>
      </c>
      <c r="HG41" s="127">
        <f t="shared" si="167"/>
        <v>0.80687358331367054</v>
      </c>
      <c r="HH41" s="129">
        <v>0.39772600000000002</v>
      </c>
      <c r="HI41" s="10">
        <v>1068687.828</v>
      </c>
      <c r="HJ41" s="638">
        <v>982780</v>
      </c>
      <c r="HK41" s="642"/>
      <c r="HL41" s="640">
        <f t="shared" si="168"/>
        <v>54598.888888888891</v>
      </c>
      <c r="HM41" s="37">
        <f t="shared" si="169"/>
        <v>-85907.82799999998</v>
      </c>
      <c r="HN41" s="10">
        <v>1997187.9357468651</v>
      </c>
      <c r="HO41" s="11">
        <f>SUBTOTAL(9,HP41:HQ41)</f>
        <v>2024741</v>
      </c>
      <c r="HP41" s="13">
        <v>334225</v>
      </c>
      <c r="HQ41" s="13">
        <v>1690516</v>
      </c>
      <c r="HR41" s="37">
        <f t="shared" si="170"/>
        <v>27553.064253134886</v>
      </c>
      <c r="HS41" s="629">
        <f t="shared" si="171"/>
        <v>112485.61111111111</v>
      </c>
      <c r="HT41" s="11"/>
      <c r="HU41" s="10">
        <v>360000</v>
      </c>
      <c r="HV41" s="11">
        <v>360000</v>
      </c>
      <c r="HW41" s="67"/>
      <c r="HX41" s="40">
        <f t="shared" si="172"/>
        <v>0.10545739067364131</v>
      </c>
      <c r="HY41" s="303"/>
      <c r="HZ41" s="11">
        <f>12846+33334</f>
        <v>46180</v>
      </c>
      <c r="IA41" s="24">
        <f t="shared" si="173"/>
        <v>0</v>
      </c>
      <c r="IB41" s="23">
        <f t="shared" si="174"/>
        <v>20000</v>
      </c>
      <c r="IC41" s="81">
        <f t="shared" si="175"/>
        <v>74598.888888888891</v>
      </c>
      <c r="ID41" s="24">
        <f t="shared" ref="ID41" si="182">IA41/AE41</f>
        <v>0</v>
      </c>
      <c r="IE41" s="48">
        <v>5.0199999999999996</v>
      </c>
      <c r="IF41" s="48">
        <v>4.8499999999999996</v>
      </c>
      <c r="IG41" s="39">
        <v>0</v>
      </c>
      <c r="IH41" s="39">
        <v>0</v>
      </c>
      <c r="II41" s="23">
        <f>(HJ41+HV41+IH41)/AE41</f>
        <v>74598.888888888891</v>
      </c>
      <c r="IJ41" s="39">
        <v>0</v>
      </c>
      <c r="IK41" s="23">
        <f>(HJ41+HV41+IH41+IJ41)/AE41</f>
        <v>74598.888888888891</v>
      </c>
      <c r="IL41" s="50">
        <f t="shared" si="178"/>
        <v>0.39335020846875574</v>
      </c>
      <c r="IM41" s="39">
        <v>0</v>
      </c>
      <c r="IN41" s="39"/>
      <c r="IO41" s="11">
        <f t="shared" ref="IO41" si="183">FR41</f>
        <v>0</v>
      </c>
      <c r="IP41" s="41">
        <f t="shared" si="179"/>
        <v>3413701</v>
      </c>
      <c r="IQ41" s="277">
        <v>167759</v>
      </c>
      <c r="IR41" s="277">
        <f t="shared" ref="IR41" si="184">IT41+IV41+IX41+IZ41+JB41+JD41+JF41+JH41+JJ41+JL41+JN41+JP41+JR41+JT41+JV41+JX41+JZ41</f>
        <v>156016</v>
      </c>
      <c r="IS41" s="113">
        <v>41941</v>
      </c>
      <c r="IT41" s="231">
        <v>19485</v>
      </c>
      <c r="IU41" s="231"/>
      <c r="IV41" s="113"/>
      <c r="IW41" s="113">
        <v>41992</v>
      </c>
      <c r="IX41" s="231"/>
      <c r="IY41" s="113">
        <v>41992</v>
      </c>
      <c r="IZ41" s="231">
        <v>29228</v>
      </c>
      <c r="JA41" s="113">
        <v>42086</v>
      </c>
      <c r="JB41" s="231">
        <v>10005</v>
      </c>
      <c r="JC41" s="114">
        <v>42202</v>
      </c>
      <c r="JD41" s="321">
        <v>25161</v>
      </c>
      <c r="JE41" s="313"/>
      <c r="JF41" s="313"/>
      <c r="JG41" s="122">
        <v>42719</v>
      </c>
      <c r="JH41" s="231"/>
      <c r="JI41" s="122">
        <v>42719</v>
      </c>
      <c r="JJ41" s="231">
        <v>25164</v>
      </c>
      <c r="JK41" s="316">
        <v>42963</v>
      </c>
      <c r="JL41" s="323">
        <v>8388</v>
      </c>
      <c r="JM41" s="439"/>
      <c r="JN41" s="439"/>
      <c r="JO41" s="113">
        <v>43082</v>
      </c>
      <c r="JP41" s="114">
        <v>16776</v>
      </c>
      <c r="JQ41" s="114"/>
      <c r="JR41" s="114"/>
      <c r="JS41" s="114"/>
      <c r="JT41" s="114"/>
      <c r="JU41" s="113">
        <v>43333</v>
      </c>
      <c r="JV41" s="114">
        <v>21809</v>
      </c>
      <c r="JW41" s="114"/>
      <c r="JX41" s="122"/>
      <c r="JY41" s="122"/>
      <c r="JZ41" s="114"/>
    </row>
    <row r="42" spans="1:286" s="33" customFormat="1" ht="15" customHeight="1">
      <c r="A42" s="6" t="s">
        <v>858</v>
      </c>
      <c r="B42" s="86"/>
      <c r="C42" s="7" t="s">
        <v>161</v>
      </c>
      <c r="D42" s="7" t="s">
        <v>114</v>
      </c>
      <c r="E42" s="7">
        <v>2015</v>
      </c>
      <c r="F42" s="7" t="s">
        <v>251</v>
      </c>
      <c r="G42" s="7" t="s">
        <v>374</v>
      </c>
      <c r="H42" s="765"/>
      <c r="I42" s="7" t="s">
        <v>173</v>
      </c>
      <c r="J42" s="53"/>
      <c r="K42" s="53"/>
      <c r="L42" s="255" t="s">
        <v>551</v>
      </c>
      <c r="M42" s="162" t="s">
        <v>59</v>
      </c>
      <c r="N42" s="785"/>
      <c r="O42" s="105"/>
      <c r="P42" s="207">
        <f>13077/58*AE42</f>
        <v>10371.413793103447</v>
      </c>
      <c r="Q42" s="207">
        <f>590200/58*AE42</f>
        <v>468089.65517241386</v>
      </c>
      <c r="R42" s="207">
        <f>590200/58*AE42</f>
        <v>468089.65517241386</v>
      </c>
      <c r="S42" s="207">
        <f>Q42/AE42</f>
        <v>10175.862068965518</v>
      </c>
      <c r="T42" s="207">
        <f t="shared" ref="T42:T53" si="185">Q42/P42</f>
        <v>45.13267569014301</v>
      </c>
      <c r="U42" s="213">
        <f t="shared" ref="U42:U53" si="186">R42/P42</f>
        <v>45.13267569014301</v>
      </c>
      <c r="V42" s="213">
        <f t="shared" ref="V42:V53" si="187">R42/AN42</f>
        <v>116.08445142558473</v>
      </c>
      <c r="W42" s="213">
        <f t="shared" ref="W42:W53" si="188">R42/AE42</f>
        <v>10175.862068965518</v>
      </c>
      <c r="X42" s="207">
        <f t="shared" ref="X42:X53" si="189">P42/AE42</f>
        <v>225.4655172413793</v>
      </c>
      <c r="Y42" s="208"/>
      <c r="Z42" s="904">
        <f t="shared" si="51"/>
        <v>44.352680278351308</v>
      </c>
      <c r="AA42" s="208" t="s">
        <v>856</v>
      </c>
      <c r="AB42" s="210">
        <v>280</v>
      </c>
      <c r="AC42" s="211">
        <v>0.25</v>
      </c>
      <c r="AD42" s="20" t="s">
        <v>15</v>
      </c>
      <c r="AE42" s="771">
        <f t="shared" ref="AE42:AE62" si="190">SUM(AG42:AJ42)</f>
        <v>46</v>
      </c>
      <c r="AF42" s="771">
        <f t="shared" ref="AF42:AF62" si="191">AE42-AJ42</f>
        <v>46</v>
      </c>
      <c r="AG42" s="7">
        <v>46</v>
      </c>
      <c r="AH42" s="8"/>
      <c r="AI42" s="64"/>
      <c r="AJ42" s="64"/>
      <c r="AK42" s="269"/>
      <c r="AL42" s="9">
        <v>4286.38</v>
      </c>
      <c r="AM42" s="57"/>
      <c r="AN42" s="417">
        <v>4032.32</v>
      </c>
      <c r="AO42" s="9"/>
      <c r="AP42" s="78"/>
      <c r="AQ42" s="78"/>
      <c r="AR42" s="78">
        <f>36/AG42</f>
        <v>0.78260869565217395</v>
      </c>
      <c r="AS42" s="78">
        <f>10/AE42</f>
        <v>0.21739130434782608</v>
      </c>
      <c r="AT42" s="78"/>
      <c r="AU42" s="9"/>
      <c r="AV42" s="76"/>
      <c r="AW42" s="78"/>
      <c r="AX42" s="59">
        <v>2</v>
      </c>
      <c r="AY42" s="56" t="s">
        <v>549</v>
      </c>
      <c r="AZ42" s="7" t="s">
        <v>120</v>
      </c>
      <c r="BA42" s="53"/>
      <c r="BB42" s="53"/>
      <c r="BC42" s="53"/>
      <c r="BD42" s="184">
        <v>41921</v>
      </c>
      <c r="BE42" s="53"/>
      <c r="BF42" s="108" t="s">
        <v>12</v>
      </c>
      <c r="BG42" s="108" t="s">
        <v>414</v>
      </c>
      <c r="BH42" s="35"/>
      <c r="BI42" s="204">
        <v>42304</v>
      </c>
      <c r="BJ42" s="99">
        <v>42335</v>
      </c>
      <c r="BK42" s="99">
        <v>42600</v>
      </c>
      <c r="BL42" s="204">
        <v>42613</v>
      </c>
      <c r="BM42" s="99">
        <v>42614</v>
      </c>
      <c r="BN42" s="160">
        <v>42614</v>
      </c>
      <c r="BO42" s="202">
        <v>42620</v>
      </c>
      <c r="BP42" s="161">
        <v>42711</v>
      </c>
      <c r="BQ42" s="161">
        <v>42660</v>
      </c>
      <c r="BR42" s="299">
        <f t="shared" ref="BR42:BR50" si="192">BO42</f>
        <v>42620</v>
      </c>
      <c r="BS42" s="298">
        <f t="shared" ref="BS42:BS50" si="193">DATE(YEAR(BR42),MONTH(BR42)+24,DAY(BR42))</f>
        <v>43350</v>
      </c>
      <c r="BT42" s="298">
        <f t="shared" ref="BT42:BT49" si="194">DATE(YEAR(BR42),MONTH(BR42)+36,DAY(BR42))</f>
        <v>43715</v>
      </c>
      <c r="BU42" s="298"/>
      <c r="BV42" s="298" t="str">
        <f>IF(FK42&gt;BT42,"oui","non")</f>
        <v>non</v>
      </c>
      <c r="BW42" s="672">
        <f t="shared" ref="BW42:BW62" si="195">DATEDIF(FK42,BT42,"M")</f>
        <v>8</v>
      </c>
      <c r="BX42" s="672">
        <f t="shared" ref="BX42:BX62" si="196">BW42*FN42</f>
        <v>206815.77622200004</v>
      </c>
      <c r="BY42" s="672">
        <f t="shared" ref="BY42:BY62" si="197">IF((BX42-BU42&gt;0),0,(BX42-BU42))</f>
        <v>0</v>
      </c>
      <c r="BZ42" s="828">
        <v>42627</v>
      </c>
      <c r="CA42" s="817" t="s">
        <v>569</v>
      </c>
      <c r="CB42" s="354">
        <v>42747</v>
      </c>
      <c r="CC42" s="354"/>
      <c r="CD42" s="354"/>
      <c r="CE42" s="354"/>
      <c r="CF42" s="377">
        <v>42753</v>
      </c>
      <c r="CG42" s="377"/>
      <c r="CH42" s="377"/>
      <c r="CI42" s="377"/>
      <c r="CJ42" s="377"/>
      <c r="CK42" s="377"/>
      <c r="CL42" s="377"/>
      <c r="CM42" s="377">
        <v>42753</v>
      </c>
      <c r="CN42" s="377">
        <v>42912</v>
      </c>
      <c r="CO42" s="377"/>
      <c r="CP42" s="377"/>
      <c r="CQ42" s="377"/>
      <c r="CR42" s="377"/>
      <c r="CS42" s="743"/>
      <c r="CT42" s="307">
        <v>42725</v>
      </c>
      <c r="CU42" s="250" t="s">
        <v>540</v>
      </c>
      <c r="CV42" s="157">
        <v>9447490.1300000008</v>
      </c>
      <c r="CW42" s="581">
        <f>DATE(YEAR(CT42),MONTH(CT42)+18,DAY(CT42))</f>
        <v>43272</v>
      </c>
      <c r="CX42" s="405">
        <f>DATE(YEAR(CT42),MONTH(CT42)+24,DAY(CT42))</f>
        <v>43455</v>
      </c>
      <c r="CY42" s="340">
        <v>43159</v>
      </c>
      <c r="CZ42" s="256">
        <v>43389</v>
      </c>
      <c r="DA42" s="597">
        <f>(FK42-CZ42)/30</f>
        <v>2.1</v>
      </c>
      <c r="DB42" s="122">
        <v>41130</v>
      </c>
      <c r="DC42" s="122">
        <v>41131</v>
      </c>
      <c r="DD42" s="122">
        <v>41899</v>
      </c>
      <c r="DE42" s="523">
        <f t="shared" ref="DE42:DE62" si="198">IF(AND(DC42&gt;0,DD42&gt;0),DD42-DC42,"0")</f>
        <v>768</v>
      </c>
      <c r="DF42" s="122">
        <v>42041</v>
      </c>
      <c r="DG42" s="122">
        <v>42040</v>
      </c>
      <c r="DH42" s="523">
        <f t="shared" ref="DH42:DH62" si="199">IF(AND(DF42&gt;0,DG42&gt;0),DG42-DF42,"0")</f>
        <v>-1</v>
      </c>
      <c r="DI42" s="122">
        <v>42075</v>
      </c>
      <c r="DJ42" s="122">
        <v>42101</v>
      </c>
      <c r="DK42" s="523">
        <f t="shared" ref="DK42:DK62" si="200">IF(AND(DI42&gt;0,DJ42&gt;0),DJ42-DI42,"0")</f>
        <v>26</v>
      </c>
      <c r="DL42" s="122">
        <v>42201</v>
      </c>
      <c r="DM42" s="122">
        <v>42226</v>
      </c>
      <c r="DN42" s="523">
        <f t="shared" ref="DN42:DN62" si="201">IF(AND(DL42&gt;0,DM42&gt;0),DM42-DL42,"0")</f>
        <v>25</v>
      </c>
      <c r="DO42" s="122">
        <v>42296</v>
      </c>
      <c r="DP42" s="122">
        <v>42339</v>
      </c>
      <c r="DQ42" s="523">
        <f t="shared" ref="DQ42:DQ62" si="202">IF(AND(DO42&gt;0,DP42&gt;0),DP42-DO42,"0")</f>
        <v>43</v>
      </c>
      <c r="DR42" s="451"/>
      <c r="DS42" s="122">
        <v>42514</v>
      </c>
      <c r="DT42" s="122">
        <v>42762</v>
      </c>
      <c r="DU42" s="122">
        <v>42773</v>
      </c>
      <c r="DV42" s="523">
        <f t="shared" ref="DV42:DV62" si="203">IF(AND(DT42&gt;0,DU42&gt;0),DU42-DT42,"0")</f>
        <v>11</v>
      </c>
      <c r="DW42" s="122">
        <v>42782</v>
      </c>
      <c r="DX42" s="440">
        <v>42782</v>
      </c>
      <c r="DY42" s="343">
        <v>2017</v>
      </c>
      <c r="DZ42" s="444">
        <f t="shared" ref="DZ42:DZ62" si="204">(DATEDIF(BI42,DX42,"d"))/30</f>
        <v>15.933333333333334</v>
      </c>
      <c r="EA42" s="523">
        <f t="shared" ref="EA42:EA62" si="205">IF(AND(DW42&gt;0,DX42&gt;0),DX42-DW42,"0")</f>
        <v>0</v>
      </c>
      <c r="EB42" s="325">
        <v>18</v>
      </c>
      <c r="EC42" s="116">
        <f t="shared" ref="EC42:EC62" si="206">DATEDIF(DX42,FC42,"M")</f>
        <v>21</v>
      </c>
      <c r="ED42" s="122">
        <v>42909</v>
      </c>
      <c r="EE42" s="122">
        <v>42909</v>
      </c>
      <c r="EF42" s="523">
        <f t="shared" ref="EF42:EF62" si="207">IF(AND(ED42&gt;0,EE42&gt;0),EE42-ED42,"0")</f>
        <v>0</v>
      </c>
      <c r="EG42" s="315">
        <v>42942</v>
      </c>
      <c r="EH42" s="613">
        <v>43160</v>
      </c>
      <c r="EI42" s="614">
        <f t="shared" ref="EI42:EI62" si="208">IF(AND(EG42&gt;0,EH42&gt;0),EH42-EG42,"0")</f>
        <v>218</v>
      </c>
      <c r="EJ42" s="122">
        <v>43046</v>
      </c>
      <c r="EK42" s="122">
        <v>43259</v>
      </c>
      <c r="EL42" s="523">
        <f t="shared" ref="EL42:EL62" si="209">IF(AND(EJ42&gt;0,EK42&gt;0),EK42-EJ42,"0")</f>
        <v>213</v>
      </c>
      <c r="EM42" s="315">
        <v>43133</v>
      </c>
      <c r="EN42" s="315">
        <v>43278</v>
      </c>
      <c r="EO42" s="685">
        <f t="shared" ref="EO42:EO62" si="210">IF(AND(EM42&gt;0,EN42&gt;0),EN42-EM42,"0")</f>
        <v>145</v>
      </c>
      <c r="EP42" s="533">
        <v>43182</v>
      </c>
      <c r="EQ42" s="533">
        <f ca="1">IF(EP42&lt;TODAY(),TODAY(),EP42)</f>
        <v>43423</v>
      </c>
      <c r="ER42" s="529">
        <f t="shared" ref="ER42:ER62" ca="1" si="211">IF(AND(EP42&gt;0,EQ42&gt;0),EQ42-EP42,"0")</f>
        <v>241</v>
      </c>
      <c r="ES42" s="533">
        <v>43214</v>
      </c>
      <c r="ET42" s="533">
        <f ca="1">IF(ES42&lt;TODAY(),TODAY(),ES42)</f>
        <v>43423</v>
      </c>
      <c r="EU42" s="529">
        <f t="shared" ref="EU42:EU62" ca="1" si="212">IF(AND(ES42&gt;0,ET42&gt;0),ET42-ES42,"0")</f>
        <v>209</v>
      </c>
      <c r="EV42" s="533">
        <v>43346</v>
      </c>
      <c r="EW42" s="533">
        <f ca="1">IF(EV42&lt;TODAY(),TODAY(),EV42)</f>
        <v>43423</v>
      </c>
      <c r="EX42" s="529">
        <f t="shared" ref="EX42:EX62" ca="1" si="213">IF(AND(EV42&gt;0,EW42&gt;0),EW42-EV42,"0")</f>
        <v>77</v>
      </c>
      <c r="EY42" s="535"/>
      <c r="EZ42" s="535"/>
      <c r="FA42" s="535"/>
      <c r="FB42" s="731">
        <f t="shared" ref="FB42:FB62" si="214">DATE(YEAR(DX42),MONTH(DX42)+EB42,DAY(DX42))</f>
        <v>43328</v>
      </c>
      <c r="FC42" s="730">
        <v>43433</v>
      </c>
      <c r="FD42" s="726">
        <f t="shared" ref="FD42:FD62" si="215">(DATEDIF(FB42,FC42,"d"))/30</f>
        <v>3.5</v>
      </c>
      <c r="FE42" s="461">
        <f t="shared" ref="FE42:FE62" si="216">DATE(YEAR(CY42)+2,MONTH(CY42),DAY(CY42))</f>
        <v>43889</v>
      </c>
      <c r="FF42" s="186"/>
      <c r="FG42" s="239">
        <v>42887</v>
      </c>
      <c r="FH42" s="186">
        <v>43433</v>
      </c>
      <c r="FI42" s="186" t="s">
        <v>969</v>
      </c>
      <c r="FJ42" s="729">
        <f>DATE(YEAR(FB42),MONTH(FB42),DAY(FB42)+15)</f>
        <v>43343</v>
      </c>
      <c r="FK42" s="730">
        <v>43452</v>
      </c>
      <c r="FL42" s="410" t="s">
        <v>968</v>
      </c>
      <c r="FM42" s="723">
        <f t="shared" ref="FM42:FM52" si="217">(DATEDIF(FJ42,FK42,"d"))/30</f>
        <v>3.6333333333333333</v>
      </c>
      <c r="FN42" s="701">
        <v>25851.972027750006</v>
      </c>
      <c r="FO42" s="232">
        <f t="shared" ref="FO42:FO62" si="218">FN42*FM42</f>
        <v>93928.831700825016</v>
      </c>
      <c r="FP42" s="117"/>
      <c r="FQ42" s="556">
        <v>0</v>
      </c>
      <c r="FR42" s="556">
        <v>0</v>
      </c>
      <c r="FS42" s="556">
        <f>481600.82*1.021</f>
        <v>491714.43721999996</v>
      </c>
      <c r="FT42" s="556"/>
      <c r="FU42" s="556">
        <f>75606.36*1.021</f>
        <v>77194.093559999994</v>
      </c>
      <c r="FV42" s="749">
        <f>FU42/(GY42+GY43)</f>
        <v>7.760247745121426E-3</v>
      </c>
      <c r="FW42" s="553" t="s">
        <v>703</v>
      </c>
      <c r="FX42" s="650" t="s">
        <v>811</v>
      </c>
      <c r="FY42" s="650" t="s">
        <v>814</v>
      </c>
      <c r="FZ42" s="650" t="s">
        <v>780</v>
      </c>
      <c r="GA42" s="121"/>
      <c r="GB42" s="121"/>
      <c r="GC42" s="121"/>
      <c r="GD42" s="121"/>
      <c r="GE42" s="121"/>
      <c r="GF42" s="53"/>
      <c r="GG42" s="280">
        <f t="shared" ref="GG42:GG62" si="219">DATE(YEAR(FC42)+1,MONTH(FC42),DAY(FC42))</f>
        <v>43798</v>
      </c>
      <c r="GH42" s="280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109"/>
      <c r="GW42" s="112"/>
      <c r="GX42" s="10">
        <f>HI42+HN42+HU42</f>
        <v>8830884.4772763215</v>
      </c>
      <c r="GY42" s="67">
        <f t="shared" ref="GY42:GY53" si="220">HJ42+HO42+HV42+IO42+HW42+HZ42</f>
        <v>8447391</v>
      </c>
      <c r="GZ42" s="797">
        <f t="shared" ref="GZ42:GZ53" si="221">GY42</f>
        <v>8447391</v>
      </c>
      <c r="HA42" s="12"/>
      <c r="HB42" s="49">
        <f t="shared" ref="HB42:HB53" si="222">GY42/AL42</f>
        <v>1970.7517765573748</v>
      </c>
      <c r="HC42" s="49">
        <f t="shared" ref="HC42:HC53" si="223">GY42/AE42</f>
        <v>183638.9347826087</v>
      </c>
      <c r="HD42" s="10">
        <v>7838932.0183052132</v>
      </c>
      <c r="HE42" s="11"/>
      <c r="HF42" s="12">
        <f t="shared" ref="HF42:HF53" si="224">HE42-HD42</f>
        <v>-7838932.0183052132</v>
      </c>
      <c r="HG42" s="127">
        <f t="shared" ref="HG42:HG53" si="225">HE42*1.021/GY42</f>
        <v>0</v>
      </c>
      <c r="HH42" s="129">
        <v>0.39750000000000002</v>
      </c>
      <c r="HI42" s="10">
        <v>2934715.4772763224</v>
      </c>
      <c r="HJ42" s="638">
        <v>2642685</v>
      </c>
      <c r="HK42" s="642"/>
      <c r="HL42" s="640">
        <f t="shared" ref="HL42:HL53" si="226">HJ42/AE42</f>
        <v>57449.67391304348</v>
      </c>
      <c r="HM42" s="37"/>
      <c r="HN42" s="10">
        <v>5440169</v>
      </c>
      <c r="HO42" s="11">
        <f>HP42+HQ42</f>
        <v>5285874</v>
      </c>
      <c r="HP42" s="13">
        <v>1258166</v>
      </c>
      <c r="HQ42" s="13">
        <v>4027708</v>
      </c>
      <c r="HR42" s="37"/>
      <c r="HS42" s="629">
        <f t="shared" ref="HS42:HS53" si="227">HO42/AE42</f>
        <v>114910.30434782608</v>
      </c>
      <c r="HT42" s="11"/>
      <c r="HU42" s="10">
        <v>456000</v>
      </c>
      <c r="HV42" s="11">
        <v>406000</v>
      </c>
      <c r="HW42" s="67"/>
      <c r="HX42" s="40">
        <f t="shared" ref="HX42:HX62" si="228">HV42/GY42</f>
        <v>4.8062176830692457E-2</v>
      </c>
      <c r="HY42" s="303"/>
      <c r="HZ42" s="11">
        <f>56916+55916</f>
        <v>112832</v>
      </c>
      <c r="IA42" s="24">
        <f t="shared" ref="IA42:IA62" si="229">HV42-HU42</f>
        <v>-50000</v>
      </c>
      <c r="IB42" s="23">
        <f t="shared" ref="IB42:IB62" si="230">HV42/AE42</f>
        <v>8826.0869565217399</v>
      </c>
      <c r="IC42" s="81">
        <f t="shared" ref="IC42:IC62" si="231">(HJ42+HV42)/AE42</f>
        <v>66275.760869565216</v>
      </c>
      <c r="ID42" s="24">
        <f>IA42/AE42</f>
        <v>-1086.9565217391305</v>
      </c>
      <c r="IE42" s="48">
        <v>6.38</v>
      </c>
      <c r="IF42" s="48">
        <v>5.74</v>
      </c>
      <c r="IG42" s="39"/>
      <c r="IH42" s="39"/>
      <c r="II42" s="23">
        <f>(HJ42+HV42+IH42)/AE42</f>
        <v>66275.760869565216</v>
      </c>
      <c r="IJ42" s="39"/>
      <c r="IK42" s="23">
        <f>(HJ42+HV42+IH42+IJ42)/AE42</f>
        <v>66275.760869565216</v>
      </c>
      <c r="IL42" s="50">
        <f t="shared" ref="IL42:IL47" si="232">(HJ42+HV42+IH42+IJ42)/(IG42+GY42-IM42)</f>
        <v>0.3609025555937922</v>
      </c>
      <c r="IM42" s="39"/>
      <c r="IN42" s="39"/>
      <c r="IO42" s="11">
        <f t="shared" ref="IO42:IO52" si="233">FR42</f>
        <v>0</v>
      </c>
      <c r="IP42" s="41">
        <f t="shared" ref="IP42:IP47" si="234">GY42+IG42</f>
        <v>8447391</v>
      </c>
      <c r="IQ42" s="277">
        <v>475807</v>
      </c>
      <c r="IR42" s="277">
        <f t="shared" ref="IR42:IR50" si="235">IT42+IV42+IX42+IZ42+JB42+JD42+JF42+JH42+JJ42+JL42+JN42+JP42+JR42+JT42+JV42+JX42+JZ42</f>
        <v>398488</v>
      </c>
      <c r="IS42" s="113">
        <v>41102</v>
      </c>
      <c r="IT42" s="231">
        <v>41000</v>
      </c>
      <c r="IU42" s="231"/>
      <c r="IV42" s="113"/>
      <c r="IW42" s="113"/>
      <c r="IX42" s="231"/>
      <c r="IY42" s="113"/>
      <c r="IZ42" s="231">
        <v>81523</v>
      </c>
      <c r="JA42" s="113"/>
      <c r="JB42" s="231">
        <v>46614</v>
      </c>
      <c r="JC42" s="114">
        <v>42039</v>
      </c>
      <c r="JD42" s="321">
        <v>72488</v>
      </c>
      <c r="JE42" s="313"/>
      <c r="JF42" s="313"/>
      <c r="JG42" s="122">
        <v>42716</v>
      </c>
      <c r="JH42" s="314">
        <v>18438</v>
      </c>
      <c r="JI42" s="122">
        <v>42794</v>
      </c>
      <c r="JJ42" s="314">
        <v>47284</v>
      </c>
      <c r="JK42" s="618" t="s">
        <v>762</v>
      </c>
      <c r="JL42" s="114">
        <f>21278+2364</f>
        <v>23642</v>
      </c>
      <c r="JM42" s="113">
        <v>43290</v>
      </c>
      <c r="JN42" s="114">
        <v>67499</v>
      </c>
      <c r="JO42" s="114"/>
      <c r="JP42" s="114"/>
      <c r="JQ42" s="742">
        <v>0.75</v>
      </c>
      <c r="JR42" s="114"/>
      <c r="JS42" s="269"/>
      <c r="JT42" s="269"/>
      <c r="JU42" s="231">
        <v>81523</v>
      </c>
      <c r="JV42" s="122"/>
      <c r="JW42" s="114"/>
      <c r="JX42" s="122"/>
      <c r="JY42" s="122"/>
      <c r="JZ42" s="114"/>
    </row>
    <row r="43" spans="1:286" ht="15" customHeight="1">
      <c r="A43" s="6" t="s">
        <v>859</v>
      </c>
      <c r="B43" s="86"/>
      <c r="C43" s="7" t="s">
        <v>161</v>
      </c>
      <c r="D43" s="7" t="s">
        <v>114</v>
      </c>
      <c r="E43" s="7">
        <v>2015</v>
      </c>
      <c r="F43" s="7" t="s">
        <v>251</v>
      </c>
      <c r="G43" s="7" t="s">
        <v>374</v>
      </c>
      <c r="H43" s="7" t="s">
        <v>463</v>
      </c>
      <c r="I43" s="7" t="s">
        <v>173</v>
      </c>
      <c r="J43" s="53"/>
      <c r="K43" s="53"/>
      <c r="L43" s="255" t="s">
        <v>551</v>
      </c>
      <c r="M43" s="162" t="s">
        <v>59</v>
      </c>
      <c r="N43" s="104" t="s">
        <v>64</v>
      </c>
      <c r="O43" s="105"/>
      <c r="P43" s="207">
        <f>13077/58*AE43</f>
        <v>2705.5862068965516</v>
      </c>
      <c r="Q43" s="207">
        <f>590200/58*AE43</f>
        <v>122110.34482758622</v>
      </c>
      <c r="R43" s="207">
        <f>590200/58*AE43</f>
        <v>122110.34482758622</v>
      </c>
      <c r="S43" s="207">
        <f>Q43/AE43</f>
        <v>10175.862068965518</v>
      </c>
      <c r="T43" s="207">
        <f t="shared" si="185"/>
        <v>45.132675690143003</v>
      </c>
      <c r="U43" s="213">
        <f t="shared" si="186"/>
        <v>45.132675690143003</v>
      </c>
      <c r="V43" s="213">
        <f t="shared" si="187"/>
        <v>180.24731324002335</v>
      </c>
      <c r="W43" s="213">
        <f t="shared" si="188"/>
        <v>10175.862068965518</v>
      </c>
      <c r="X43" s="207">
        <f t="shared" si="189"/>
        <v>225.4655172413793</v>
      </c>
      <c r="Y43" s="208"/>
      <c r="Z43" s="904">
        <f t="shared" si="51"/>
        <v>44.352680278351308</v>
      </c>
      <c r="AA43" s="208" t="s">
        <v>856</v>
      </c>
      <c r="AB43" s="210">
        <v>280</v>
      </c>
      <c r="AC43" s="211">
        <v>0.25</v>
      </c>
      <c r="AD43" s="20" t="s">
        <v>16</v>
      </c>
      <c r="AE43" s="771">
        <f t="shared" si="190"/>
        <v>12</v>
      </c>
      <c r="AF43" s="771">
        <f t="shared" si="191"/>
        <v>12</v>
      </c>
      <c r="AG43" s="8"/>
      <c r="AH43" s="7">
        <v>12</v>
      </c>
      <c r="AI43" s="53"/>
      <c r="AJ43" s="53"/>
      <c r="AK43" s="269"/>
      <c r="AL43" s="9">
        <v>1301.51</v>
      </c>
      <c r="AM43" s="57"/>
      <c r="AN43" s="417">
        <v>677.46</v>
      </c>
      <c r="AO43" s="9">
        <f t="shared" ref="AO43:AO53" si="236">AN43/AE43</f>
        <v>56.455000000000005</v>
      </c>
      <c r="AP43" s="78"/>
      <c r="AQ43" s="78">
        <f>12/AE43</f>
        <v>1</v>
      </c>
      <c r="AR43" s="78"/>
      <c r="AS43" s="78"/>
      <c r="AT43" s="78"/>
      <c r="AU43" s="9"/>
      <c r="AV43" s="76"/>
      <c r="AW43" s="78"/>
      <c r="AX43" s="57">
        <v>2</v>
      </c>
      <c r="AY43" s="56" t="s">
        <v>549</v>
      </c>
      <c r="AZ43" s="7" t="s">
        <v>120</v>
      </c>
      <c r="BA43" s="53"/>
      <c r="BB43" s="53"/>
      <c r="BC43" s="53"/>
      <c r="BD43" s="184">
        <v>41921</v>
      </c>
      <c r="BE43" s="53"/>
      <c r="BF43" s="108" t="s">
        <v>12</v>
      </c>
      <c r="BG43" s="108" t="s">
        <v>414</v>
      </c>
      <c r="BH43" s="35"/>
      <c r="BI43" s="204">
        <v>42306</v>
      </c>
      <c r="BJ43" s="99">
        <v>42335</v>
      </c>
      <c r="BK43" s="99">
        <v>42600</v>
      </c>
      <c r="BL43" s="204">
        <v>42613</v>
      </c>
      <c r="BM43" s="99">
        <v>42614</v>
      </c>
      <c r="BN43" s="160">
        <v>42614</v>
      </c>
      <c r="BO43" s="202">
        <v>42622</v>
      </c>
      <c r="BP43" s="161">
        <v>42713</v>
      </c>
      <c r="BQ43" s="161">
        <v>42660</v>
      </c>
      <c r="BR43" s="299">
        <f t="shared" si="192"/>
        <v>42622</v>
      </c>
      <c r="BS43" s="298">
        <f t="shared" si="193"/>
        <v>43352</v>
      </c>
      <c r="BT43" s="298">
        <f t="shared" si="194"/>
        <v>43717</v>
      </c>
      <c r="BU43" s="298"/>
      <c r="BV43" s="298" t="str">
        <f>IF(FK43&gt;BT43,"oui","non")</f>
        <v>non</v>
      </c>
      <c r="BW43" s="672">
        <f t="shared" si="195"/>
        <v>8</v>
      </c>
      <c r="BX43" s="672">
        <f t="shared" si="196"/>
        <v>31784</v>
      </c>
      <c r="BY43" s="672">
        <f t="shared" si="197"/>
        <v>0</v>
      </c>
      <c r="BZ43" s="828">
        <v>42627</v>
      </c>
      <c r="CA43" s="817" t="s">
        <v>571</v>
      </c>
      <c r="CB43" s="354">
        <v>42747</v>
      </c>
      <c r="CC43" s="354"/>
      <c r="CD43" s="354"/>
      <c r="CE43" s="354"/>
      <c r="CF43" s="377">
        <v>42753</v>
      </c>
      <c r="CG43" s="377"/>
      <c r="CH43" s="377"/>
      <c r="CI43" s="377"/>
      <c r="CJ43" s="377"/>
      <c r="CK43" s="377"/>
      <c r="CL43" s="377"/>
      <c r="CM43" s="377">
        <v>42753</v>
      </c>
      <c r="CN43" s="377">
        <v>42912</v>
      </c>
      <c r="CO43" s="377"/>
      <c r="CP43" s="377"/>
      <c r="CQ43" s="377"/>
      <c r="CR43" s="377"/>
      <c r="CS43" s="156" t="s">
        <v>64</v>
      </c>
      <c r="CT43" s="307">
        <v>42725</v>
      </c>
      <c r="CU43" s="250" t="s">
        <v>540</v>
      </c>
      <c r="CV43" s="157">
        <v>9447490.1300000008</v>
      </c>
      <c r="CW43" s="581">
        <f>DATE(YEAR(CT43),MONTH(CT43)+18,DAY(CT43))</f>
        <v>43272</v>
      </c>
      <c r="CX43" s="405">
        <f>DATE(YEAR(CT43),MONTH(CT43)+24,DAY(CT43))</f>
        <v>43455</v>
      </c>
      <c r="CY43" s="340"/>
      <c r="CZ43" s="256">
        <v>43389</v>
      </c>
      <c r="DA43" s="597">
        <f>(FK43-CZ43)/30</f>
        <v>2.1</v>
      </c>
      <c r="DB43" s="122"/>
      <c r="DC43" s="122"/>
      <c r="DD43" s="122"/>
      <c r="DE43" s="523" t="str">
        <f t="shared" si="198"/>
        <v>0</v>
      </c>
      <c r="DF43" s="122"/>
      <c r="DG43" s="122"/>
      <c r="DH43" s="523" t="str">
        <f t="shared" si="199"/>
        <v>0</v>
      </c>
      <c r="DI43" s="122"/>
      <c r="DJ43" s="122"/>
      <c r="DK43" s="523" t="str">
        <f t="shared" si="200"/>
        <v>0</v>
      </c>
      <c r="DL43" s="125"/>
      <c r="DM43" s="122"/>
      <c r="DN43" s="523" t="str">
        <f t="shared" si="201"/>
        <v>0</v>
      </c>
      <c r="DO43" s="122"/>
      <c r="DP43" s="122"/>
      <c r="DQ43" s="523" t="str">
        <f t="shared" si="202"/>
        <v>0</v>
      </c>
      <c r="DR43" s="451"/>
      <c r="DS43" s="122"/>
      <c r="DT43" s="122"/>
      <c r="DU43" s="122"/>
      <c r="DV43" s="523" t="str">
        <f t="shared" si="203"/>
        <v>0</v>
      </c>
      <c r="DW43" s="122"/>
      <c r="DX43" s="440">
        <v>42782</v>
      </c>
      <c r="DY43" s="343">
        <v>2017</v>
      </c>
      <c r="DZ43" s="444">
        <f t="shared" si="204"/>
        <v>15.866666666666667</v>
      </c>
      <c r="EA43" s="523" t="str">
        <f t="shared" si="205"/>
        <v>0</v>
      </c>
      <c r="EB43" s="325">
        <v>18</v>
      </c>
      <c r="EC43" s="116">
        <f t="shared" si="206"/>
        <v>21</v>
      </c>
      <c r="ED43" s="122"/>
      <c r="EE43" s="122"/>
      <c r="EF43" s="523" t="str">
        <f t="shared" si="207"/>
        <v>0</v>
      </c>
      <c r="EG43" s="315"/>
      <c r="EH43" s="613"/>
      <c r="EI43" s="614" t="str">
        <f t="shared" si="208"/>
        <v>0</v>
      </c>
      <c r="EJ43" s="122"/>
      <c r="EK43" s="122"/>
      <c r="EL43" s="523" t="str">
        <f t="shared" si="209"/>
        <v>0</v>
      </c>
      <c r="EM43" s="315"/>
      <c r="EN43" s="315"/>
      <c r="EO43" s="685" t="str">
        <f t="shared" si="210"/>
        <v>0</v>
      </c>
      <c r="EP43" s="533"/>
      <c r="EQ43" s="533"/>
      <c r="ER43" s="529" t="str">
        <f t="shared" si="211"/>
        <v>0</v>
      </c>
      <c r="ES43" s="533"/>
      <c r="ET43" s="533"/>
      <c r="EU43" s="529" t="str">
        <f t="shared" si="212"/>
        <v>0</v>
      </c>
      <c r="EV43" s="533"/>
      <c r="EW43" s="533"/>
      <c r="EX43" s="529" t="str">
        <f t="shared" si="213"/>
        <v>0</v>
      </c>
      <c r="EY43" s="535"/>
      <c r="EZ43" s="535"/>
      <c r="FA43" s="535"/>
      <c r="FB43" s="731">
        <f t="shared" si="214"/>
        <v>43328</v>
      </c>
      <c r="FC43" s="730">
        <v>43433</v>
      </c>
      <c r="FD43" s="726">
        <f t="shared" si="215"/>
        <v>3.5</v>
      </c>
      <c r="FE43" s="461">
        <f t="shared" si="216"/>
        <v>731</v>
      </c>
      <c r="FF43" s="186"/>
      <c r="FG43" s="239">
        <v>42887</v>
      </c>
      <c r="FH43" s="186">
        <v>43433</v>
      </c>
      <c r="FI43" s="461"/>
      <c r="FJ43" s="753">
        <f>DATE(YEAR(FB43),MONTH(FB43),DAY(FB43)+15)</f>
        <v>43343</v>
      </c>
      <c r="FK43" s="730">
        <v>43452</v>
      </c>
      <c r="FL43" s="410"/>
      <c r="FM43" s="723">
        <f t="shared" si="217"/>
        <v>3.6333333333333333</v>
      </c>
      <c r="FN43" s="701">
        <v>3973</v>
      </c>
      <c r="FO43" s="811">
        <f t="shared" si="218"/>
        <v>14435.233333333334</v>
      </c>
      <c r="FP43" s="117"/>
      <c r="FQ43" s="556">
        <v>0</v>
      </c>
      <c r="FR43" s="556">
        <v>0</v>
      </c>
      <c r="FS43" s="231" t="s">
        <v>539</v>
      </c>
      <c r="FT43" s="231"/>
      <c r="FU43" s="231"/>
      <c r="FV43" s="749">
        <f t="shared" ref="FV43:FV62" si="237">FU43/GY43</f>
        <v>0</v>
      </c>
      <c r="FW43" s="114"/>
      <c r="FX43" s="652"/>
      <c r="FY43" s="652"/>
      <c r="FZ43" s="652"/>
      <c r="GA43" s="121"/>
      <c r="GB43" s="121"/>
      <c r="GC43" s="121"/>
      <c r="GD43" s="121"/>
      <c r="GE43" s="121"/>
      <c r="GF43" s="53"/>
      <c r="GG43" s="280">
        <f t="shared" si="219"/>
        <v>43798</v>
      </c>
      <c r="GH43" s="280"/>
      <c r="GI43" s="53"/>
      <c r="GJ43" s="53"/>
      <c r="GK43" s="53"/>
      <c r="GL43" s="53"/>
      <c r="GM43" s="53"/>
      <c r="GN43" s="53"/>
      <c r="GO43" s="53"/>
      <c r="GP43" s="53"/>
      <c r="GQ43" s="113"/>
      <c r="GR43" s="53"/>
      <c r="GS43" s="53"/>
      <c r="GT43" s="53"/>
      <c r="GU43" s="53"/>
      <c r="GV43" s="109"/>
      <c r="GW43" s="112"/>
      <c r="GX43" s="10">
        <f>HI43+HN43+HU43</f>
        <v>1416864.7499111779</v>
      </c>
      <c r="GY43" s="67">
        <f t="shared" si="220"/>
        <v>1499983.8900000001</v>
      </c>
      <c r="GZ43" s="797">
        <f t="shared" si="221"/>
        <v>1499983.8900000001</v>
      </c>
      <c r="HA43" s="12">
        <f>GY43-GX43</f>
        <v>83119.140088822227</v>
      </c>
      <c r="HB43" s="49">
        <f t="shared" si="222"/>
        <v>1152.4950941598606</v>
      </c>
      <c r="HC43" s="49">
        <f t="shared" si="223"/>
        <v>124998.65750000002</v>
      </c>
      <c r="HD43" s="10">
        <v>1249637.106694787</v>
      </c>
      <c r="HE43" s="11"/>
      <c r="HF43" s="12">
        <f t="shared" si="224"/>
        <v>-1249637.106694787</v>
      </c>
      <c r="HG43" s="127">
        <f t="shared" si="225"/>
        <v>0</v>
      </c>
      <c r="HH43" s="129">
        <v>0.39750000000000002</v>
      </c>
      <c r="HI43" s="10">
        <v>410870.74991117785</v>
      </c>
      <c r="HJ43" s="638">
        <v>443491.89</v>
      </c>
      <c r="HK43" s="642"/>
      <c r="HL43" s="640">
        <f t="shared" si="226"/>
        <v>36957.657500000001</v>
      </c>
      <c r="HM43" s="37">
        <f t="shared" ref="HM43:HM52" si="238">HJ43-HI43</f>
        <v>32621.140088822169</v>
      </c>
      <c r="HN43" s="10">
        <v>789994</v>
      </c>
      <c r="HO43" s="11">
        <f>HP43+HQ43</f>
        <v>771556</v>
      </c>
      <c r="HP43" s="13">
        <v>172922</v>
      </c>
      <c r="HQ43" s="13">
        <v>598634</v>
      </c>
      <c r="HR43" s="37">
        <f t="shared" ref="HR43:HR53" si="239">HO43-HN43</f>
        <v>-18438</v>
      </c>
      <c r="HS43" s="629">
        <f t="shared" si="227"/>
        <v>64296.333333333336</v>
      </c>
      <c r="HT43" s="11"/>
      <c r="HU43" s="10">
        <v>216000</v>
      </c>
      <c r="HV43" s="11">
        <v>266000</v>
      </c>
      <c r="HW43" s="67"/>
      <c r="HX43" s="40">
        <f t="shared" si="228"/>
        <v>0.17733523791378852</v>
      </c>
      <c r="HY43" s="303"/>
      <c r="HZ43" s="11">
        <f>9552+9384</f>
        <v>18936</v>
      </c>
      <c r="IA43" s="24">
        <f t="shared" si="229"/>
        <v>50000</v>
      </c>
      <c r="IB43" s="23">
        <f t="shared" si="230"/>
        <v>22166.666666666668</v>
      </c>
      <c r="IC43" s="81">
        <f t="shared" si="231"/>
        <v>59124.324166666665</v>
      </c>
      <c r="ID43" s="24">
        <f>IA43/AE43</f>
        <v>4166.666666666667</v>
      </c>
      <c r="IE43" s="48">
        <v>5.85</v>
      </c>
      <c r="IF43" s="48">
        <v>5.84</v>
      </c>
      <c r="IG43" s="39">
        <v>0</v>
      </c>
      <c r="IH43" s="39">
        <v>0</v>
      </c>
      <c r="II43" s="23">
        <f>(HJ43+HV43+IH43)/AE43</f>
        <v>59124.324166666665</v>
      </c>
      <c r="IJ43" s="39">
        <v>0</v>
      </c>
      <c r="IK43" s="23">
        <f>(HJ43+HV43+IH43+IJ43)/AE43</f>
        <v>59124.324166666665</v>
      </c>
      <c r="IL43" s="50">
        <f t="shared" si="232"/>
        <v>0.47299967334982507</v>
      </c>
      <c r="IM43" s="39">
        <v>0</v>
      </c>
      <c r="IN43" s="39"/>
      <c r="IO43" s="11">
        <f t="shared" si="233"/>
        <v>0</v>
      </c>
      <c r="IP43" s="41">
        <f t="shared" si="234"/>
        <v>1499983.8900000001</v>
      </c>
      <c r="IQ43" s="277"/>
      <c r="IR43" s="277">
        <f t="shared" si="235"/>
        <v>0</v>
      </c>
      <c r="IS43" s="113"/>
      <c r="IT43" s="231"/>
      <c r="IU43" s="231"/>
      <c r="IV43" s="113"/>
      <c r="IW43" s="113"/>
      <c r="IX43" s="231"/>
      <c r="IY43" s="113"/>
      <c r="IZ43" s="231"/>
      <c r="JA43" s="113"/>
      <c r="JB43" s="231"/>
      <c r="JC43" s="114"/>
      <c r="JD43" s="321"/>
      <c r="JE43" s="313"/>
      <c r="JF43" s="313"/>
      <c r="JG43" s="122"/>
      <c r="JH43" s="231"/>
      <c r="JI43" s="122"/>
      <c r="JJ43" s="231"/>
      <c r="JK43" s="300"/>
      <c r="JL43" s="300"/>
      <c r="JM43" s="300"/>
      <c r="JN43" s="300"/>
      <c r="JO43" s="269"/>
      <c r="JP43" s="269"/>
      <c r="JQ43" s="269"/>
      <c r="JR43" s="269"/>
      <c r="JS43" s="269"/>
      <c r="JT43" s="269"/>
      <c r="JU43" s="231"/>
      <c r="JV43" s="122"/>
      <c r="JW43" s="114"/>
      <c r="JX43" s="122"/>
      <c r="JY43" s="122"/>
      <c r="JZ43" s="114"/>
    </row>
    <row r="44" spans="1:286" ht="15" customHeight="1">
      <c r="A44" s="83" t="s">
        <v>266</v>
      </c>
      <c r="B44" s="98"/>
      <c r="C44" s="20" t="s">
        <v>31</v>
      </c>
      <c r="D44" s="20" t="s">
        <v>112</v>
      </c>
      <c r="E44" s="20">
        <v>2015</v>
      </c>
      <c r="F44" s="20" t="s">
        <v>255</v>
      </c>
      <c r="G44" s="20" t="s">
        <v>30</v>
      </c>
      <c r="H44" s="20" t="s">
        <v>643</v>
      </c>
      <c r="I44" s="20" t="s">
        <v>173</v>
      </c>
      <c r="J44" s="54"/>
      <c r="K44" s="54"/>
      <c r="L44" s="255" t="s">
        <v>625</v>
      </c>
      <c r="M44" s="162" t="s">
        <v>59</v>
      </c>
      <c r="N44" s="104" t="s">
        <v>276</v>
      </c>
      <c r="O44" s="105"/>
      <c r="P44" s="212">
        <v>3547</v>
      </c>
      <c r="Q44" s="212">
        <v>319230</v>
      </c>
      <c r="R44" s="212">
        <v>132491.5</v>
      </c>
      <c r="S44" s="207">
        <f>Q44/AE44</f>
        <v>16801.57894736842</v>
      </c>
      <c r="T44" s="207">
        <f t="shared" si="185"/>
        <v>90</v>
      </c>
      <c r="U44" s="213">
        <f t="shared" si="186"/>
        <v>37.353115308711587</v>
      </c>
      <c r="V44" s="213">
        <f t="shared" si="187"/>
        <v>110.26440187087003</v>
      </c>
      <c r="W44" s="213">
        <f t="shared" si="188"/>
        <v>6973.2368421052633</v>
      </c>
      <c r="X44" s="207">
        <f t="shared" si="189"/>
        <v>186.68421052631578</v>
      </c>
      <c r="Y44" s="214"/>
      <c r="Z44" s="906">
        <f t="shared" si="51"/>
        <v>53.566394135889482</v>
      </c>
      <c r="AA44" s="214" t="s">
        <v>194</v>
      </c>
      <c r="AB44" s="412"/>
      <c r="AC44" s="413"/>
      <c r="AD44" s="20" t="s">
        <v>16</v>
      </c>
      <c r="AE44" s="771">
        <f t="shared" si="190"/>
        <v>19</v>
      </c>
      <c r="AF44" s="771">
        <f t="shared" si="191"/>
        <v>19</v>
      </c>
      <c r="AG44" s="52"/>
      <c r="AH44" s="20">
        <v>19</v>
      </c>
      <c r="AI44" s="54"/>
      <c r="AJ44" s="54"/>
      <c r="AK44" s="269"/>
      <c r="AL44" s="416">
        <v>1200.06</v>
      </c>
      <c r="AM44" s="58"/>
      <c r="AN44" s="417">
        <v>1201.58</v>
      </c>
      <c r="AO44" s="9">
        <f t="shared" si="236"/>
        <v>63.241052631578945</v>
      </c>
      <c r="AP44" s="60">
        <v>0</v>
      </c>
      <c r="AQ44" s="79">
        <f>13/AE44</f>
        <v>0.68421052631578949</v>
      </c>
      <c r="AR44" s="79">
        <f>5/AE44</f>
        <v>0.26315789473684209</v>
      </c>
      <c r="AS44" s="79">
        <f>2/AE44</f>
        <v>0.10526315789473684</v>
      </c>
      <c r="AT44" s="79">
        <v>0</v>
      </c>
      <c r="AU44" s="416"/>
      <c r="AV44" s="77" t="s">
        <v>320</v>
      </c>
      <c r="AW44" s="79"/>
      <c r="AX44" s="60">
        <v>2</v>
      </c>
      <c r="AY44" s="56" t="s">
        <v>549</v>
      </c>
      <c r="AZ44" s="20" t="s">
        <v>121</v>
      </c>
      <c r="BA44" s="54"/>
      <c r="BB44" s="54"/>
      <c r="BC44" s="54"/>
      <c r="BD44" s="190">
        <v>42031</v>
      </c>
      <c r="BE44" s="54"/>
      <c r="BF44" s="110" t="s">
        <v>11</v>
      </c>
      <c r="BG44" s="108" t="s">
        <v>331</v>
      </c>
      <c r="BH44" s="35"/>
      <c r="BI44" s="204">
        <v>42248</v>
      </c>
      <c r="BJ44" s="99"/>
      <c r="BK44" s="99">
        <v>42536</v>
      </c>
      <c r="BL44" s="204">
        <v>42538</v>
      </c>
      <c r="BM44" s="99">
        <v>42541</v>
      </c>
      <c r="BN44" s="160">
        <v>42548</v>
      </c>
      <c r="BO44" s="202">
        <v>42559</v>
      </c>
      <c r="BP44" s="164" t="s">
        <v>417</v>
      </c>
      <c r="BQ44" s="161">
        <v>42235</v>
      </c>
      <c r="BR44" s="299">
        <f t="shared" si="192"/>
        <v>42559</v>
      </c>
      <c r="BS44" s="298">
        <f t="shared" si="193"/>
        <v>43289</v>
      </c>
      <c r="BT44" s="298">
        <f t="shared" si="194"/>
        <v>43654</v>
      </c>
      <c r="BU44" s="298"/>
      <c r="BV44" s="298" t="str">
        <f t="shared" ref="BV44:BV50" si="240">IF(FK44&gt;BS44,"oui","non")</f>
        <v>oui</v>
      </c>
      <c r="BW44" s="672">
        <f t="shared" si="195"/>
        <v>4</v>
      </c>
      <c r="BX44" s="672">
        <f t="shared" si="196"/>
        <v>0</v>
      </c>
      <c r="BY44" s="672">
        <f t="shared" si="197"/>
        <v>0</v>
      </c>
      <c r="BZ44" s="828">
        <v>42564</v>
      </c>
      <c r="CA44" s="817" t="s">
        <v>573</v>
      </c>
      <c r="CB44" s="354">
        <v>42747</v>
      </c>
      <c r="CC44" s="354"/>
      <c r="CD44" s="354"/>
      <c r="CE44" s="354"/>
      <c r="CF44" s="377"/>
      <c r="CG44" s="377"/>
      <c r="CH44" s="377"/>
      <c r="CI44" s="377"/>
      <c r="CJ44" s="377"/>
      <c r="CK44" s="377"/>
      <c r="CL44" s="377"/>
      <c r="CM44" s="377">
        <v>42915</v>
      </c>
      <c r="CN44" s="776">
        <v>42719</v>
      </c>
      <c r="CO44" s="377"/>
      <c r="CP44" s="377"/>
      <c r="CQ44" s="377"/>
      <c r="CR44" s="377"/>
      <c r="CS44" s="156" t="s">
        <v>68</v>
      </c>
      <c r="CT44" s="307">
        <v>42719</v>
      </c>
      <c r="CU44" s="250" t="s">
        <v>540</v>
      </c>
      <c r="CV44" s="157">
        <v>2533920.5099999998</v>
      </c>
      <c r="CW44" s="307">
        <f>DATE(YEAR(CT44),MONTH(CT44)+18,DAY(CT44))</f>
        <v>43266</v>
      </c>
      <c r="CX44" s="405">
        <f>DATE(YEAR(CT44),MONTH(CT44)+24,DAY(CT44))</f>
        <v>43449</v>
      </c>
      <c r="CY44" s="405">
        <v>43147</v>
      </c>
      <c r="CZ44" s="256">
        <v>43419</v>
      </c>
      <c r="DA44" s="597">
        <f>(FK44-CZ44)/30</f>
        <v>3.0666666666666669</v>
      </c>
      <c r="DB44" s="122">
        <v>41976</v>
      </c>
      <c r="DC44" s="122">
        <v>41977</v>
      </c>
      <c r="DD44" s="122">
        <v>41977</v>
      </c>
      <c r="DE44" s="523">
        <f t="shared" si="198"/>
        <v>0</v>
      </c>
      <c r="DF44" s="122">
        <v>42041</v>
      </c>
      <c r="DG44" s="122">
        <v>42041</v>
      </c>
      <c r="DH44" s="523">
        <f t="shared" si="199"/>
        <v>0</v>
      </c>
      <c r="DI44" s="122">
        <v>42079</v>
      </c>
      <c r="DJ44" s="122">
        <v>42079</v>
      </c>
      <c r="DK44" s="523">
        <f t="shared" si="200"/>
        <v>0</v>
      </c>
      <c r="DL44" s="122">
        <v>42177</v>
      </c>
      <c r="DM44" s="122">
        <v>42352</v>
      </c>
      <c r="DN44" s="523">
        <f t="shared" si="201"/>
        <v>175</v>
      </c>
      <c r="DO44" s="122">
        <v>42444</v>
      </c>
      <c r="DP44" s="122">
        <v>42444</v>
      </c>
      <c r="DQ44" s="523">
        <f t="shared" si="202"/>
        <v>0</v>
      </c>
      <c r="DR44" s="451"/>
      <c r="DS44" s="122">
        <v>42514</v>
      </c>
      <c r="DT44" s="122">
        <v>42901</v>
      </c>
      <c r="DU44" s="122">
        <v>42940</v>
      </c>
      <c r="DV44" s="523">
        <f t="shared" si="203"/>
        <v>39</v>
      </c>
      <c r="DW44" s="122">
        <v>42774</v>
      </c>
      <c r="DX44" s="440">
        <v>42947</v>
      </c>
      <c r="DY44" s="343">
        <v>2017</v>
      </c>
      <c r="DZ44" s="444">
        <f t="shared" si="204"/>
        <v>23.3</v>
      </c>
      <c r="EA44" s="523">
        <f t="shared" si="205"/>
        <v>173</v>
      </c>
      <c r="EB44" s="254">
        <v>15</v>
      </c>
      <c r="EC44" s="116">
        <f t="shared" si="206"/>
        <v>15</v>
      </c>
      <c r="ED44" s="122">
        <v>43059</v>
      </c>
      <c r="EE44" s="122">
        <v>43081</v>
      </c>
      <c r="EF44" s="523">
        <f t="shared" si="207"/>
        <v>22</v>
      </c>
      <c r="EG44" s="122">
        <v>43059</v>
      </c>
      <c r="EH44" s="567">
        <v>43144</v>
      </c>
      <c r="EI44" s="526">
        <f t="shared" si="208"/>
        <v>85</v>
      </c>
      <c r="EJ44" s="122">
        <v>43166</v>
      </c>
      <c r="EK44" s="122">
        <v>43264</v>
      </c>
      <c r="EL44" s="523">
        <f t="shared" si="209"/>
        <v>98</v>
      </c>
      <c r="EM44" s="533">
        <v>43209</v>
      </c>
      <c r="EN44" s="533">
        <f ca="1">IF(EM44&lt;TODAY(),TODAY(),EM44)</f>
        <v>43423</v>
      </c>
      <c r="EO44" s="529">
        <f t="shared" ca="1" si="210"/>
        <v>214</v>
      </c>
      <c r="EP44" s="533">
        <v>43229</v>
      </c>
      <c r="EQ44" s="533">
        <f ca="1">IF(EP44&lt;TODAY(),TODAY(),EP44)</f>
        <v>43423</v>
      </c>
      <c r="ER44" s="529">
        <f t="shared" ca="1" si="211"/>
        <v>194</v>
      </c>
      <c r="ES44" s="533">
        <v>43252</v>
      </c>
      <c r="ET44" s="533">
        <f t="shared" ref="ET44:ET56" ca="1" si="241">IF(ES44&lt;TODAY(),TODAY(),ES44)</f>
        <v>43423</v>
      </c>
      <c r="EU44" s="529">
        <f t="shared" ca="1" si="212"/>
        <v>171</v>
      </c>
      <c r="EV44" s="533">
        <v>43287</v>
      </c>
      <c r="EW44" s="533">
        <f t="shared" ref="EW44:EW62" ca="1" si="242">IF(EV44&lt;TODAY(),TODAY(),EV44)</f>
        <v>43423</v>
      </c>
      <c r="EX44" s="529">
        <f t="shared" ca="1" si="213"/>
        <v>136</v>
      </c>
      <c r="EY44" s="533">
        <v>43252</v>
      </c>
      <c r="EZ44" s="533">
        <v>43252</v>
      </c>
      <c r="FA44" s="533">
        <v>43224</v>
      </c>
      <c r="FB44" s="731">
        <f t="shared" si="214"/>
        <v>43404</v>
      </c>
      <c r="FC44" s="730">
        <v>43434</v>
      </c>
      <c r="FD44" s="726">
        <f t="shared" si="215"/>
        <v>1</v>
      </c>
      <c r="FE44" s="461">
        <f t="shared" si="216"/>
        <v>43877</v>
      </c>
      <c r="FF44" s="186"/>
      <c r="FG44" s="316">
        <v>43367</v>
      </c>
      <c r="FH44" s="186">
        <v>43486</v>
      </c>
      <c r="FI44" s="461"/>
      <c r="FJ44" s="753">
        <f>DATE(YEAR(FB44),MONTH(FB44)+1,DAY(FB44))</f>
        <v>43435</v>
      </c>
      <c r="FK44" s="730">
        <v>43511</v>
      </c>
      <c r="FL44" s="410"/>
      <c r="FM44" s="723">
        <f t="shared" si="217"/>
        <v>2.5333333333333332</v>
      </c>
      <c r="FN44" s="700"/>
      <c r="FO44" s="246">
        <f t="shared" si="218"/>
        <v>0</v>
      </c>
      <c r="FP44" s="117"/>
      <c r="FQ44" s="556">
        <v>66994</v>
      </c>
      <c r="FR44" s="556">
        <v>83104.25</v>
      </c>
      <c r="FS44" s="588">
        <f>97642*1.021</f>
        <v>99692.481999999989</v>
      </c>
      <c r="FT44" s="588">
        <v>83900.84</v>
      </c>
      <c r="FU44" s="588">
        <f>1754.94*1.021</f>
        <v>1791.7937399999998</v>
      </c>
      <c r="FV44" s="749">
        <f t="shared" si="237"/>
        <v>6.6352477195885185E-4</v>
      </c>
      <c r="FW44" s="553" t="s">
        <v>30</v>
      </c>
      <c r="FX44" s="566"/>
      <c r="FY44" s="566" t="s">
        <v>818</v>
      </c>
      <c r="FZ44" s="650" t="s">
        <v>781</v>
      </c>
      <c r="GA44" s="123"/>
      <c r="GB44" s="123"/>
      <c r="GC44" s="123"/>
      <c r="GD44" s="123"/>
      <c r="GE44" s="123"/>
      <c r="GF44" s="54"/>
      <c r="GG44" s="280">
        <f t="shared" si="219"/>
        <v>43799</v>
      </c>
      <c r="GH44" s="280"/>
      <c r="GI44" s="54"/>
      <c r="GJ44" s="54"/>
      <c r="GK44" s="54"/>
      <c r="GL44" s="54"/>
      <c r="GM44" s="54"/>
      <c r="GN44" s="54"/>
      <c r="GO44" s="54"/>
      <c r="GP44" s="54"/>
      <c r="GQ44" s="113"/>
      <c r="GR44" s="54"/>
      <c r="GS44" s="54"/>
      <c r="GT44" s="54"/>
      <c r="GU44" s="54"/>
      <c r="GV44" s="109"/>
      <c r="GW44" s="112"/>
      <c r="GX44" s="10">
        <f>HI44+HN44+HU44</f>
        <v>2660388.3050338021</v>
      </c>
      <c r="GY44" s="67">
        <f t="shared" si="220"/>
        <v>2700417.25</v>
      </c>
      <c r="GZ44" s="797">
        <f t="shared" si="221"/>
        <v>2700417.25</v>
      </c>
      <c r="HA44" s="12">
        <f>GY44-GX44</f>
        <v>40028.944966197945</v>
      </c>
      <c r="HB44" s="49">
        <f t="shared" si="222"/>
        <v>2250.2351965735047</v>
      </c>
      <c r="HC44" s="49">
        <f t="shared" si="223"/>
        <v>142127.22368421053</v>
      </c>
      <c r="HD44" s="10">
        <v>2613042.4974093148</v>
      </c>
      <c r="HE44" s="11">
        <v>1858695.408962426</v>
      </c>
      <c r="HF44" s="12">
        <f t="shared" si="224"/>
        <v>-754347.08844688884</v>
      </c>
      <c r="HG44" s="127">
        <f t="shared" si="225"/>
        <v>0.70275362540756869</v>
      </c>
      <c r="HH44" s="129">
        <v>0.39772600000000002</v>
      </c>
      <c r="HI44" s="10">
        <v>780309.39272020268</v>
      </c>
      <c r="HJ44" s="638">
        <v>771141</v>
      </c>
      <c r="HK44" s="642"/>
      <c r="HL44" s="640">
        <f t="shared" si="226"/>
        <v>40586.368421052633</v>
      </c>
      <c r="HM44" s="37">
        <f t="shared" si="238"/>
        <v>-9168.3927202026825</v>
      </c>
      <c r="HN44" s="10">
        <v>1460078.9123135994</v>
      </c>
      <c r="HO44" s="11">
        <f>SUBTOTAL(9,HP44:HQ44)</f>
        <v>1359322</v>
      </c>
      <c r="HP44" s="13">
        <v>334066</v>
      </c>
      <c r="HQ44" s="13">
        <v>1025256</v>
      </c>
      <c r="HR44" s="37">
        <f t="shared" si="239"/>
        <v>-100756.91231359937</v>
      </c>
      <c r="HS44" s="629">
        <f t="shared" si="227"/>
        <v>71543.263157894733</v>
      </c>
      <c r="HT44" s="11"/>
      <c r="HU44" s="22">
        <v>420000</v>
      </c>
      <c r="HV44" s="11">
        <v>420000</v>
      </c>
      <c r="HW44" s="67"/>
      <c r="HX44" s="40">
        <f t="shared" si="228"/>
        <v>0.15553152017526181</v>
      </c>
      <c r="HY44" s="303"/>
      <c r="HZ44" s="779">
        <f>21616+45234</f>
        <v>66850</v>
      </c>
      <c r="IA44" s="24">
        <f t="shared" si="229"/>
        <v>0</v>
      </c>
      <c r="IB44" s="23">
        <f t="shared" si="230"/>
        <v>22105.263157894737</v>
      </c>
      <c r="IC44" s="81">
        <f t="shared" si="231"/>
        <v>62691.631578947367</v>
      </c>
      <c r="ID44" s="24">
        <f>IA44/AE44</f>
        <v>0</v>
      </c>
      <c r="IE44" s="48">
        <v>5.65</v>
      </c>
      <c r="IF44" s="48">
        <v>5.65</v>
      </c>
      <c r="IG44" s="39">
        <v>510850.13361374999</v>
      </c>
      <c r="IH44" s="39">
        <v>380000</v>
      </c>
      <c r="II44" s="23">
        <f>(HJ44+HV44+IH44)/AE44</f>
        <v>82691.631578947374</v>
      </c>
      <c r="IJ44" s="39">
        <v>0</v>
      </c>
      <c r="IK44" s="23">
        <f>(HJ44+HV44+IH44+IJ44)/AE44</f>
        <v>82691.631578947374</v>
      </c>
      <c r="IL44" s="50">
        <f t="shared" si="232"/>
        <v>0.50686588664683796</v>
      </c>
      <c r="IM44" s="39">
        <v>111550</v>
      </c>
      <c r="IN44" s="39"/>
      <c r="IO44" s="11">
        <f t="shared" si="233"/>
        <v>83104.25</v>
      </c>
      <c r="IP44" s="41">
        <f t="shared" si="234"/>
        <v>3211267.3836137499</v>
      </c>
      <c r="IQ44" s="277">
        <v>139538</v>
      </c>
      <c r="IR44" s="277">
        <f t="shared" si="235"/>
        <v>125584</v>
      </c>
      <c r="IS44" s="113">
        <v>41992</v>
      </c>
      <c r="IT44" s="231">
        <v>13467</v>
      </c>
      <c r="IU44" s="231"/>
      <c r="IV44" s="113"/>
      <c r="IW44" s="113">
        <v>42082</v>
      </c>
      <c r="IX44" s="231">
        <v>4987</v>
      </c>
      <c r="IY44" s="113">
        <v>41764</v>
      </c>
      <c r="IZ44" s="231">
        <v>14412</v>
      </c>
      <c r="JA44" s="113">
        <v>42247</v>
      </c>
      <c r="JB44" s="231">
        <v>13125</v>
      </c>
      <c r="JC44" s="113">
        <v>42487</v>
      </c>
      <c r="JD44" s="321">
        <v>26102</v>
      </c>
      <c r="JE44" s="313"/>
      <c r="JF44" s="313"/>
      <c r="JG44" s="122">
        <v>42726</v>
      </c>
      <c r="JH44" s="231"/>
      <c r="JI44" s="122">
        <v>42726</v>
      </c>
      <c r="JJ44" s="231">
        <v>18387</v>
      </c>
      <c r="JK44" s="122">
        <v>43145</v>
      </c>
      <c r="JL44" s="231">
        <v>7055</v>
      </c>
      <c r="JM44" s="113">
        <v>43290</v>
      </c>
      <c r="JN44" s="114">
        <v>7119</v>
      </c>
      <c r="JO44" s="114"/>
      <c r="JP44" s="114"/>
      <c r="JQ44" s="114"/>
      <c r="JR44" s="114"/>
      <c r="JS44" s="113">
        <v>43398</v>
      </c>
      <c r="JT44" s="114">
        <v>20930</v>
      </c>
      <c r="JU44" s="231"/>
      <c r="JV44" s="122"/>
      <c r="JW44" s="114"/>
      <c r="JX44" s="122"/>
      <c r="JY44" s="122"/>
      <c r="JZ44" s="114"/>
    </row>
    <row r="45" spans="1:286" ht="15" customHeight="1">
      <c r="A45" s="83" t="s">
        <v>27</v>
      </c>
      <c r="B45" s="98"/>
      <c r="C45" s="7" t="s">
        <v>28</v>
      </c>
      <c r="D45" s="7" t="s">
        <v>112</v>
      </c>
      <c r="E45" s="7">
        <v>2014</v>
      </c>
      <c r="F45" s="7" t="s">
        <v>29</v>
      </c>
      <c r="G45" s="7" t="s">
        <v>30</v>
      </c>
      <c r="H45" s="7" t="s">
        <v>463</v>
      </c>
      <c r="I45" s="7" t="s">
        <v>173</v>
      </c>
      <c r="J45" s="53" t="s">
        <v>120</v>
      </c>
      <c r="K45" s="53"/>
      <c r="L45" s="255" t="s">
        <v>626</v>
      </c>
      <c r="M45" s="162" t="s">
        <v>63</v>
      </c>
      <c r="N45" s="104" t="s">
        <v>64</v>
      </c>
      <c r="O45" s="105"/>
      <c r="P45" s="213">
        <f>5311+1709</f>
        <v>7020</v>
      </c>
      <c r="Q45" s="213">
        <v>577000</v>
      </c>
      <c r="R45" s="213">
        <v>173455</v>
      </c>
      <c r="S45" s="207">
        <f>Q45/21</f>
        <v>27476.190476190477</v>
      </c>
      <c r="T45" s="213">
        <f t="shared" si="185"/>
        <v>82.193732193732188</v>
      </c>
      <c r="U45" s="213">
        <f t="shared" si="186"/>
        <v>24.708689458689459</v>
      </c>
      <c r="V45" s="213">
        <f t="shared" si="187"/>
        <v>113.95918742773048</v>
      </c>
      <c r="W45" s="213">
        <f t="shared" si="188"/>
        <v>8259.7619047619046</v>
      </c>
      <c r="X45" s="207">
        <f t="shared" si="189"/>
        <v>334.28571428571428</v>
      </c>
      <c r="Y45" s="216"/>
      <c r="Z45" s="905">
        <f t="shared" si="51"/>
        <v>29.914529914529915</v>
      </c>
      <c r="AA45" s="216" t="s">
        <v>208</v>
      </c>
      <c r="AB45" s="210">
        <v>40</v>
      </c>
      <c r="AC45" s="211"/>
      <c r="AD45" s="7" t="s">
        <v>16</v>
      </c>
      <c r="AE45" s="771">
        <f t="shared" si="190"/>
        <v>21</v>
      </c>
      <c r="AF45" s="771">
        <f t="shared" si="191"/>
        <v>21</v>
      </c>
      <c r="AG45" s="8"/>
      <c r="AH45" s="7">
        <f>21*1</f>
        <v>21</v>
      </c>
      <c r="AI45" s="53"/>
      <c r="AJ45" s="53"/>
      <c r="AK45" s="269"/>
      <c r="AL45" s="9">
        <v>1508.31</v>
      </c>
      <c r="AM45" s="57"/>
      <c r="AN45" s="82">
        <v>1522.08</v>
      </c>
      <c r="AO45" s="9">
        <f t="shared" si="236"/>
        <v>72.47999999999999</v>
      </c>
      <c r="AP45" s="59">
        <v>0</v>
      </c>
      <c r="AQ45" s="59">
        <v>7</v>
      </c>
      <c r="AR45" s="59">
        <v>8</v>
      </c>
      <c r="AS45" s="59">
        <v>5</v>
      </c>
      <c r="AT45" s="59">
        <v>1</v>
      </c>
      <c r="AU45" s="9"/>
      <c r="AV45" s="76"/>
      <c r="AW45" s="78">
        <f>AV45/P45</f>
        <v>0</v>
      </c>
      <c r="AX45" s="57">
        <v>1</v>
      </c>
      <c r="AY45" s="54" t="s">
        <v>548</v>
      </c>
      <c r="AZ45" s="7" t="s">
        <v>121</v>
      </c>
      <c r="BA45" s="53"/>
      <c r="BB45" s="53"/>
      <c r="BC45" s="53"/>
      <c r="BD45" s="184">
        <v>41438</v>
      </c>
      <c r="BE45" s="184">
        <v>40963</v>
      </c>
      <c r="BF45" s="108" t="s">
        <v>168</v>
      </c>
      <c r="BG45" s="108"/>
      <c r="BH45" s="774" t="s">
        <v>168</v>
      </c>
      <c r="BI45" s="204">
        <v>41848</v>
      </c>
      <c r="BJ45" s="99">
        <v>43010</v>
      </c>
      <c r="BK45" s="192" t="s">
        <v>377</v>
      </c>
      <c r="BL45" s="205" t="s">
        <v>389</v>
      </c>
      <c r="BM45" s="99">
        <v>42510</v>
      </c>
      <c r="BN45" s="421">
        <v>42527</v>
      </c>
      <c r="BO45" s="424">
        <v>42594</v>
      </c>
      <c r="BP45" s="164">
        <v>42686</v>
      </c>
      <c r="BQ45" s="164">
        <v>42611</v>
      </c>
      <c r="BR45" s="299">
        <f t="shared" si="192"/>
        <v>42594</v>
      </c>
      <c r="BS45" s="298">
        <f t="shared" si="193"/>
        <v>43324</v>
      </c>
      <c r="BT45" s="298">
        <f t="shared" si="194"/>
        <v>43689</v>
      </c>
      <c r="BU45" s="298"/>
      <c r="BV45" s="298" t="str">
        <f t="shared" si="240"/>
        <v>oui</v>
      </c>
      <c r="BW45" s="672">
        <f t="shared" si="195"/>
        <v>5</v>
      </c>
      <c r="BX45" s="672">
        <f t="shared" si="196"/>
        <v>41874.957609744997</v>
      </c>
      <c r="BY45" s="672">
        <f t="shared" si="197"/>
        <v>0</v>
      </c>
      <c r="BZ45" s="828">
        <v>42600</v>
      </c>
      <c r="CA45" s="817" t="s">
        <v>575</v>
      </c>
      <c r="CB45" s="354">
        <v>42747</v>
      </c>
      <c r="CC45" s="354"/>
      <c r="CD45" s="354"/>
      <c r="CE45" s="354"/>
      <c r="CF45" s="819"/>
      <c r="CG45" s="819"/>
      <c r="CH45" s="819"/>
      <c r="CI45" s="819"/>
      <c r="CJ45" s="819"/>
      <c r="CK45" s="819"/>
      <c r="CL45" s="819"/>
      <c r="CM45" s="377">
        <v>42915</v>
      </c>
      <c r="CN45" s="377">
        <v>42746</v>
      </c>
      <c r="CO45" s="377"/>
      <c r="CP45" s="377"/>
      <c r="CQ45" s="377"/>
      <c r="CR45" s="377"/>
      <c r="CS45" s="156" t="s">
        <v>64</v>
      </c>
      <c r="CT45" s="777"/>
      <c r="CU45" s="250"/>
      <c r="CV45" s="157"/>
      <c r="CW45" s="163"/>
      <c r="CX45" s="250"/>
      <c r="CY45" s="250"/>
      <c r="CZ45" s="250" t="s">
        <v>168</v>
      </c>
      <c r="DA45" s="598"/>
      <c r="DB45" s="122">
        <v>40798</v>
      </c>
      <c r="DC45" s="122">
        <v>40799</v>
      </c>
      <c r="DD45" s="122">
        <v>40801</v>
      </c>
      <c r="DE45" s="550">
        <f t="shared" si="198"/>
        <v>2</v>
      </c>
      <c r="DF45" s="122">
        <v>41676</v>
      </c>
      <c r="DG45" s="122">
        <v>41676</v>
      </c>
      <c r="DH45" s="550">
        <f t="shared" si="199"/>
        <v>0</v>
      </c>
      <c r="DI45" s="122">
        <v>40918</v>
      </c>
      <c r="DJ45" s="122">
        <v>40952</v>
      </c>
      <c r="DK45" s="550">
        <f t="shared" si="200"/>
        <v>34</v>
      </c>
      <c r="DL45" s="122">
        <v>40998</v>
      </c>
      <c r="DM45" s="122">
        <v>41753</v>
      </c>
      <c r="DN45" s="550">
        <f t="shared" si="201"/>
        <v>755</v>
      </c>
      <c r="DO45" s="122">
        <v>42164</v>
      </c>
      <c r="DP45" s="122">
        <v>41753</v>
      </c>
      <c r="DQ45" s="550">
        <f t="shared" si="202"/>
        <v>-411</v>
      </c>
      <c r="DR45" s="78"/>
      <c r="DS45" s="122">
        <v>42244</v>
      </c>
      <c r="DT45" s="122">
        <v>42353</v>
      </c>
      <c r="DU45" s="122">
        <v>42928</v>
      </c>
      <c r="DV45" s="550">
        <f t="shared" si="203"/>
        <v>575</v>
      </c>
      <c r="DW45" s="122">
        <v>42943</v>
      </c>
      <c r="DX45" s="349">
        <v>42933</v>
      </c>
      <c r="DY45" s="343">
        <v>2017</v>
      </c>
      <c r="DZ45" s="444">
        <f t="shared" si="204"/>
        <v>36.166666666666664</v>
      </c>
      <c r="EA45" s="523">
        <f t="shared" si="205"/>
        <v>-10</v>
      </c>
      <c r="EB45" s="116">
        <v>15</v>
      </c>
      <c r="EC45" s="116">
        <f t="shared" si="206"/>
        <v>16</v>
      </c>
      <c r="ED45" s="122">
        <v>42965</v>
      </c>
      <c r="EE45" s="122">
        <v>43038</v>
      </c>
      <c r="EF45" s="523">
        <f t="shared" si="207"/>
        <v>73</v>
      </c>
      <c r="EG45" s="752">
        <v>43266</v>
      </c>
      <c r="EH45" s="567">
        <v>43284</v>
      </c>
      <c r="EI45" s="526">
        <f t="shared" si="208"/>
        <v>18</v>
      </c>
      <c r="EJ45" s="756">
        <v>43294</v>
      </c>
      <c r="EK45" s="756">
        <v>43300</v>
      </c>
      <c r="EL45" s="685">
        <f t="shared" si="209"/>
        <v>6</v>
      </c>
      <c r="EM45" s="122">
        <v>43336</v>
      </c>
      <c r="EN45" s="122">
        <v>43358</v>
      </c>
      <c r="EO45" s="523">
        <f t="shared" si="210"/>
        <v>22</v>
      </c>
      <c r="EP45" s="533">
        <v>43341</v>
      </c>
      <c r="EQ45" s="533">
        <f ca="1">IF(EP45&lt;TODAY(),TODAY(),EP45)</f>
        <v>43423</v>
      </c>
      <c r="ER45" s="529">
        <f t="shared" ca="1" si="211"/>
        <v>82</v>
      </c>
      <c r="ES45" s="533">
        <v>43355</v>
      </c>
      <c r="ET45" s="533">
        <f t="shared" ca="1" si="241"/>
        <v>43423</v>
      </c>
      <c r="EU45" s="529">
        <f t="shared" ca="1" si="212"/>
        <v>68</v>
      </c>
      <c r="EV45" s="533">
        <v>43376</v>
      </c>
      <c r="EW45" s="533">
        <f t="shared" ca="1" si="242"/>
        <v>43423</v>
      </c>
      <c r="EX45" s="529">
        <f t="shared" ca="1" si="213"/>
        <v>47</v>
      </c>
      <c r="EY45" s="533">
        <v>43315</v>
      </c>
      <c r="EZ45" s="533">
        <v>43315</v>
      </c>
      <c r="FA45" s="533">
        <v>43315</v>
      </c>
      <c r="FB45" s="729">
        <f t="shared" si="214"/>
        <v>43390</v>
      </c>
      <c r="FC45" s="730">
        <v>43421</v>
      </c>
      <c r="FD45" s="726">
        <f t="shared" si="215"/>
        <v>1.0333333333333334</v>
      </c>
      <c r="FE45" s="461">
        <f t="shared" si="216"/>
        <v>731</v>
      </c>
      <c r="FF45" s="186"/>
      <c r="FG45" s="115">
        <v>43367</v>
      </c>
      <c r="FH45" s="186">
        <v>43486</v>
      </c>
      <c r="FI45" s="186"/>
      <c r="FJ45" s="729">
        <f>DATE(YEAR(FB45),MONTH(FB45)+1,DAY(FB45))</f>
        <v>43421</v>
      </c>
      <c r="FK45" s="730">
        <v>43525</v>
      </c>
      <c r="FL45" s="410"/>
      <c r="FM45" s="723">
        <f t="shared" si="217"/>
        <v>3.4666666666666668</v>
      </c>
      <c r="FN45" s="696">
        <f>100499.898263388/12</f>
        <v>8374.9915219489994</v>
      </c>
      <c r="FO45" s="232">
        <f t="shared" si="218"/>
        <v>29033.303942756531</v>
      </c>
      <c r="FP45" s="117"/>
      <c r="FQ45" s="556">
        <v>368628</v>
      </c>
      <c r="FR45" s="556">
        <v>329351</v>
      </c>
      <c r="FS45" s="588" t="s">
        <v>823</v>
      </c>
      <c r="FT45" s="588">
        <v>0</v>
      </c>
      <c r="FU45" s="588">
        <v>0</v>
      </c>
      <c r="FV45" s="749">
        <f t="shared" si="237"/>
        <v>0</v>
      </c>
      <c r="FW45" s="554" t="s">
        <v>30</v>
      </c>
      <c r="FX45" s="885" t="s">
        <v>816</v>
      </c>
      <c r="FY45" s="885" t="s">
        <v>817</v>
      </c>
      <c r="FZ45" s="886" t="s">
        <v>764</v>
      </c>
      <c r="GA45" s="121"/>
      <c r="GB45" s="121"/>
      <c r="GC45" s="121"/>
      <c r="GD45" s="121"/>
      <c r="GE45" s="121"/>
      <c r="GF45" s="53"/>
      <c r="GG45" s="280">
        <f t="shared" si="219"/>
        <v>43786</v>
      </c>
      <c r="GH45" s="280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109"/>
      <c r="GW45" s="112"/>
      <c r="GX45" s="10">
        <f>+HI45+HN45+HU45+IO45</f>
        <v>3671513.59</v>
      </c>
      <c r="GY45" s="67">
        <f t="shared" si="220"/>
        <v>3921151.97</v>
      </c>
      <c r="GZ45" s="797">
        <f t="shared" si="221"/>
        <v>3921151.97</v>
      </c>
      <c r="HA45" s="12">
        <f>GY45-GX45</f>
        <v>249638.38000000035</v>
      </c>
      <c r="HB45" s="49">
        <f t="shared" si="222"/>
        <v>2599.6989809787115</v>
      </c>
      <c r="HC45" s="49">
        <f t="shared" si="223"/>
        <v>186721.5223809524</v>
      </c>
      <c r="HD45" s="10">
        <v>2877228</v>
      </c>
      <c r="HE45" s="11">
        <v>2855004</v>
      </c>
      <c r="HF45" s="12">
        <f t="shared" si="224"/>
        <v>-22224</v>
      </c>
      <c r="HG45" s="127">
        <f t="shared" si="225"/>
        <v>0.74339355023773779</v>
      </c>
      <c r="HH45" s="128"/>
      <c r="HI45" s="10">
        <v>840305.59</v>
      </c>
      <c r="HJ45" s="638">
        <v>1251614</v>
      </c>
      <c r="HK45" s="642">
        <v>1268847</v>
      </c>
      <c r="HL45" s="640">
        <f t="shared" si="226"/>
        <v>59600.666666666664</v>
      </c>
      <c r="HM45" s="37">
        <f t="shared" si="238"/>
        <v>411308.41000000003</v>
      </c>
      <c r="HN45" s="10">
        <f>HP45+HQ45</f>
        <v>1784577</v>
      </c>
      <c r="HO45" s="11">
        <f>HQ45+HP45</f>
        <v>1784577</v>
      </c>
      <c r="HP45" s="13">
        <v>599672</v>
      </c>
      <c r="HQ45" s="13">
        <v>1184905</v>
      </c>
      <c r="HR45" s="37">
        <f t="shared" si="239"/>
        <v>0</v>
      </c>
      <c r="HS45" s="629">
        <f t="shared" si="227"/>
        <v>84979.857142857145</v>
      </c>
      <c r="HT45" s="11"/>
      <c r="HU45" s="10">
        <v>717280</v>
      </c>
      <c r="HV45" s="427">
        <v>442750</v>
      </c>
      <c r="HW45" s="72">
        <v>0</v>
      </c>
      <c r="HX45" s="40">
        <f t="shared" si="228"/>
        <v>0.11291324676712287</v>
      </c>
      <c r="HY45" s="303"/>
      <c r="HZ45" s="11">
        <f>20396+92463.97</f>
        <v>112859.97</v>
      </c>
      <c r="IA45" s="24">
        <f t="shared" si="229"/>
        <v>-274530</v>
      </c>
      <c r="IB45" s="47">
        <f t="shared" si="230"/>
        <v>21083.333333333332</v>
      </c>
      <c r="IC45" s="81">
        <f t="shared" si="231"/>
        <v>80684</v>
      </c>
      <c r="ID45" s="24">
        <f>IA45/AE45</f>
        <v>-13072.857142857143</v>
      </c>
      <c r="IE45" s="780">
        <v>5.15</v>
      </c>
      <c r="IF45" s="780">
        <v>5</v>
      </c>
      <c r="IG45" s="39">
        <v>1512119.8533942373</v>
      </c>
      <c r="IH45" s="39">
        <f>15000*AE45</f>
        <v>315000</v>
      </c>
      <c r="II45" s="23"/>
      <c r="IJ45" s="39">
        <v>292222.2</v>
      </c>
      <c r="IK45" s="23"/>
      <c r="IL45" s="50">
        <f t="shared" si="232"/>
        <v>0.43788245462870218</v>
      </c>
      <c r="IM45" s="39">
        <v>177098.21865</v>
      </c>
      <c r="IN45" s="39"/>
      <c r="IO45" s="11">
        <f t="shared" si="233"/>
        <v>329351</v>
      </c>
      <c r="IP45" s="41">
        <f t="shared" si="234"/>
        <v>5433271.8233942371</v>
      </c>
      <c r="IQ45" s="277">
        <v>193956</v>
      </c>
      <c r="IR45" s="277">
        <f t="shared" si="235"/>
        <v>174560</v>
      </c>
      <c r="IS45" s="113">
        <v>40814</v>
      </c>
      <c r="IT45" s="231">
        <v>24368</v>
      </c>
      <c r="IU45" s="122"/>
      <c r="IV45" s="113"/>
      <c r="IW45" s="113"/>
      <c r="IX45" s="231"/>
      <c r="IY45" s="113">
        <v>41676</v>
      </c>
      <c r="IZ45" s="231">
        <v>17298</v>
      </c>
      <c r="JA45" s="125">
        <v>40998</v>
      </c>
      <c r="JB45" s="231">
        <v>11733</v>
      </c>
      <c r="JC45" s="122">
        <v>41992</v>
      </c>
      <c r="JD45" s="321">
        <v>26183</v>
      </c>
      <c r="JE45" s="313"/>
      <c r="JF45" s="313"/>
      <c r="JG45" s="235"/>
      <c r="JH45" s="326"/>
      <c r="JI45" s="235">
        <v>42933</v>
      </c>
      <c r="JJ45" s="326">
        <v>49639</v>
      </c>
      <c r="JK45" s="316">
        <v>43090</v>
      </c>
      <c r="JL45" s="323">
        <v>3735</v>
      </c>
      <c r="JM45" s="439"/>
      <c r="JN45" s="439"/>
      <c r="JO45" s="114"/>
      <c r="JP45" s="114"/>
      <c r="JQ45" s="114" t="s">
        <v>819</v>
      </c>
      <c r="JR45" s="114">
        <v>16717</v>
      </c>
      <c r="JS45" s="113">
        <v>43389</v>
      </c>
      <c r="JT45" s="114">
        <v>24887</v>
      </c>
      <c r="JU45" s="231"/>
      <c r="JV45" s="122"/>
      <c r="JW45" s="114"/>
      <c r="JX45" s="122"/>
      <c r="JY45" s="122"/>
      <c r="JZ45" s="114"/>
    </row>
    <row r="46" spans="1:286" ht="15" customHeight="1">
      <c r="A46" s="6" t="s">
        <v>264</v>
      </c>
      <c r="B46" s="86" t="s">
        <v>974</v>
      </c>
      <c r="C46" s="7" t="s">
        <v>28</v>
      </c>
      <c r="D46" s="7" t="s">
        <v>112</v>
      </c>
      <c r="E46" s="7">
        <v>2015</v>
      </c>
      <c r="F46" s="7" t="s">
        <v>242</v>
      </c>
      <c r="G46" s="7" t="s">
        <v>317</v>
      </c>
      <c r="H46" s="7" t="s">
        <v>838</v>
      </c>
      <c r="I46" s="53" t="s">
        <v>173</v>
      </c>
      <c r="J46" s="55"/>
      <c r="K46" s="53"/>
      <c r="L46" s="255"/>
      <c r="M46" s="162" t="s">
        <v>60</v>
      </c>
      <c r="N46" s="104" t="s">
        <v>68</v>
      </c>
      <c r="O46" s="105"/>
      <c r="P46" s="207">
        <v>779</v>
      </c>
      <c r="Q46" s="207">
        <v>195000</v>
      </c>
      <c r="R46" s="207">
        <f>Q46</f>
        <v>195000</v>
      </c>
      <c r="S46" s="207">
        <f t="shared" ref="S46:S53" si="243">Q46/AE46</f>
        <v>9750</v>
      </c>
      <c r="T46" s="207">
        <f t="shared" si="185"/>
        <v>250.32092426187421</v>
      </c>
      <c r="U46" s="213">
        <f t="shared" si="186"/>
        <v>250.32092426187421</v>
      </c>
      <c r="V46" s="213">
        <f t="shared" si="187"/>
        <v>150.05655978022486</v>
      </c>
      <c r="W46" s="213">
        <f t="shared" si="188"/>
        <v>9750</v>
      </c>
      <c r="X46" s="207">
        <f t="shared" si="189"/>
        <v>38.950000000000003</v>
      </c>
      <c r="Y46" s="208"/>
      <c r="Z46" s="904">
        <f t="shared" si="51"/>
        <v>256.73940949935815</v>
      </c>
      <c r="AA46" s="208" t="s">
        <v>194</v>
      </c>
      <c r="AB46" s="210">
        <v>35</v>
      </c>
      <c r="AC46" s="211">
        <v>0</v>
      </c>
      <c r="AD46" s="20" t="s">
        <v>16</v>
      </c>
      <c r="AE46" s="771">
        <f t="shared" si="190"/>
        <v>20</v>
      </c>
      <c r="AF46" s="771">
        <f t="shared" si="191"/>
        <v>20</v>
      </c>
      <c r="AG46" s="8"/>
      <c r="AH46" s="7">
        <v>20</v>
      </c>
      <c r="AI46" s="53"/>
      <c r="AJ46" s="53"/>
      <c r="AK46" s="269"/>
      <c r="AL46" s="9">
        <v>1304.1600000000001</v>
      </c>
      <c r="AM46" s="57"/>
      <c r="AN46" s="417">
        <v>1299.51</v>
      </c>
      <c r="AO46" s="9">
        <f t="shared" si="236"/>
        <v>64.975499999999997</v>
      </c>
      <c r="AP46" s="78">
        <v>0.2</v>
      </c>
      <c r="AQ46" s="78">
        <v>0.4</v>
      </c>
      <c r="AR46" s="78">
        <v>0.2</v>
      </c>
      <c r="AS46" s="78">
        <v>0.2</v>
      </c>
      <c r="AT46" s="78">
        <v>0</v>
      </c>
      <c r="AU46" s="9"/>
      <c r="AV46" s="76">
        <v>0</v>
      </c>
      <c r="AW46" s="78">
        <f>AV46/P46</f>
        <v>0</v>
      </c>
      <c r="AX46" s="57">
        <v>4</v>
      </c>
      <c r="AY46" s="56" t="s">
        <v>549</v>
      </c>
      <c r="AZ46" s="7" t="s">
        <v>121</v>
      </c>
      <c r="BA46" s="53"/>
      <c r="BB46" s="53"/>
      <c r="BC46" s="53"/>
      <c r="BD46" s="184">
        <v>41921</v>
      </c>
      <c r="BE46" s="53"/>
      <c r="BF46" s="108" t="s">
        <v>11</v>
      </c>
      <c r="BG46" s="108" t="s">
        <v>331</v>
      </c>
      <c r="BH46" s="35"/>
      <c r="BI46" s="204">
        <v>42249</v>
      </c>
      <c r="BJ46" s="99"/>
      <c r="BK46" s="99">
        <v>42579</v>
      </c>
      <c r="BL46" s="204">
        <v>42606</v>
      </c>
      <c r="BM46" s="99">
        <v>42606</v>
      </c>
      <c r="BN46" s="160">
        <v>42606</v>
      </c>
      <c r="BO46" s="202">
        <v>42620</v>
      </c>
      <c r="BP46" s="161">
        <v>42711</v>
      </c>
      <c r="BQ46" s="161">
        <v>42646</v>
      </c>
      <c r="BR46" s="299">
        <f t="shared" si="192"/>
        <v>42620</v>
      </c>
      <c r="BS46" s="298">
        <f t="shared" si="193"/>
        <v>43350</v>
      </c>
      <c r="BT46" s="298">
        <f t="shared" si="194"/>
        <v>43715</v>
      </c>
      <c r="BU46" s="298"/>
      <c r="BV46" s="298" t="str">
        <f t="shared" si="240"/>
        <v>non</v>
      </c>
      <c r="BW46" s="672">
        <f t="shared" si="195"/>
        <v>12</v>
      </c>
      <c r="BX46" s="672">
        <f t="shared" si="196"/>
        <v>87228</v>
      </c>
      <c r="BY46" s="672">
        <f t="shared" si="197"/>
        <v>0</v>
      </c>
      <c r="BZ46" s="825" t="s">
        <v>416</v>
      </c>
      <c r="CA46" s="817" t="s">
        <v>572</v>
      </c>
      <c r="CB46" s="396" t="s">
        <v>510</v>
      </c>
      <c r="CC46" s="396"/>
      <c r="CD46" s="396"/>
      <c r="CE46" s="396"/>
      <c r="CF46" s="377">
        <v>42725</v>
      </c>
      <c r="CG46" s="377"/>
      <c r="CH46" s="377"/>
      <c r="CI46" s="377"/>
      <c r="CJ46" s="377"/>
      <c r="CK46" s="377"/>
      <c r="CL46" s="377"/>
      <c r="CM46" s="377">
        <v>42915</v>
      </c>
      <c r="CN46" s="377">
        <v>42912</v>
      </c>
      <c r="CO46" s="377"/>
      <c r="CP46" s="377"/>
      <c r="CQ46" s="377"/>
      <c r="CR46" s="377"/>
      <c r="CS46" s="156" t="s">
        <v>68</v>
      </c>
      <c r="CT46" s="307">
        <v>42719</v>
      </c>
      <c r="CU46" s="250" t="s">
        <v>541</v>
      </c>
      <c r="CV46" s="157">
        <v>2638167.36</v>
      </c>
      <c r="CW46" s="581">
        <f>DATE(YEAR(CT46),MONTH(CT46)+18,DAY(CT46))</f>
        <v>43266</v>
      </c>
      <c r="CX46" s="405">
        <f>DATE(YEAR(CT46),MONTH(CT46)+24,DAY(CT46))</f>
        <v>43449</v>
      </c>
      <c r="CY46" s="340">
        <v>42972</v>
      </c>
      <c r="CZ46" s="256">
        <v>43419</v>
      </c>
      <c r="DA46" s="597">
        <f>(FK46-CZ46)/30</f>
        <v>-2.7666666666666666</v>
      </c>
      <c r="DB46" s="122">
        <v>41828</v>
      </c>
      <c r="DC46" s="122">
        <v>41829</v>
      </c>
      <c r="DD46" s="122">
        <v>41862</v>
      </c>
      <c r="DE46" s="523">
        <f t="shared" si="198"/>
        <v>33</v>
      </c>
      <c r="DF46" s="122">
        <v>42048</v>
      </c>
      <c r="DG46" s="122">
        <v>42040</v>
      </c>
      <c r="DH46" s="523">
        <f t="shared" si="199"/>
        <v>-8</v>
      </c>
      <c r="DI46" s="122">
        <v>42027</v>
      </c>
      <c r="DJ46" s="122">
        <v>42027</v>
      </c>
      <c r="DK46" s="523">
        <f t="shared" si="200"/>
        <v>0</v>
      </c>
      <c r="DL46" s="122">
        <v>42121</v>
      </c>
      <c r="DM46" s="122">
        <v>42184</v>
      </c>
      <c r="DN46" s="523">
        <f t="shared" si="201"/>
        <v>63</v>
      </c>
      <c r="DO46" s="122">
        <v>42244</v>
      </c>
      <c r="DP46" s="122">
        <v>42254</v>
      </c>
      <c r="DQ46" s="523">
        <f t="shared" si="202"/>
        <v>10</v>
      </c>
      <c r="DR46" s="451"/>
      <c r="DS46" s="122">
        <v>42528</v>
      </c>
      <c r="DT46" s="122">
        <v>42810</v>
      </c>
      <c r="DU46" s="122">
        <v>42781</v>
      </c>
      <c r="DV46" s="523">
        <f t="shared" si="203"/>
        <v>-29</v>
      </c>
      <c r="DW46" s="122">
        <v>42796</v>
      </c>
      <c r="DX46" s="758">
        <v>42786</v>
      </c>
      <c r="DY46" s="343">
        <v>2017</v>
      </c>
      <c r="DZ46" s="444">
        <f t="shared" si="204"/>
        <v>17.899999999999999</v>
      </c>
      <c r="EA46" s="523">
        <f t="shared" si="205"/>
        <v>-10</v>
      </c>
      <c r="EB46" s="325">
        <v>14</v>
      </c>
      <c r="EC46" s="116">
        <f t="shared" si="206"/>
        <v>17</v>
      </c>
      <c r="ED46" s="122">
        <v>42860</v>
      </c>
      <c r="EE46" s="122">
        <v>42893</v>
      </c>
      <c r="EF46" s="523">
        <f t="shared" si="207"/>
        <v>33</v>
      </c>
      <c r="EG46" s="122">
        <v>42899</v>
      </c>
      <c r="EH46" s="567">
        <v>42978</v>
      </c>
      <c r="EI46" s="526">
        <f t="shared" si="208"/>
        <v>79</v>
      </c>
      <c r="EJ46" s="122">
        <v>42978</v>
      </c>
      <c r="EK46" s="122">
        <v>43054</v>
      </c>
      <c r="EL46" s="523">
        <f t="shared" si="209"/>
        <v>76</v>
      </c>
      <c r="EM46" s="122">
        <v>43054</v>
      </c>
      <c r="EN46" s="122">
        <v>43181</v>
      </c>
      <c r="EO46" s="523">
        <f t="shared" si="210"/>
        <v>127</v>
      </c>
      <c r="EP46" s="533">
        <v>43047</v>
      </c>
      <c r="EQ46" s="533">
        <f ca="1">IF(EP46&lt;TODAY(),TODAY(),EP46)</f>
        <v>43423</v>
      </c>
      <c r="ER46" s="529">
        <f t="shared" ca="1" si="211"/>
        <v>376</v>
      </c>
      <c r="ES46" s="533">
        <v>43167</v>
      </c>
      <c r="ET46" s="533">
        <f t="shared" ca="1" si="241"/>
        <v>43423</v>
      </c>
      <c r="EU46" s="529">
        <f t="shared" ca="1" si="212"/>
        <v>256</v>
      </c>
      <c r="EV46" s="533">
        <v>43200</v>
      </c>
      <c r="EW46" s="533">
        <f t="shared" ca="1" si="242"/>
        <v>43423</v>
      </c>
      <c r="EX46" s="529">
        <f t="shared" ca="1" si="213"/>
        <v>223</v>
      </c>
      <c r="EY46" s="535"/>
      <c r="EZ46" s="535"/>
      <c r="FA46" s="535"/>
      <c r="FB46" s="795">
        <f t="shared" si="214"/>
        <v>43210</v>
      </c>
      <c r="FC46" s="730">
        <v>43326</v>
      </c>
      <c r="FD46" s="726">
        <f t="shared" si="215"/>
        <v>3.8666666666666667</v>
      </c>
      <c r="FE46" s="461">
        <f t="shared" si="216"/>
        <v>43702</v>
      </c>
      <c r="FF46" s="242"/>
      <c r="FG46" s="239">
        <v>42879</v>
      </c>
      <c r="FH46" s="115">
        <v>43327</v>
      </c>
      <c r="FI46" s="455">
        <v>43328</v>
      </c>
      <c r="FJ46" s="784">
        <f>DATE(YEAR(FB46),MONTH(FB46),DAY(FB46)+15)</f>
        <v>43225</v>
      </c>
      <c r="FK46" s="349">
        <v>43336</v>
      </c>
      <c r="FL46" s="441">
        <v>2018</v>
      </c>
      <c r="FM46" s="794">
        <f t="shared" si="217"/>
        <v>3.7</v>
      </c>
      <c r="FN46" s="700">
        <v>7269</v>
      </c>
      <c r="FO46" s="737">
        <f t="shared" si="218"/>
        <v>26895.300000000003</v>
      </c>
      <c r="FP46" s="117">
        <v>43307</v>
      </c>
      <c r="FQ46" s="556">
        <v>0</v>
      </c>
      <c r="FR46" s="556">
        <v>33867</v>
      </c>
      <c r="FS46" s="556">
        <v>11509.23</v>
      </c>
      <c r="FT46" s="556">
        <v>0</v>
      </c>
      <c r="FU46" s="556">
        <f>(10675+20610)*1.021</f>
        <v>31941.984999999997</v>
      </c>
      <c r="FV46" s="749">
        <f t="shared" si="237"/>
        <v>1.1360135160847596E-2</v>
      </c>
      <c r="FW46" s="553" t="s">
        <v>700</v>
      </c>
      <c r="FX46" s="650" t="s">
        <v>810</v>
      </c>
      <c r="FY46" s="650" t="s">
        <v>828</v>
      </c>
      <c r="FZ46" s="650"/>
      <c r="GA46" s="121"/>
      <c r="GB46" s="121"/>
      <c r="GC46" s="121"/>
      <c r="GD46" s="121"/>
      <c r="GE46" s="121"/>
      <c r="GF46" s="53"/>
      <c r="GG46" s="280">
        <f t="shared" si="219"/>
        <v>43691</v>
      </c>
      <c r="GH46" s="280"/>
      <c r="GI46" s="53"/>
      <c r="GJ46" s="184">
        <v>43419</v>
      </c>
      <c r="GK46" s="53"/>
      <c r="GL46" s="53"/>
      <c r="GM46" s="53"/>
      <c r="GN46" s="53"/>
      <c r="GO46" s="53"/>
      <c r="GP46" s="53"/>
      <c r="GQ46" s="113"/>
      <c r="GR46" s="53"/>
      <c r="GS46" s="53"/>
      <c r="GT46" s="53"/>
      <c r="GU46" s="53"/>
      <c r="GV46" s="109"/>
      <c r="GW46" s="112"/>
      <c r="GX46" s="10">
        <f>HI46+HN46+HU46</f>
        <v>2722212.2295052204</v>
      </c>
      <c r="GY46" s="67">
        <f t="shared" si="220"/>
        <v>2811761</v>
      </c>
      <c r="GZ46" s="797">
        <f t="shared" si="221"/>
        <v>2811761</v>
      </c>
      <c r="HA46" s="12">
        <f>GY46-GX46</f>
        <v>89548.770494779572</v>
      </c>
      <c r="HB46" s="49">
        <f t="shared" si="222"/>
        <v>2155.9938964544226</v>
      </c>
      <c r="HC46" s="49">
        <f t="shared" si="223"/>
        <v>140588.04999999999</v>
      </c>
      <c r="HD46" s="10">
        <v>2475597.5350000001</v>
      </c>
      <c r="HE46" s="11">
        <v>2036370.9416817785</v>
      </c>
      <c r="HF46" s="12">
        <f t="shared" si="224"/>
        <v>-439226.59331822162</v>
      </c>
      <c r="HG46" s="127">
        <f t="shared" si="225"/>
        <v>0.739442197063369</v>
      </c>
      <c r="HH46" s="129">
        <v>0.39772600000000002</v>
      </c>
      <c r="HI46" s="10">
        <v>819282.73457759398</v>
      </c>
      <c r="HJ46" s="638">
        <v>803098</v>
      </c>
      <c r="HK46" s="642"/>
      <c r="HL46" s="640">
        <f t="shared" si="226"/>
        <v>40154.9</v>
      </c>
      <c r="HM46" s="37">
        <f t="shared" si="238"/>
        <v>-16184.734577593976</v>
      </c>
      <c r="HN46" s="10">
        <v>1502929.4949276266</v>
      </c>
      <c r="HO46" s="11">
        <f>HQ46+HP46</f>
        <v>1544668</v>
      </c>
      <c r="HP46" s="13">
        <v>339371</v>
      </c>
      <c r="HQ46" s="13">
        <v>1205297</v>
      </c>
      <c r="HR46" s="37">
        <f t="shared" si="239"/>
        <v>41738.505072373431</v>
      </c>
      <c r="HS46" s="629">
        <f t="shared" si="227"/>
        <v>77233.399999999994</v>
      </c>
      <c r="HT46" s="11"/>
      <c r="HU46" s="22">
        <v>400000</v>
      </c>
      <c r="HV46" s="11">
        <v>400000</v>
      </c>
      <c r="HW46" s="67"/>
      <c r="HX46" s="40">
        <f t="shared" si="228"/>
        <v>0.14225960172290603</v>
      </c>
      <c r="HY46" s="303"/>
      <c r="HZ46" s="11">
        <f>18371+11757</f>
        <v>30128</v>
      </c>
      <c r="IA46" s="24">
        <f t="shared" si="229"/>
        <v>0</v>
      </c>
      <c r="IB46" s="23">
        <f t="shared" si="230"/>
        <v>20000</v>
      </c>
      <c r="IC46" s="81">
        <f t="shared" si="231"/>
        <v>60154.9</v>
      </c>
      <c r="ID46" s="24">
        <f>IA46/AE46</f>
        <v>0</v>
      </c>
      <c r="IE46" s="48">
        <v>5.59</v>
      </c>
      <c r="IF46" s="48">
        <v>5.49</v>
      </c>
      <c r="IG46" s="39">
        <v>0</v>
      </c>
      <c r="IH46" s="39">
        <v>0</v>
      </c>
      <c r="II46" s="23">
        <f>(HJ46+HV46+IH46)/AE46</f>
        <v>60154.9</v>
      </c>
      <c r="IJ46" s="39">
        <v>0</v>
      </c>
      <c r="IK46" s="23">
        <f t="shared" ref="IK46:IK53" si="244">(HJ46+HV46+IH46+IJ46)/AE46</f>
        <v>60154.9</v>
      </c>
      <c r="IL46" s="50">
        <f t="shared" si="232"/>
        <v>0.42788060578406201</v>
      </c>
      <c r="IM46" s="39">
        <v>0</v>
      </c>
      <c r="IN46" s="39"/>
      <c r="IO46" s="11">
        <f t="shared" si="233"/>
        <v>33867</v>
      </c>
      <c r="IP46" s="41">
        <f t="shared" si="234"/>
        <v>2811761</v>
      </c>
      <c r="IQ46" s="277">
        <v>131447</v>
      </c>
      <c r="IR46" s="277">
        <f t="shared" si="235"/>
        <v>124874</v>
      </c>
      <c r="IS46" s="113">
        <v>41936</v>
      </c>
      <c r="IT46" s="231">
        <v>13352</v>
      </c>
      <c r="IU46" s="231"/>
      <c r="IV46" s="113"/>
      <c r="IW46" s="113"/>
      <c r="IX46" s="231">
        <v>6171</v>
      </c>
      <c r="IY46" s="113">
        <v>42066</v>
      </c>
      <c r="IZ46" s="231">
        <v>12860</v>
      </c>
      <c r="JA46" s="113">
        <v>42121</v>
      </c>
      <c r="JB46" s="231">
        <v>13828</v>
      </c>
      <c r="JC46" s="114"/>
      <c r="JD46" s="321">
        <v>19512</v>
      </c>
      <c r="JE46" s="313"/>
      <c r="JF46" s="313"/>
      <c r="JG46" s="122">
        <v>42717</v>
      </c>
      <c r="JH46" s="231"/>
      <c r="JI46" s="122">
        <v>42717</v>
      </c>
      <c r="JJ46" s="231">
        <v>19717</v>
      </c>
      <c r="JK46" s="113">
        <v>42964</v>
      </c>
      <c r="JL46" s="114">
        <v>6573</v>
      </c>
      <c r="JM46" s="114"/>
      <c r="JN46" s="114"/>
      <c r="JO46" s="113">
        <v>43083</v>
      </c>
      <c r="JP46" s="636">
        <v>13144</v>
      </c>
      <c r="JQ46" s="114"/>
      <c r="JR46" s="114"/>
      <c r="JS46" s="114"/>
      <c r="JT46" s="114"/>
      <c r="JU46" s="231"/>
      <c r="JV46" s="122"/>
      <c r="JW46" s="113">
        <v>43333</v>
      </c>
      <c r="JX46" s="231">
        <v>19717</v>
      </c>
      <c r="JY46" s="122"/>
      <c r="JZ46" s="114"/>
    </row>
    <row r="47" spans="1:286" ht="15" customHeight="1">
      <c r="A47" s="83" t="s">
        <v>950</v>
      </c>
      <c r="B47" s="98"/>
      <c r="C47" s="7" t="s">
        <v>28</v>
      </c>
      <c r="D47" s="7" t="s">
        <v>112</v>
      </c>
      <c r="E47" s="7">
        <v>2015</v>
      </c>
      <c r="F47" s="7" t="s">
        <v>508</v>
      </c>
      <c r="G47" s="7" t="s">
        <v>30</v>
      </c>
      <c r="H47" s="7" t="s">
        <v>463</v>
      </c>
      <c r="I47" s="7" t="s">
        <v>173</v>
      </c>
      <c r="J47" s="53"/>
      <c r="K47" s="53"/>
      <c r="L47" s="255"/>
      <c r="M47" s="162"/>
      <c r="N47" s="104" t="s">
        <v>144</v>
      </c>
      <c r="O47" s="105"/>
      <c r="P47" s="213">
        <v>3038</v>
      </c>
      <c r="Q47" s="213">
        <f>R47</f>
        <v>690000</v>
      </c>
      <c r="R47" s="213">
        <v>690000</v>
      </c>
      <c r="S47" s="207">
        <f t="shared" si="243"/>
        <v>12545.454545454546</v>
      </c>
      <c r="T47" s="213">
        <f t="shared" si="185"/>
        <v>227.12310730743911</v>
      </c>
      <c r="U47" s="213">
        <f t="shared" si="186"/>
        <v>227.12310730743911</v>
      </c>
      <c r="V47" s="213">
        <f t="shared" si="187"/>
        <v>211.48777048979343</v>
      </c>
      <c r="W47" s="213">
        <f t="shared" si="188"/>
        <v>12545.454545454546</v>
      </c>
      <c r="X47" s="207">
        <f t="shared" si="189"/>
        <v>55.236363636363635</v>
      </c>
      <c r="Y47" s="216"/>
      <c r="Z47" s="905">
        <f t="shared" si="51"/>
        <v>181.04015799868336</v>
      </c>
      <c r="AA47" s="216" t="s">
        <v>188</v>
      </c>
      <c r="AB47" s="210"/>
      <c r="AC47" s="211"/>
      <c r="AD47" s="20" t="s">
        <v>16</v>
      </c>
      <c r="AE47" s="771">
        <f t="shared" si="190"/>
        <v>55</v>
      </c>
      <c r="AF47" s="771">
        <f t="shared" si="191"/>
        <v>55</v>
      </c>
      <c r="AG47" s="8"/>
      <c r="AH47" s="7">
        <f>55*1</f>
        <v>55</v>
      </c>
      <c r="AI47" s="53"/>
      <c r="AJ47" s="53"/>
      <c r="AK47" s="269">
        <v>3155.14</v>
      </c>
      <c r="AL47" s="9">
        <v>3262.6</v>
      </c>
      <c r="AM47" s="57">
        <v>3262.6</v>
      </c>
      <c r="AN47" s="9">
        <v>3262.6</v>
      </c>
      <c r="AO47" s="9">
        <f t="shared" si="236"/>
        <v>59.32</v>
      </c>
      <c r="AP47" s="59"/>
      <c r="AQ47" s="78">
        <v>1</v>
      </c>
      <c r="AR47" s="59"/>
      <c r="AS47" s="59"/>
      <c r="AT47" s="59"/>
      <c r="AU47" s="9"/>
      <c r="AV47" s="76">
        <v>0</v>
      </c>
      <c r="AW47" s="78">
        <f>AV47/P47</f>
        <v>0</v>
      </c>
      <c r="AX47" s="57">
        <v>3</v>
      </c>
      <c r="AY47" s="56" t="s">
        <v>549</v>
      </c>
      <c r="AZ47" s="7" t="s">
        <v>121</v>
      </c>
      <c r="BA47" s="59">
        <v>6373285</v>
      </c>
      <c r="BB47" s="803">
        <f>BA47/AN47</f>
        <v>1953.4374425304973</v>
      </c>
      <c r="BC47" s="53"/>
      <c r="BD47" s="55" t="s">
        <v>308</v>
      </c>
      <c r="BE47" s="53"/>
      <c r="BF47" s="108" t="s">
        <v>11</v>
      </c>
      <c r="BG47" s="108" t="s">
        <v>507</v>
      </c>
      <c r="BH47" s="420"/>
      <c r="BI47" s="204">
        <v>42320</v>
      </c>
      <c r="BJ47" s="99"/>
      <c r="BK47" s="99">
        <v>42649</v>
      </c>
      <c r="BL47" s="204">
        <v>42697</v>
      </c>
      <c r="BM47" s="99">
        <v>42698</v>
      </c>
      <c r="BN47" s="160">
        <v>42697</v>
      </c>
      <c r="BO47" s="202">
        <v>42719</v>
      </c>
      <c r="BP47" s="161">
        <v>42805</v>
      </c>
      <c r="BQ47" s="161">
        <v>42727</v>
      </c>
      <c r="BR47" s="299">
        <f t="shared" si="192"/>
        <v>42719</v>
      </c>
      <c r="BS47" s="298">
        <f t="shared" si="193"/>
        <v>43449</v>
      </c>
      <c r="BT47" s="298">
        <f t="shared" si="194"/>
        <v>43814</v>
      </c>
      <c r="BU47" s="298"/>
      <c r="BV47" s="298" t="str">
        <f t="shared" si="240"/>
        <v>oui</v>
      </c>
      <c r="BW47" s="672">
        <f t="shared" si="195"/>
        <v>9</v>
      </c>
      <c r="BX47" s="672">
        <f t="shared" si="196"/>
        <v>0</v>
      </c>
      <c r="BY47" s="672">
        <f t="shared" si="197"/>
        <v>0</v>
      </c>
      <c r="BZ47" s="828"/>
      <c r="CA47" s="825" t="s">
        <v>574</v>
      </c>
      <c r="CB47" s="376">
        <v>42823</v>
      </c>
      <c r="CC47" s="376"/>
      <c r="CD47" s="376"/>
      <c r="CE47" s="376"/>
      <c r="CF47" s="376">
        <v>42850</v>
      </c>
      <c r="CG47" s="376"/>
      <c r="CH47" s="376"/>
      <c r="CI47" s="376"/>
      <c r="CJ47" s="376"/>
      <c r="CK47" s="376"/>
      <c r="CL47" s="376"/>
      <c r="CM47" s="377">
        <v>42915</v>
      </c>
      <c r="CN47" s="376">
        <v>42915</v>
      </c>
      <c r="CO47" s="376"/>
      <c r="CP47" s="376"/>
      <c r="CQ47" s="376"/>
      <c r="CR47" s="376"/>
      <c r="CS47" s="156" t="s">
        <v>144</v>
      </c>
      <c r="CT47" s="307">
        <v>42727</v>
      </c>
      <c r="CU47" s="405" t="s">
        <v>540</v>
      </c>
      <c r="CV47" s="580">
        <v>6242199</v>
      </c>
      <c r="CW47" s="307">
        <f>DATE(YEAR(CT47),MONTH(CT47)+18,DAY(CT47))</f>
        <v>43274</v>
      </c>
      <c r="CX47" s="405">
        <f>DATE(YEAR(CT47),MONTH(CT47)+24,DAY(CT47))</f>
        <v>43457</v>
      </c>
      <c r="CY47" s="405">
        <v>43018</v>
      </c>
      <c r="CZ47" s="256">
        <v>43457</v>
      </c>
      <c r="DA47" s="597">
        <f>(FK47-CZ47)/30</f>
        <v>2.2666666666666666</v>
      </c>
      <c r="DB47" s="122"/>
      <c r="DC47" s="122"/>
      <c r="DD47" s="122"/>
      <c r="DE47" s="523" t="str">
        <f t="shared" si="198"/>
        <v>0</v>
      </c>
      <c r="DF47" s="122">
        <v>42041</v>
      </c>
      <c r="DG47" s="122">
        <v>41982</v>
      </c>
      <c r="DH47" s="523">
        <f t="shared" si="199"/>
        <v>-59</v>
      </c>
      <c r="DI47" s="122"/>
      <c r="DJ47" s="122"/>
      <c r="DK47" s="523" t="str">
        <f t="shared" si="200"/>
        <v>0</v>
      </c>
      <c r="DL47" s="122"/>
      <c r="DM47" s="122"/>
      <c r="DN47" s="523" t="str">
        <f t="shared" si="201"/>
        <v>0</v>
      </c>
      <c r="DO47" s="122"/>
      <c r="DP47" s="122"/>
      <c r="DQ47" s="523" t="str">
        <f t="shared" si="202"/>
        <v>0</v>
      </c>
      <c r="DR47" s="451"/>
      <c r="DS47" s="122"/>
      <c r="DT47" s="122"/>
      <c r="DU47" s="122"/>
      <c r="DV47" s="523" t="str">
        <f t="shared" si="203"/>
        <v>0</v>
      </c>
      <c r="DW47" s="122">
        <v>42741</v>
      </c>
      <c r="DX47" s="440">
        <v>42767</v>
      </c>
      <c r="DY47" s="343">
        <v>2017</v>
      </c>
      <c r="DZ47" s="444">
        <f t="shared" si="204"/>
        <v>14.9</v>
      </c>
      <c r="EA47" s="523">
        <f t="shared" si="205"/>
        <v>26</v>
      </c>
      <c r="EB47" s="325">
        <v>22</v>
      </c>
      <c r="EC47" s="116">
        <f t="shared" si="206"/>
        <v>23</v>
      </c>
      <c r="ED47" s="122">
        <v>42824</v>
      </c>
      <c r="EE47" s="122">
        <v>42807</v>
      </c>
      <c r="EF47" s="523">
        <f t="shared" si="207"/>
        <v>-17</v>
      </c>
      <c r="EG47" s="122">
        <v>42946</v>
      </c>
      <c r="EH47" s="567">
        <v>42895</v>
      </c>
      <c r="EI47" s="526">
        <f t="shared" si="208"/>
        <v>-51</v>
      </c>
      <c r="EJ47" s="122"/>
      <c r="EK47" s="122">
        <v>42996</v>
      </c>
      <c r="EL47" s="523" t="str">
        <f t="shared" si="209"/>
        <v>0</v>
      </c>
      <c r="EM47" s="122">
        <v>43038</v>
      </c>
      <c r="EN47" s="122">
        <v>43340</v>
      </c>
      <c r="EO47" s="523">
        <f t="shared" si="210"/>
        <v>302</v>
      </c>
      <c r="EP47" s="533">
        <v>43038</v>
      </c>
      <c r="EQ47" s="533">
        <f ca="1">IF(EP47&lt;TODAY(),TODAY(),EP47)</f>
        <v>43423</v>
      </c>
      <c r="ER47" s="529">
        <f t="shared" ca="1" si="211"/>
        <v>385</v>
      </c>
      <c r="ES47" s="533">
        <v>43159</v>
      </c>
      <c r="ET47" s="533">
        <f t="shared" ca="1" si="241"/>
        <v>43423</v>
      </c>
      <c r="EU47" s="529">
        <f t="shared" ca="1" si="212"/>
        <v>264</v>
      </c>
      <c r="EV47" s="533">
        <v>43465</v>
      </c>
      <c r="EW47" s="533">
        <f t="shared" ca="1" si="242"/>
        <v>43465</v>
      </c>
      <c r="EX47" s="529">
        <f t="shared" ca="1" si="213"/>
        <v>0</v>
      </c>
      <c r="EY47" s="533"/>
      <c r="EZ47" s="533"/>
      <c r="FA47" s="533"/>
      <c r="FB47" s="731">
        <f t="shared" si="214"/>
        <v>43435</v>
      </c>
      <c r="FC47" s="730">
        <v>43488</v>
      </c>
      <c r="FD47" s="726">
        <f t="shared" si="215"/>
        <v>1.7666666666666666</v>
      </c>
      <c r="FE47" s="573">
        <f t="shared" si="216"/>
        <v>43748</v>
      </c>
      <c r="FF47" s="242"/>
      <c r="FG47" s="316">
        <v>43392</v>
      </c>
      <c r="FH47" s="186">
        <f>DATE(YEAR(FC47),MONTH(FC47)+1,DAY(FC47))</f>
        <v>43519</v>
      </c>
      <c r="FI47" s="461"/>
      <c r="FJ47" s="571">
        <f>DATE(YEAR(FB47),MONTH(FB47)+1,DAY(FB47))</f>
        <v>43466</v>
      </c>
      <c r="FK47" s="730">
        <v>43525</v>
      </c>
      <c r="FL47" s="574"/>
      <c r="FM47" s="723">
        <f t="shared" si="217"/>
        <v>1.9666666666666666</v>
      </c>
      <c r="FN47" s="700"/>
      <c r="FO47" s="232">
        <f t="shared" si="218"/>
        <v>0</v>
      </c>
      <c r="FP47" s="117"/>
      <c r="FQ47" s="556">
        <v>0</v>
      </c>
      <c r="FR47" s="556">
        <v>0</v>
      </c>
      <c r="FS47" s="556">
        <v>0</v>
      </c>
      <c r="FT47" s="556"/>
      <c r="FU47" s="556">
        <v>0</v>
      </c>
      <c r="FV47" s="749">
        <f t="shared" si="237"/>
        <v>0</v>
      </c>
      <c r="FW47" s="553" t="s">
        <v>30</v>
      </c>
      <c r="FX47" s="566"/>
      <c r="FY47" s="566"/>
      <c r="FZ47" s="650"/>
      <c r="GA47" s="121"/>
      <c r="GB47" s="121"/>
      <c r="GC47" s="121"/>
      <c r="GD47" s="121"/>
      <c r="GE47" s="121"/>
      <c r="GF47" s="53"/>
      <c r="GG47" s="280">
        <f t="shared" si="219"/>
        <v>43853</v>
      </c>
      <c r="GH47" s="280"/>
      <c r="GI47" s="53"/>
      <c r="GJ47" s="53"/>
      <c r="GK47" s="53"/>
      <c r="GL47" s="53"/>
      <c r="GM47" s="53"/>
      <c r="GN47" s="53"/>
      <c r="GO47" s="53"/>
      <c r="GP47" s="53"/>
      <c r="GQ47" s="113"/>
      <c r="GR47" s="53"/>
      <c r="GS47" s="53"/>
      <c r="GT47" s="53"/>
      <c r="GU47" s="53"/>
      <c r="GV47" s="109"/>
      <c r="GW47" s="112"/>
      <c r="GX47" s="10">
        <f>+HI47+HN47+HU47+IO47</f>
        <v>6578594.558091728</v>
      </c>
      <c r="GY47" s="67">
        <f t="shared" si="220"/>
        <v>6893824</v>
      </c>
      <c r="GZ47" s="797">
        <f t="shared" si="221"/>
        <v>6893824</v>
      </c>
      <c r="HA47" s="12"/>
      <c r="HB47" s="49">
        <f t="shared" si="222"/>
        <v>2112.9847361000429</v>
      </c>
      <c r="HC47" s="49">
        <f t="shared" si="223"/>
        <v>125342.25454545455</v>
      </c>
      <c r="HD47" s="10">
        <v>5462235</v>
      </c>
      <c r="HE47" s="11">
        <v>5874333.7564800717</v>
      </c>
      <c r="HF47" s="12">
        <f t="shared" si="224"/>
        <v>412098.75648007169</v>
      </c>
      <c r="HG47" s="127">
        <f t="shared" si="225"/>
        <v>0.87000984727288555</v>
      </c>
      <c r="HH47" s="129">
        <v>0.39772600000000002</v>
      </c>
      <c r="HI47" s="10">
        <v>1733988.3513843757</v>
      </c>
      <c r="HJ47" s="638">
        <v>1928374</v>
      </c>
      <c r="HK47" s="642"/>
      <c r="HL47" s="640">
        <f t="shared" si="226"/>
        <v>35061.345454545452</v>
      </c>
      <c r="HM47" s="37">
        <f t="shared" si="238"/>
        <v>194385.64861562429</v>
      </c>
      <c r="HN47" s="10">
        <v>3744606.2067073518</v>
      </c>
      <c r="HO47" s="11">
        <f>HQ47+HP47</f>
        <v>3865450</v>
      </c>
      <c r="HP47" s="13">
        <v>735184</v>
      </c>
      <c r="HQ47" s="13">
        <v>3130266</v>
      </c>
      <c r="HR47" s="37">
        <f t="shared" si="239"/>
        <v>120843.79329264816</v>
      </c>
      <c r="HS47" s="629">
        <f t="shared" si="227"/>
        <v>70280.909090909088</v>
      </c>
      <c r="HT47" s="11"/>
      <c r="HU47" s="10">
        <f>1100000*1</f>
        <v>1100000</v>
      </c>
      <c r="HV47" s="11">
        <v>1100000</v>
      </c>
      <c r="HW47" s="67">
        <v>0</v>
      </c>
      <c r="HX47" s="40">
        <f t="shared" si="228"/>
        <v>0.15956311040142598</v>
      </c>
      <c r="HY47" s="303"/>
      <c r="HZ47" s="11">
        <v>0</v>
      </c>
      <c r="IA47" s="24">
        <f t="shared" si="229"/>
        <v>0</v>
      </c>
      <c r="IB47" s="23">
        <f t="shared" si="230"/>
        <v>20000</v>
      </c>
      <c r="IC47" s="81">
        <f t="shared" si="231"/>
        <v>55061.345454545452</v>
      </c>
      <c r="ID47" s="24" t="e">
        <f>IA47/#REF!</f>
        <v>#REF!</v>
      </c>
      <c r="IE47" s="780">
        <v>5.78</v>
      </c>
      <c r="IF47" s="780">
        <v>5.69</v>
      </c>
      <c r="IG47" s="39">
        <v>0</v>
      </c>
      <c r="IH47" s="39">
        <v>0</v>
      </c>
      <c r="II47" s="23">
        <f>(HJ47+HV47+IH47)/AE47</f>
        <v>55061.345454545452</v>
      </c>
      <c r="IJ47" s="39">
        <v>0</v>
      </c>
      <c r="IK47" s="23">
        <f t="shared" si="244"/>
        <v>55061.345454545452</v>
      </c>
      <c r="IL47" s="50">
        <f t="shared" si="232"/>
        <v>0.43928797718073453</v>
      </c>
      <c r="IM47" s="39">
        <v>0</v>
      </c>
      <c r="IN47" s="39"/>
      <c r="IO47" s="11">
        <f t="shared" si="233"/>
        <v>0</v>
      </c>
      <c r="IP47" s="41">
        <f t="shared" si="234"/>
        <v>6893824</v>
      </c>
      <c r="IQ47" s="277">
        <v>234959.82488479264</v>
      </c>
      <c r="IR47" s="277">
        <f t="shared" si="235"/>
        <v>211463.95391705071</v>
      </c>
      <c r="IS47" s="113"/>
      <c r="IT47" s="231"/>
      <c r="IU47" s="231"/>
      <c r="IV47" s="113"/>
      <c r="IW47" s="113"/>
      <c r="IX47" s="231"/>
      <c r="IY47" s="113"/>
      <c r="IZ47" s="231"/>
      <c r="JA47" s="113"/>
      <c r="JB47" s="231"/>
      <c r="JC47" s="114"/>
      <c r="JD47" s="321"/>
      <c r="JE47" s="313"/>
      <c r="JF47" s="313"/>
      <c r="JG47" s="122"/>
      <c r="JH47" s="231">
        <v>129228</v>
      </c>
      <c r="JI47" s="194">
        <v>42828</v>
      </c>
      <c r="JJ47" s="331">
        <v>23495.981566820275</v>
      </c>
      <c r="JK47" s="194">
        <v>43017</v>
      </c>
      <c r="JL47" s="331">
        <v>11747.990783410138</v>
      </c>
      <c r="JM47" s="194">
        <v>43047</v>
      </c>
      <c r="JN47" s="331">
        <v>11747.990783410138</v>
      </c>
      <c r="JO47" s="113">
        <v>43341</v>
      </c>
      <c r="JP47" s="114">
        <f>12746.57/1.085</f>
        <v>11747.990783410138</v>
      </c>
      <c r="JQ47" s="113">
        <v>43353</v>
      </c>
      <c r="JR47" s="114">
        <f>12746.58/1.085</f>
        <v>11748</v>
      </c>
      <c r="JS47" s="113">
        <v>43357</v>
      </c>
      <c r="JT47" s="114">
        <f>12746.58/1.085</f>
        <v>11748</v>
      </c>
      <c r="JU47" s="59"/>
      <c r="JV47" s="121"/>
      <c r="JW47" s="53"/>
      <c r="JX47" s="121"/>
      <c r="JY47" s="121"/>
      <c r="JZ47" s="53"/>
    </row>
    <row r="48" spans="1:286" ht="15" customHeight="1">
      <c r="A48" s="878" t="s">
        <v>951</v>
      </c>
      <c r="B48" s="903"/>
      <c r="C48" s="7" t="s">
        <v>102</v>
      </c>
      <c r="D48" s="7" t="s">
        <v>114</v>
      </c>
      <c r="E48" s="7">
        <v>2017</v>
      </c>
      <c r="F48" s="7" t="s">
        <v>546</v>
      </c>
      <c r="G48" s="7" t="s">
        <v>54</v>
      </c>
      <c r="H48" s="7" t="s">
        <v>463</v>
      </c>
      <c r="I48" s="7" t="s">
        <v>173</v>
      </c>
      <c r="J48" s="53"/>
      <c r="K48" s="53" t="s">
        <v>413</v>
      </c>
      <c r="L48" s="308"/>
      <c r="M48" s="162"/>
      <c r="N48" s="104"/>
      <c r="O48" s="105"/>
      <c r="P48" s="207">
        <v>4801</v>
      </c>
      <c r="Q48" s="207">
        <v>473822</v>
      </c>
      <c r="R48" s="207">
        <v>473822</v>
      </c>
      <c r="S48" s="207">
        <f t="shared" si="243"/>
        <v>15794.066666666668</v>
      </c>
      <c r="T48" s="207">
        <f t="shared" si="185"/>
        <v>98.692355759216824</v>
      </c>
      <c r="U48" s="213">
        <f t="shared" si="186"/>
        <v>98.692355759216824</v>
      </c>
      <c r="V48" s="213">
        <f t="shared" si="187"/>
        <v>277.36300788498573</v>
      </c>
      <c r="W48" s="213">
        <f t="shared" si="188"/>
        <v>15794.066666666668</v>
      </c>
      <c r="X48" s="207">
        <f t="shared" si="189"/>
        <v>160.03333333333333</v>
      </c>
      <c r="Y48" s="208"/>
      <c r="Z48" s="904">
        <f t="shared" si="51"/>
        <v>62.486981878775254</v>
      </c>
      <c r="AA48" s="208"/>
      <c r="AB48" s="210"/>
      <c r="AC48" s="211"/>
      <c r="AD48" s="7" t="s">
        <v>16</v>
      </c>
      <c r="AE48" s="771">
        <f t="shared" si="190"/>
        <v>30</v>
      </c>
      <c r="AF48" s="771">
        <f t="shared" si="191"/>
        <v>30</v>
      </c>
      <c r="AG48" s="8"/>
      <c r="AH48" s="7">
        <v>30</v>
      </c>
      <c r="AI48" s="53"/>
      <c r="AJ48" s="53"/>
      <c r="AK48" s="269">
        <v>1699.31</v>
      </c>
      <c r="AL48" s="9">
        <v>1708.31</v>
      </c>
      <c r="AM48" s="57">
        <v>1708.31</v>
      </c>
      <c r="AN48" s="225">
        <v>1708.31</v>
      </c>
      <c r="AO48" s="9">
        <f t="shared" si="236"/>
        <v>56.943666666666665</v>
      </c>
      <c r="AP48" s="78"/>
      <c r="AQ48" s="78"/>
      <c r="AR48" s="78"/>
      <c r="AS48" s="78"/>
      <c r="AT48" s="78"/>
      <c r="AU48" s="9"/>
      <c r="AV48" s="76"/>
      <c r="AW48" s="78"/>
      <c r="AX48" s="57"/>
      <c r="AY48" s="56" t="s">
        <v>549</v>
      </c>
      <c r="AZ48" s="7" t="s">
        <v>121</v>
      </c>
      <c r="BA48" s="59">
        <v>3564776</v>
      </c>
      <c r="BB48" s="803">
        <f>BA48/AN48</f>
        <v>2086.7266479737286</v>
      </c>
      <c r="BC48" s="53"/>
      <c r="BD48" s="53"/>
      <c r="BE48" s="53"/>
      <c r="BF48" s="108" t="s">
        <v>168</v>
      </c>
      <c r="BG48" s="108"/>
      <c r="BH48" s="35" t="s">
        <v>168</v>
      </c>
      <c r="BI48" s="204">
        <v>42909</v>
      </c>
      <c r="BJ48" s="99"/>
      <c r="BK48" s="99"/>
      <c r="BL48" s="204"/>
      <c r="BM48" s="99"/>
      <c r="BN48" s="160">
        <v>42967</v>
      </c>
      <c r="BO48" s="202"/>
      <c r="BP48" s="161"/>
      <c r="BQ48" s="161"/>
      <c r="BR48" s="299">
        <f t="shared" si="192"/>
        <v>0</v>
      </c>
      <c r="BS48" s="298">
        <f t="shared" si="193"/>
        <v>731</v>
      </c>
      <c r="BT48" s="298">
        <f t="shared" si="194"/>
        <v>1096</v>
      </c>
      <c r="BU48" s="298"/>
      <c r="BV48" s="298" t="str">
        <f t="shared" si="240"/>
        <v>oui</v>
      </c>
      <c r="BW48" s="672" t="e">
        <f t="shared" si="195"/>
        <v>#NUM!</v>
      </c>
      <c r="BX48" s="672" t="e">
        <f t="shared" si="196"/>
        <v>#NUM!</v>
      </c>
      <c r="BY48" s="672" t="e">
        <f t="shared" si="197"/>
        <v>#NUM!</v>
      </c>
      <c r="BZ48" s="828"/>
      <c r="CA48" s="834"/>
      <c r="CB48" s="826"/>
      <c r="CC48" s="826"/>
      <c r="CD48" s="826"/>
      <c r="CE48" s="826"/>
      <c r="CF48" s="819"/>
      <c r="CG48" s="819"/>
      <c r="CH48" s="819"/>
      <c r="CI48" s="819"/>
      <c r="CJ48" s="819"/>
      <c r="CK48" s="819"/>
      <c r="CL48" s="819"/>
      <c r="CM48" s="819"/>
      <c r="CN48" s="819"/>
      <c r="CO48" s="819"/>
      <c r="CP48" s="819"/>
      <c r="CQ48" s="819"/>
      <c r="CR48" s="819"/>
      <c r="CS48" s="156"/>
      <c r="CT48" s="163"/>
      <c r="CU48" s="250"/>
      <c r="CV48" s="157">
        <v>3443980.72</v>
      </c>
      <c r="CW48" s="163"/>
      <c r="CX48" s="250"/>
      <c r="CY48" s="405">
        <f>EH48</f>
        <v>43145</v>
      </c>
      <c r="CZ48" s="250">
        <v>43768</v>
      </c>
      <c r="DA48" s="597">
        <f>(FK48-CZ48)/30</f>
        <v>-4.5333333333333332</v>
      </c>
      <c r="DB48" s="434"/>
      <c r="DC48" s="122"/>
      <c r="DD48" s="122"/>
      <c r="DE48" s="523" t="str">
        <f t="shared" si="198"/>
        <v>0</v>
      </c>
      <c r="DF48" s="122">
        <v>42772</v>
      </c>
      <c r="DG48" s="122">
        <v>42731</v>
      </c>
      <c r="DH48" s="523">
        <f t="shared" si="199"/>
        <v>-41</v>
      </c>
      <c r="DI48" s="315"/>
      <c r="DJ48" s="315"/>
      <c r="DK48" s="523" t="str">
        <f t="shared" si="200"/>
        <v>0</v>
      </c>
      <c r="DL48" s="122"/>
      <c r="DM48" s="122"/>
      <c r="DN48" s="523" t="str">
        <f t="shared" si="201"/>
        <v>0</v>
      </c>
      <c r="DO48" s="122"/>
      <c r="DP48" s="122"/>
      <c r="DQ48" s="523" t="str">
        <f t="shared" si="202"/>
        <v>0</v>
      </c>
      <c r="DR48" s="451"/>
      <c r="DS48" s="435"/>
      <c r="DT48" s="315">
        <v>43069</v>
      </c>
      <c r="DU48" s="122">
        <v>43073</v>
      </c>
      <c r="DV48" s="523">
        <f t="shared" si="203"/>
        <v>4</v>
      </c>
      <c r="DW48" s="315">
        <v>43080</v>
      </c>
      <c r="DX48" s="440">
        <v>43070</v>
      </c>
      <c r="DY48" s="441">
        <v>2017</v>
      </c>
      <c r="DZ48" s="447">
        <f t="shared" si="204"/>
        <v>5.3666666666666663</v>
      </c>
      <c r="EA48" s="523">
        <f t="shared" si="205"/>
        <v>-10</v>
      </c>
      <c r="EB48" s="254">
        <v>15</v>
      </c>
      <c r="EC48" s="116">
        <f t="shared" si="206"/>
        <v>15</v>
      </c>
      <c r="ED48" s="527"/>
      <c r="EE48" s="533">
        <f ca="1">IF(ED48&lt;TODAY(),TODAY(),ED48)</f>
        <v>43423</v>
      </c>
      <c r="EF48" s="523" t="str">
        <f t="shared" ca="1" si="207"/>
        <v>0</v>
      </c>
      <c r="EG48" s="434"/>
      <c r="EH48" s="567">
        <v>43145</v>
      </c>
      <c r="EI48" s="526" t="str">
        <f t="shared" si="208"/>
        <v>0</v>
      </c>
      <c r="EJ48" s="533"/>
      <c r="EK48" s="551">
        <f ca="1">IF(EJ48&lt;TODAY(),TODAY(),EJ48)</f>
        <v>43423</v>
      </c>
      <c r="EL48" s="529" t="str">
        <f t="shared" ca="1" si="209"/>
        <v>0</v>
      </c>
      <c r="EM48" s="533"/>
      <c r="EN48" s="533">
        <f t="shared" ref="EN48:EN56" ca="1" si="245">IF(EM48&lt;TODAY(),TODAY(),EM48)</f>
        <v>43423</v>
      </c>
      <c r="EO48" s="529" t="str">
        <f t="shared" ca="1" si="210"/>
        <v>0</v>
      </c>
      <c r="EP48" s="533"/>
      <c r="EQ48" s="533">
        <f ca="1">IF(EP48&lt;TODAY(),TODAY(),EP48)</f>
        <v>43423</v>
      </c>
      <c r="ER48" s="529" t="str">
        <f t="shared" ca="1" si="211"/>
        <v>0</v>
      </c>
      <c r="ES48" s="533"/>
      <c r="ET48" s="533">
        <f t="shared" ca="1" si="241"/>
        <v>43423</v>
      </c>
      <c r="EU48" s="529" t="str">
        <f t="shared" ca="1" si="212"/>
        <v>0</v>
      </c>
      <c r="EV48" s="533"/>
      <c r="EW48" s="533">
        <f t="shared" ca="1" si="242"/>
        <v>43423</v>
      </c>
      <c r="EX48" s="529" t="str">
        <f t="shared" ca="1" si="213"/>
        <v>0</v>
      </c>
      <c r="EY48" s="533"/>
      <c r="EZ48" s="533"/>
      <c r="FA48" s="533"/>
      <c r="FB48" s="731">
        <f t="shared" si="214"/>
        <v>43525</v>
      </c>
      <c r="FC48" s="730">
        <f>DATE(YEAR(DX48),MONTH(DX48)+EB48,DAY(DX48))</f>
        <v>43525</v>
      </c>
      <c r="FD48" s="726">
        <f t="shared" si="215"/>
        <v>0</v>
      </c>
      <c r="FE48" s="573">
        <f t="shared" si="216"/>
        <v>43875</v>
      </c>
      <c r="FF48" s="242"/>
      <c r="FG48" s="316">
        <v>43392</v>
      </c>
      <c r="FH48" s="186">
        <f>DATE(YEAR(FC48),MONTH(FC48)+1,DAY(FC48))</f>
        <v>43556</v>
      </c>
      <c r="FI48" s="461"/>
      <c r="FJ48" s="571">
        <f>DATE(YEAR(FB48),MONTH(FB48)+1,DAY(FB48))</f>
        <v>43556</v>
      </c>
      <c r="FK48" s="730">
        <v>43632</v>
      </c>
      <c r="FL48" s="574"/>
      <c r="FM48" s="723">
        <f t="shared" si="217"/>
        <v>2.5333333333333332</v>
      </c>
      <c r="FN48" s="700"/>
      <c r="FO48" s="246">
        <f t="shared" si="218"/>
        <v>0</v>
      </c>
      <c r="FP48" s="117"/>
      <c r="FQ48" s="556">
        <v>0</v>
      </c>
      <c r="FR48" s="556">
        <v>0</v>
      </c>
      <c r="FS48" s="556">
        <v>0</v>
      </c>
      <c r="FT48" s="556"/>
      <c r="FU48" s="556">
        <v>0</v>
      </c>
      <c r="FV48" s="749">
        <f t="shared" si="237"/>
        <v>0</v>
      </c>
      <c r="FW48" s="553"/>
      <c r="FX48" s="566"/>
      <c r="FY48" s="553"/>
      <c r="FZ48" s="651"/>
      <c r="GA48" s="121"/>
      <c r="GB48" s="121"/>
      <c r="GC48" s="121"/>
      <c r="GD48" s="121"/>
      <c r="GE48" s="121"/>
      <c r="GF48" s="53"/>
      <c r="GG48" s="280">
        <f t="shared" si="219"/>
        <v>43891</v>
      </c>
      <c r="GH48" s="280"/>
      <c r="GI48" s="53"/>
      <c r="GJ48" s="53"/>
      <c r="GK48" s="53"/>
      <c r="GL48" s="53"/>
      <c r="GM48" s="53"/>
      <c r="GN48" s="53"/>
      <c r="GO48" s="53"/>
      <c r="GP48" s="53"/>
      <c r="GQ48" s="53"/>
      <c r="GR48" s="53"/>
      <c r="GS48" s="53"/>
      <c r="GT48" s="53"/>
      <c r="GU48" s="53"/>
      <c r="GV48" s="109"/>
      <c r="GW48" s="112"/>
      <c r="GX48" s="10">
        <f>+HI48+HN48+HU48+IO48+HZ48</f>
        <v>3803779.2429890437</v>
      </c>
      <c r="GY48" s="67">
        <f t="shared" si="220"/>
        <v>3855387</v>
      </c>
      <c r="GZ48" s="797">
        <f t="shared" si="221"/>
        <v>3855387</v>
      </c>
      <c r="HA48" s="10">
        <f t="shared" ref="HA48:HA53" si="246">GY48-GX48</f>
        <v>51607.757010956295</v>
      </c>
      <c r="HB48" s="49">
        <f t="shared" si="222"/>
        <v>2256.8427276079869</v>
      </c>
      <c r="HC48" s="49">
        <f t="shared" si="223"/>
        <v>128512.9</v>
      </c>
      <c r="HD48" s="10"/>
      <c r="HE48" s="10"/>
      <c r="HF48" s="10">
        <f t="shared" si="224"/>
        <v>0</v>
      </c>
      <c r="HG48" s="10">
        <f t="shared" si="225"/>
        <v>0</v>
      </c>
      <c r="HH48" s="303">
        <v>0.4</v>
      </c>
      <c r="HI48" s="10">
        <v>1081657</v>
      </c>
      <c r="HJ48" s="11">
        <v>1181624</v>
      </c>
      <c r="HK48" s="642">
        <v>1181624</v>
      </c>
      <c r="HL48" s="10">
        <f t="shared" si="226"/>
        <v>39387.466666666667</v>
      </c>
      <c r="HM48" s="10">
        <f t="shared" si="238"/>
        <v>99967</v>
      </c>
      <c r="HN48" s="428">
        <v>2022122.2429890437</v>
      </c>
      <c r="HO48" s="11">
        <f>HP48+HQ48</f>
        <v>1973763</v>
      </c>
      <c r="HP48" s="13">
        <v>459254</v>
      </c>
      <c r="HQ48" s="13">
        <f>1641033-126524</f>
        <v>1514509</v>
      </c>
      <c r="HR48" s="37">
        <f t="shared" si="239"/>
        <v>-48359.242989043705</v>
      </c>
      <c r="HS48" s="629">
        <f t="shared" si="227"/>
        <v>65792.100000000006</v>
      </c>
      <c r="HT48" s="11"/>
      <c r="HU48" s="10">
        <v>700000</v>
      </c>
      <c r="HV48" s="11">
        <v>700000</v>
      </c>
      <c r="HW48" s="67"/>
      <c r="HX48" s="40">
        <f t="shared" si="228"/>
        <v>0.18156413350981368</v>
      </c>
      <c r="HY48" s="303"/>
      <c r="HZ48" s="11"/>
      <c r="IA48" s="24">
        <f t="shared" si="229"/>
        <v>0</v>
      </c>
      <c r="IB48" s="23">
        <f t="shared" si="230"/>
        <v>23333.333333333332</v>
      </c>
      <c r="IC48" s="81">
        <f t="shared" si="231"/>
        <v>62720.800000000003</v>
      </c>
      <c r="ID48" s="24">
        <f t="shared" ref="ID48:ID62" si="247">IA48/AE48</f>
        <v>0</v>
      </c>
      <c r="IE48" s="780"/>
      <c r="IF48" s="780"/>
      <c r="IG48" s="39"/>
      <c r="IH48" s="39"/>
      <c r="II48" s="23">
        <f>(HI48+HU48+IH48)/AE48</f>
        <v>59388.566666666666</v>
      </c>
      <c r="IJ48" s="39"/>
      <c r="IK48" s="23">
        <f t="shared" si="244"/>
        <v>62720.800000000003</v>
      </c>
      <c r="IL48" s="50">
        <f>(HI48+HU48+IH48+IJ48)/(IG48+GX48-IM48)</f>
        <v>0.46839127251768636</v>
      </c>
      <c r="IM48" s="39"/>
      <c r="IN48" s="39"/>
      <c r="IO48" s="11">
        <f t="shared" si="233"/>
        <v>0</v>
      </c>
      <c r="IP48" s="41">
        <f>GX48+IG48</f>
        <v>3803779.2429890437</v>
      </c>
      <c r="IQ48" s="277">
        <v>178239</v>
      </c>
      <c r="IR48" s="277">
        <f t="shared" si="235"/>
        <v>124768</v>
      </c>
      <c r="IS48" s="236"/>
      <c r="IT48" s="330"/>
      <c r="IU48" s="330"/>
      <c r="IV48" s="327"/>
      <c r="IW48" s="327"/>
      <c r="IX48" s="330"/>
      <c r="IY48" s="327">
        <v>42829</v>
      </c>
      <c r="IZ48" s="331">
        <v>43954</v>
      </c>
      <c r="JA48" s="327"/>
      <c r="JB48" s="331"/>
      <c r="JC48" s="291"/>
      <c r="JD48" s="332"/>
      <c r="JE48" s="328"/>
      <c r="JF48" s="328"/>
      <c r="JG48" s="122">
        <v>43074</v>
      </c>
      <c r="JH48" s="314">
        <v>54078</v>
      </c>
      <c r="JI48" s="122">
        <v>43092</v>
      </c>
      <c r="JJ48" s="314">
        <v>17824</v>
      </c>
      <c r="JK48" s="122">
        <v>43153</v>
      </c>
      <c r="JL48" s="314">
        <v>8912</v>
      </c>
      <c r="JM48" s="300"/>
      <c r="JN48" s="300"/>
      <c r="JO48" s="269"/>
      <c r="JP48" s="269"/>
      <c r="JQ48" s="269"/>
      <c r="JR48" s="269"/>
      <c r="JS48" s="269"/>
      <c r="JT48" s="269"/>
      <c r="JU48" s="326">
        <v>43954</v>
      </c>
      <c r="JV48" s="434"/>
      <c r="JW48" s="114"/>
      <c r="JX48" s="434"/>
      <c r="JY48" s="434"/>
      <c r="JZ48" s="114"/>
    </row>
    <row r="49" spans="1:286" ht="15" customHeight="1">
      <c r="A49" s="86" t="s">
        <v>248</v>
      </c>
      <c r="B49" s="86"/>
      <c r="C49" s="7" t="s">
        <v>39</v>
      </c>
      <c r="D49" s="7" t="s">
        <v>114</v>
      </c>
      <c r="E49" s="7">
        <v>2015</v>
      </c>
      <c r="F49" s="7" t="s">
        <v>252</v>
      </c>
      <c r="G49" s="7" t="s">
        <v>378</v>
      </c>
      <c r="H49" s="7" t="s">
        <v>181</v>
      </c>
      <c r="I49" s="7" t="s">
        <v>173</v>
      </c>
      <c r="J49" s="53"/>
      <c r="K49" s="53"/>
      <c r="L49" s="255"/>
      <c r="M49" s="162" t="s">
        <v>60</v>
      </c>
      <c r="N49" s="167" t="s">
        <v>138</v>
      </c>
      <c r="O49" s="105"/>
      <c r="P49" s="207">
        <v>1263</v>
      </c>
      <c r="Q49" s="207">
        <v>126500</v>
      </c>
      <c r="R49" s="207">
        <v>126500</v>
      </c>
      <c r="S49" s="207">
        <f t="shared" si="243"/>
        <v>7027.7777777777774</v>
      </c>
      <c r="T49" s="207">
        <f t="shared" si="185"/>
        <v>100.15835312747427</v>
      </c>
      <c r="U49" s="213">
        <f t="shared" si="186"/>
        <v>100.15835312747427</v>
      </c>
      <c r="V49" s="213">
        <f t="shared" si="187"/>
        <v>86.456710134230022</v>
      </c>
      <c r="W49" s="213">
        <f t="shared" si="188"/>
        <v>7027.7777777777774</v>
      </c>
      <c r="X49" s="207">
        <f t="shared" si="189"/>
        <v>70.166666666666671</v>
      </c>
      <c r="Y49" s="208"/>
      <c r="Z49" s="904">
        <f t="shared" si="51"/>
        <v>142.51781472684087</v>
      </c>
      <c r="AA49" s="208"/>
      <c r="AB49" s="210"/>
      <c r="AC49" s="211"/>
      <c r="AD49" s="20" t="s">
        <v>16</v>
      </c>
      <c r="AE49" s="771">
        <f t="shared" si="190"/>
        <v>18</v>
      </c>
      <c r="AF49" s="771">
        <f t="shared" si="191"/>
        <v>18</v>
      </c>
      <c r="AG49" s="8"/>
      <c r="AH49" s="7">
        <v>18</v>
      </c>
      <c r="AI49" s="53"/>
      <c r="AJ49" s="53"/>
      <c r="AK49" s="269"/>
      <c r="AL49" s="9">
        <v>1509.87</v>
      </c>
      <c r="AM49" s="57"/>
      <c r="AN49" s="417">
        <v>1463.16</v>
      </c>
      <c r="AO49" s="9">
        <f t="shared" si="236"/>
        <v>81.286666666666676</v>
      </c>
      <c r="AP49" s="78">
        <v>0</v>
      </c>
      <c r="AQ49" s="78">
        <f>6/AE49</f>
        <v>0.33333333333333331</v>
      </c>
      <c r="AR49" s="78">
        <f>6/AE49</f>
        <v>0.33333333333333331</v>
      </c>
      <c r="AS49" s="78">
        <f>6/AE49</f>
        <v>0.33333333333333331</v>
      </c>
      <c r="AT49" s="78">
        <v>0</v>
      </c>
      <c r="AU49" s="9"/>
      <c r="AV49" s="76">
        <v>0</v>
      </c>
      <c r="AW49" s="78">
        <v>0</v>
      </c>
      <c r="AX49" s="59">
        <v>3</v>
      </c>
      <c r="AY49" s="56" t="s">
        <v>549</v>
      </c>
      <c r="AZ49" s="7" t="s">
        <v>120</v>
      </c>
      <c r="BA49" s="53"/>
      <c r="BB49" s="53"/>
      <c r="BC49" s="53"/>
      <c r="BD49" s="184">
        <v>42047</v>
      </c>
      <c r="BE49" s="53"/>
      <c r="BF49" s="108" t="s">
        <v>168</v>
      </c>
      <c r="BG49" s="108"/>
      <c r="BH49" s="35"/>
      <c r="BI49" s="204">
        <v>42298</v>
      </c>
      <c r="BJ49" s="99"/>
      <c r="BK49" s="99"/>
      <c r="BL49" s="204"/>
      <c r="BM49" s="99"/>
      <c r="BN49" s="160">
        <v>42885</v>
      </c>
      <c r="BO49" s="202">
        <v>42929</v>
      </c>
      <c r="BP49" s="161">
        <v>43013</v>
      </c>
      <c r="BQ49" s="161">
        <v>42957</v>
      </c>
      <c r="BR49" s="299">
        <f t="shared" si="192"/>
        <v>42929</v>
      </c>
      <c r="BS49" s="298">
        <f t="shared" si="193"/>
        <v>43659</v>
      </c>
      <c r="BT49" s="298">
        <f t="shared" si="194"/>
        <v>44025</v>
      </c>
      <c r="BU49" s="298"/>
      <c r="BV49" s="298" t="str">
        <f t="shared" si="240"/>
        <v>non</v>
      </c>
      <c r="BW49" s="672">
        <f t="shared" si="195"/>
        <v>12</v>
      </c>
      <c r="BX49" s="672">
        <f t="shared" si="196"/>
        <v>0</v>
      </c>
      <c r="BY49" s="672">
        <f t="shared" si="197"/>
        <v>0</v>
      </c>
      <c r="BZ49" s="828">
        <v>42920</v>
      </c>
      <c r="CA49" s="817" t="s">
        <v>606</v>
      </c>
      <c r="CB49" s="826"/>
      <c r="CC49" s="826"/>
      <c r="CD49" s="826"/>
      <c r="CE49" s="826"/>
      <c r="CF49" s="819"/>
      <c r="CG49" s="819"/>
      <c r="CH49" s="819"/>
      <c r="CI49" s="819"/>
      <c r="CJ49" s="819"/>
      <c r="CK49" s="819"/>
      <c r="CL49" s="819"/>
      <c r="CM49" s="819"/>
      <c r="CN49" s="831"/>
      <c r="CO49" s="819"/>
      <c r="CP49" s="819"/>
      <c r="CQ49" s="819"/>
      <c r="CR49" s="819"/>
      <c r="CS49" s="156" t="s">
        <v>144</v>
      </c>
      <c r="CT49" s="163" t="s">
        <v>168</v>
      </c>
      <c r="CU49" s="250" t="s">
        <v>168</v>
      </c>
      <c r="CV49" s="157" t="s">
        <v>168</v>
      </c>
      <c r="CW49" s="163" t="s">
        <v>168</v>
      </c>
      <c r="CX49" s="250" t="s">
        <v>168</v>
      </c>
      <c r="CY49" s="250">
        <v>43222</v>
      </c>
      <c r="CZ49" s="250" t="s">
        <v>168</v>
      </c>
      <c r="DA49" s="598"/>
      <c r="DB49" s="122">
        <v>41963</v>
      </c>
      <c r="DC49" s="122">
        <v>41955</v>
      </c>
      <c r="DD49" s="122">
        <v>41955</v>
      </c>
      <c r="DE49" s="523">
        <f t="shared" si="198"/>
        <v>0</v>
      </c>
      <c r="DF49" s="122">
        <v>42041</v>
      </c>
      <c r="DG49" s="122">
        <v>42012</v>
      </c>
      <c r="DH49" s="523">
        <f t="shared" si="199"/>
        <v>-29</v>
      </c>
      <c r="DI49" s="122">
        <v>42033</v>
      </c>
      <c r="DJ49" s="122">
        <v>42033</v>
      </c>
      <c r="DK49" s="523">
        <f t="shared" si="200"/>
        <v>0</v>
      </c>
      <c r="DL49" s="122">
        <v>42109</v>
      </c>
      <c r="DM49" s="122">
        <v>42109</v>
      </c>
      <c r="DN49" s="523">
        <f t="shared" si="201"/>
        <v>0</v>
      </c>
      <c r="DO49" s="122">
        <v>42174</v>
      </c>
      <c r="DP49" s="122">
        <v>42174</v>
      </c>
      <c r="DQ49" s="523">
        <f t="shared" si="202"/>
        <v>0</v>
      </c>
      <c r="DR49" s="451"/>
      <c r="DS49" s="122">
        <v>42472</v>
      </c>
      <c r="DT49" s="122">
        <v>42502</v>
      </c>
      <c r="DU49" s="122">
        <v>43088</v>
      </c>
      <c r="DV49" s="523">
        <f t="shared" si="203"/>
        <v>586</v>
      </c>
      <c r="DW49" s="122">
        <v>43112</v>
      </c>
      <c r="DX49" s="440">
        <v>43122</v>
      </c>
      <c r="DY49" s="441">
        <v>2018</v>
      </c>
      <c r="DZ49" s="447">
        <f t="shared" si="204"/>
        <v>27.466666666666665</v>
      </c>
      <c r="EA49" s="523">
        <f t="shared" si="205"/>
        <v>10</v>
      </c>
      <c r="EB49" s="254">
        <v>15</v>
      </c>
      <c r="EC49" s="116">
        <f t="shared" si="206"/>
        <v>15</v>
      </c>
      <c r="ED49" s="122"/>
      <c r="EE49" s="122">
        <v>43205</v>
      </c>
      <c r="EF49" s="523" t="str">
        <f t="shared" si="207"/>
        <v>0</v>
      </c>
      <c r="EG49" s="122"/>
      <c r="EH49" s="567">
        <v>43222</v>
      </c>
      <c r="EI49" s="526" t="str">
        <f t="shared" si="208"/>
        <v>0</v>
      </c>
      <c r="EJ49" s="533">
        <v>43375</v>
      </c>
      <c r="EK49" s="551">
        <f ca="1">IF(EJ49&lt;TODAY(),TODAY(),EJ49)</f>
        <v>43423</v>
      </c>
      <c r="EL49" s="529">
        <f t="shared" ca="1" si="209"/>
        <v>48</v>
      </c>
      <c r="EM49" s="533">
        <v>43412</v>
      </c>
      <c r="EN49" s="533">
        <f t="shared" ca="1" si="245"/>
        <v>43423</v>
      </c>
      <c r="EO49" s="529">
        <f t="shared" ca="1" si="210"/>
        <v>11</v>
      </c>
      <c r="EP49" s="564">
        <v>43427</v>
      </c>
      <c r="EQ49" s="564"/>
      <c r="ER49" s="529" t="str">
        <f t="shared" si="211"/>
        <v>0</v>
      </c>
      <c r="ES49" s="564">
        <v>43447</v>
      </c>
      <c r="ET49" s="533">
        <f t="shared" ca="1" si="241"/>
        <v>43447</v>
      </c>
      <c r="EU49" s="529">
        <f t="shared" ca="1" si="212"/>
        <v>0</v>
      </c>
      <c r="EV49" s="533">
        <v>43552</v>
      </c>
      <c r="EW49" s="533">
        <f t="shared" ca="1" si="242"/>
        <v>43552</v>
      </c>
      <c r="EX49" s="529">
        <f t="shared" ca="1" si="213"/>
        <v>0</v>
      </c>
      <c r="EY49" s="535"/>
      <c r="EZ49" s="535"/>
      <c r="FA49" s="535"/>
      <c r="FB49" s="731">
        <f t="shared" si="214"/>
        <v>43577</v>
      </c>
      <c r="FC49" s="730">
        <f>DATE(YEAR(DX49),MONTH(DX49)+EB49,DAY(DX49))</f>
        <v>43577</v>
      </c>
      <c r="FD49" s="726">
        <f t="shared" si="215"/>
        <v>0</v>
      </c>
      <c r="FE49" s="461">
        <f t="shared" si="216"/>
        <v>43953</v>
      </c>
      <c r="FF49" s="242"/>
      <c r="FG49" s="316">
        <v>43348</v>
      </c>
      <c r="FH49" s="186">
        <f>DATE(YEAR(FC49),MONTH(FC49)+2,DAY(FC49)+5)</f>
        <v>43643</v>
      </c>
      <c r="FI49" s="461"/>
      <c r="FJ49" s="571">
        <f>DATE(YEAR(FB49),MONTH(FB49)+1,DAY(FB49))</f>
        <v>43607</v>
      </c>
      <c r="FK49" s="730">
        <v>43656</v>
      </c>
      <c r="FL49" s="574"/>
      <c r="FM49" s="723">
        <f t="shared" si="217"/>
        <v>1.6333333333333333</v>
      </c>
      <c r="FN49" s="700"/>
      <c r="FO49" s="232">
        <f t="shared" si="218"/>
        <v>0</v>
      </c>
      <c r="FP49" s="117"/>
      <c r="FQ49" s="556">
        <v>0</v>
      </c>
      <c r="FR49" s="556">
        <v>0</v>
      </c>
      <c r="FS49" s="556">
        <v>115573</v>
      </c>
      <c r="FT49" s="556">
        <v>96000</v>
      </c>
      <c r="FU49" s="583"/>
      <c r="FV49" s="749">
        <f t="shared" si="237"/>
        <v>0</v>
      </c>
      <c r="FW49" s="553" t="s">
        <v>702</v>
      </c>
      <c r="FX49" s="566" t="s">
        <v>815</v>
      </c>
      <c r="FY49" s="566"/>
      <c r="FZ49" s="566" t="s">
        <v>704</v>
      </c>
      <c r="GA49" s="121"/>
      <c r="GB49" s="121"/>
      <c r="GC49" s="121"/>
      <c r="GD49" s="121"/>
      <c r="GE49" s="121"/>
      <c r="GF49" s="53"/>
      <c r="GG49" s="280">
        <f t="shared" si="219"/>
        <v>43943</v>
      </c>
      <c r="GH49" s="280"/>
      <c r="GI49" s="53"/>
      <c r="GJ49" s="53"/>
      <c r="GK49" s="53"/>
      <c r="GL49" s="53"/>
      <c r="GM49" s="53"/>
      <c r="GN49" s="53"/>
      <c r="GO49" s="53"/>
      <c r="GP49" s="53"/>
      <c r="GQ49" s="53"/>
      <c r="GR49" s="53"/>
      <c r="GS49" s="53"/>
      <c r="GT49" s="53"/>
      <c r="GU49" s="53"/>
      <c r="GV49" s="109"/>
      <c r="GW49" s="112"/>
      <c r="GX49" s="10">
        <f>HI49+HN49+HU49</f>
        <v>3031790</v>
      </c>
      <c r="GY49" s="67">
        <f t="shared" si="220"/>
        <v>2903227</v>
      </c>
      <c r="GZ49" s="797">
        <f t="shared" si="221"/>
        <v>2903227</v>
      </c>
      <c r="HA49" s="11">
        <f t="shared" si="246"/>
        <v>-128563</v>
      </c>
      <c r="HB49" s="671">
        <f t="shared" si="222"/>
        <v>1922.8324292819914</v>
      </c>
      <c r="HC49" s="67">
        <f t="shared" si="223"/>
        <v>161290.38888888888</v>
      </c>
      <c r="HD49" s="13">
        <v>2583163.1920000003</v>
      </c>
      <c r="HE49" s="13">
        <v>2614548</v>
      </c>
      <c r="HF49" s="11">
        <f t="shared" si="224"/>
        <v>31384.807999999728</v>
      </c>
      <c r="HG49" s="11">
        <f t="shared" si="225"/>
        <v>0.91947805252568948</v>
      </c>
      <c r="HH49" s="67">
        <v>0.39750000000000002</v>
      </c>
      <c r="HI49" s="87">
        <v>883707</v>
      </c>
      <c r="HJ49" s="11">
        <v>876912</v>
      </c>
      <c r="HK49" s="642">
        <v>866176</v>
      </c>
      <c r="HL49" s="13">
        <f t="shared" si="226"/>
        <v>48717.333333333336</v>
      </c>
      <c r="HM49" s="13">
        <f t="shared" si="238"/>
        <v>-6795</v>
      </c>
      <c r="HN49" s="11">
        <v>1788083</v>
      </c>
      <c r="HO49" s="11">
        <f>HP49+HQ49</f>
        <v>1657979</v>
      </c>
      <c r="HP49" s="13">
        <v>261692</v>
      </c>
      <c r="HQ49" s="13">
        <v>1396287</v>
      </c>
      <c r="HR49" s="11">
        <f t="shared" si="239"/>
        <v>-130104</v>
      </c>
      <c r="HS49" s="13">
        <f t="shared" si="227"/>
        <v>92109.944444444438</v>
      </c>
      <c r="HT49" s="11"/>
      <c r="HU49" s="11">
        <v>360000</v>
      </c>
      <c r="HV49" s="11">
        <v>360000</v>
      </c>
      <c r="HW49" s="67"/>
      <c r="HX49" s="693">
        <f t="shared" si="228"/>
        <v>0.12399994902224318</v>
      </c>
      <c r="HY49" s="93"/>
      <c r="HZ49" s="11">
        <v>8336</v>
      </c>
      <c r="IA49" s="24">
        <f t="shared" si="229"/>
        <v>0</v>
      </c>
      <c r="IB49" s="23">
        <f t="shared" si="230"/>
        <v>20000</v>
      </c>
      <c r="IC49" s="81">
        <f t="shared" si="231"/>
        <v>68717.333333333328</v>
      </c>
      <c r="ID49" s="24">
        <f t="shared" si="247"/>
        <v>0</v>
      </c>
      <c r="IE49" s="48">
        <v>5.19</v>
      </c>
      <c r="IF49" s="48">
        <v>5.13</v>
      </c>
      <c r="IG49" s="39">
        <v>0</v>
      </c>
      <c r="IH49" s="39">
        <v>0</v>
      </c>
      <c r="II49" s="23">
        <f>(HJ49+HV49+IH49)/AE49</f>
        <v>68717.333333333328</v>
      </c>
      <c r="IJ49" s="39">
        <v>0</v>
      </c>
      <c r="IK49" s="23">
        <f t="shared" si="244"/>
        <v>68717.333333333328</v>
      </c>
      <c r="IL49" s="50">
        <f>(HJ49+HV49+IH49+IJ49)/(IG49+GY49-IM49)</f>
        <v>0.42604729151389126</v>
      </c>
      <c r="IM49" s="39">
        <v>0</v>
      </c>
      <c r="IN49" s="39"/>
      <c r="IO49" s="11">
        <f t="shared" si="233"/>
        <v>0</v>
      </c>
      <c r="IP49" s="41">
        <f>GY49+IG49</f>
        <v>2903227</v>
      </c>
      <c r="IQ49" s="277">
        <v>143890</v>
      </c>
      <c r="IR49" s="277">
        <f t="shared" si="235"/>
        <v>122307</v>
      </c>
      <c r="IS49" s="113">
        <v>41990</v>
      </c>
      <c r="IT49" s="231">
        <v>14522</v>
      </c>
      <c r="IU49" s="231"/>
      <c r="IV49" s="113"/>
      <c r="IW49" s="113">
        <v>41992</v>
      </c>
      <c r="IX49" s="231"/>
      <c r="IY49" s="113"/>
      <c r="IZ49" s="231">
        <v>21783</v>
      </c>
      <c r="JA49" s="113">
        <v>42086</v>
      </c>
      <c r="JB49" s="231">
        <v>13917</v>
      </c>
      <c r="JC49" s="114">
        <v>42202</v>
      </c>
      <c r="JD49" s="321">
        <v>21557</v>
      </c>
      <c r="JE49" s="313"/>
      <c r="JF49" s="313"/>
      <c r="JG49" s="122">
        <v>42989</v>
      </c>
      <c r="JH49" s="231">
        <v>7178</v>
      </c>
      <c r="JI49" s="122">
        <v>43092</v>
      </c>
      <c r="JJ49" s="231">
        <v>14356</v>
      </c>
      <c r="JK49" s="618">
        <v>43257</v>
      </c>
      <c r="JL49" s="114">
        <v>7178</v>
      </c>
      <c r="JM49" s="618">
        <v>43291</v>
      </c>
      <c r="JN49" s="114">
        <v>7177</v>
      </c>
      <c r="JO49" s="114"/>
      <c r="JP49" s="114"/>
      <c r="JQ49" s="113">
        <v>43412</v>
      </c>
      <c r="JR49" s="114">
        <v>14639</v>
      </c>
      <c r="JS49" s="269"/>
      <c r="JT49" s="269"/>
      <c r="JU49" s="231">
        <v>21783</v>
      </c>
      <c r="JV49" s="122"/>
      <c r="JW49" s="114"/>
      <c r="JX49" s="122"/>
      <c r="JY49" s="122"/>
      <c r="JZ49" s="114"/>
    </row>
    <row r="50" spans="1:286" ht="15" customHeight="1">
      <c r="A50" s="655" t="s">
        <v>638</v>
      </c>
      <c r="B50" s="655"/>
      <c r="C50" s="53" t="s">
        <v>45</v>
      </c>
      <c r="D50" s="53" t="s">
        <v>112</v>
      </c>
      <c r="E50" s="53">
        <v>2016</v>
      </c>
      <c r="F50" s="53" t="s">
        <v>304</v>
      </c>
      <c r="G50" s="53" t="s">
        <v>317</v>
      </c>
      <c r="H50" s="53" t="s">
        <v>181</v>
      </c>
      <c r="I50" s="53" t="s">
        <v>173</v>
      </c>
      <c r="J50" s="53"/>
      <c r="K50" s="53" t="s">
        <v>353</v>
      </c>
      <c r="L50" s="255" t="s">
        <v>590</v>
      </c>
      <c r="M50" s="166"/>
      <c r="N50" s="167"/>
      <c r="O50" s="168"/>
      <c r="P50" s="207">
        <v>8111</v>
      </c>
      <c r="Q50" s="207">
        <v>405550</v>
      </c>
      <c r="R50" s="207">
        <v>405550</v>
      </c>
      <c r="S50" s="207">
        <f t="shared" si="243"/>
        <v>11587.142857142857</v>
      </c>
      <c r="T50" s="207">
        <f t="shared" si="185"/>
        <v>50</v>
      </c>
      <c r="U50" s="213">
        <f t="shared" si="186"/>
        <v>50</v>
      </c>
      <c r="V50" s="213">
        <f t="shared" si="187"/>
        <v>175.71642735205677</v>
      </c>
      <c r="W50" s="213">
        <f t="shared" si="188"/>
        <v>11587.142857142857</v>
      </c>
      <c r="X50" s="207">
        <f t="shared" si="189"/>
        <v>231.74285714285713</v>
      </c>
      <c r="Y50" s="208"/>
      <c r="Z50" s="907">
        <f t="shared" si="51"/>
        <v>43.151276044877328</v>
      </c>
      <c r="AA50" s="208"/>
      <c r="AB50" s="208">
        <v>450</v>
      </c>
      <c r="AC50" s="209"/>
      <c r="AD50" s="53" t="s">
        <v>16</v>
      </c>
      <c r="AE50" s="771">
        <f t="shared" si="190"/>
        <v>35</v>
      </c>
      <c r="AF50" s="771">
        <f t="shared" si="191"/>
        <v>35</v>
      </c>
      <c r="AG50" s="64"/>
      <c r="AH50" s="53">
        <v>35</v>
      </c>
      <c r="AI50" s="53"/>
      <c r="AJ50" s="53"/>
      <c r="AK50" s="269"/>
      <c r="AL50" s="57">
        <v>2316.3530000000001</v>
      </c>
      <c r="AM50" s="57"/>
      <c r="AN50" s="225">
        <v>2307.98</v>
      </c>
      <c r="AO50" s="9">
        <f t="shared" si="236"/>
        <v>65.942285714285717</v>
      </c>
      <c r="AP50" s="78">
        <f>8/AE50</f>
        <v>0.22857142857142856</v>
      </c>
      <c r="AQ50" s="78">
        <f>8/AE50</f>
        <v>0.22857142857142856</v>
      </c>
      <c r="AR50" s="78">
        <f>8/AE50</f>
        <v>0.22857142857142856</v>
      </c>
      <c r="AS50" s="78">
        <f>11/AE50</f>
        <v>0.31428571428571428</v>
      </c>
      <c r="AT50" s="78"/>
      <c r="AU50" s="57"/>
      <c r="AV50" s="76"/>
      <c r="AW50" s="78"/>
      <c r="AX50" s="57"/>
      <c r="AY50" s="56" t="s">
        <v>549</v>
      </c>
      <c r="AZ50" s="53" t="s">
        <v>121</v>
      </c>
      <c r="BA50" s="53"/>
      <c r="BB50" s="53"/>
      <c r="BC50" s="53"/>
      <c r="BD50" s="236">
        <v>42396</v>
      </c>
      <c r="BE50" s="236">
        <v>42475</v>
      </c>
      <c r="BF50" s="110" t="s">
        <v>168</v>
      </c>
      <c r="BG50" s="110"/>
      <c r="BH50" s="97"/>
      <c r="BI50" s="204">
        <v>42660</v>
      </c>
      <c r="BJ50" s="99"/>
      <c r="BK50" s="99"/>
      <c r="BL50" s="204"/>
      <c r="BM50" s="99"/>
      <c r="BN50" s="160">
        <v>42886</v>
      </c>
      <c r="BO50" s="202">
        <v>42929</v>
      </c>
      <c r="BP50" s="161">
        <v>43013</v>
      </c>
      <c r="BQ50" s="161">
        <v>42957</v>
      </c>
      <c r="BR50" s="299">
        <f t="shared" si="192"/>
        <v>42929</v>
      </c>
      <c r="BS50" s="298">
        <f t="shared" si="193"/>
        <v>43659</v>
      </c>
      <c r="BT50" s="298">
        <v>44022</v>
      </c>
      <c r="BU50" s="298"/>
      <c r="BV50" s="298" t="str">
        <f t="shared" si="240"/>
        <v>oui</v>
      </c>
      <c r="BW50" s="672">
        <f t="shared" si="195"/>
        <v>10</v>
      </c>
      <c r="BX50" s="672">
        <f t="shared" si="196"/>
        <v>0</v>
      </c>
      <c r="BY50" s="672">
        <f t="shared" si="197"/>
        <v>0</v>
      </c>
      <c r="BZ50" s="828">
        <v>42920</v>
      </c>
      <c r="CA50" s="816" t="s">
        <v>532</v>
      </c>
      <c r="CB50" s="826"/>
      <c r="CC50" s="826"/>
      <c r="CD50" s="826"/>
      <c r="CE50" s="826"/>
      <c r="CF50" s="819"/>
      <c r="CG50" s="819"/>
      <c r="CH50" s="819"/>
      <c r="CI50" s="819"/>
      <c r="CJ50" s="819"/>
      <c r="CK50" s="819"/>
      <c r="CL50" s="819"/>
      <c r="CM50" s="819"/>
      <c r="CN50" s="831"/>
      <c r="CO50" s="819"/>
      <c r="CP50" s="819"/>
      <c r="CQ50" s="819"/>
      <c r="CR50" s="819"/>
      <c r="CS50" s="159"/>
      <c r="CT50" s="163"/>
      <c r="CU50" s="250"/>
      <c r="CV50" s="158"/>
      <c r="CW50" s="163"/>
      <c r="CX50" s="250"/>
      <c r="CY50" s="250"/>
      <c r="CZ50" s="250" t="s">
        <v>168</v>
      </c>
      <c r="DA50" s="598"/>
      <c r="DB50" s="122">
        <v>42296</v>
      </c>
      <c r="DC50" s="122">
        <v>42307</v>
      </c>
      <c r="DD50" s="122">
        <v>42296</v>
      </c>
      <c r="DE50" s="523">
        <f t="shared" si="198"/>
        <v>-11</v>
      </c>
      <c r="DF50" s="122">
        <v>42412</v>
      </c>
      <c r="DG50" s="122">
        <v>42412</v>
      </c>
      <c r="DH50" s="523">
        <f t="shared" si="199"/>
        <v>0</v>
      </c>
      <c r="DI50" s="122">
        <v>42458</v>
      </c>
      <c r="DJ50" s="122">
        <v>42593</v>
      </c>
      <c r="DK50" s="523">
        <f t="shared" si="200"/>
        <v>135</v>
      </c>
      <c r="DL50" s="122">
        <v>42655</v>
      </c>
      <c r="DM50" s="122">
        <v>42683</v>
      </c>
      <c r="DN50" s="523">
        <f t="shared" si="201"/>
        <v>28</v>
      </c>
      <c r="DO50" s="122">
        <v>42779</v>
      </c>
      <c r="DP50" s="122">
        <v>42892</v>
      </c>
      <c r="DQ50" s="550">
        <f t="shared" si="202"/>
        <v>113</v>
      </c>
      <c r="DR50" s="451"/>
      <c r="DS50" s="122">
        <v>43123</v>
      </c>
      <c r="DT50" s="315">
        <v>43140</v>
      </c>
      <c r="DU50" s="122">
        <v>43160</v>
      </c>
      <c r="DV50" s="550">
        <f t="shared" si="203"/>
        <v>20</v>
      </c>
      <c r="DW50" s="315">
        <v>43154</v>
      </c>
      <c r="DX50" s="440">
        <v>43164</v>
      </c>
      <c r="DY50" s="441">
        <v>2018</v>
      </c>
      <c r="DZ50" s="447">
        <f t="shared" si="204"/>
        <v>16.8</v>
      </c>
      <c r="EA50" s="523">
        <f t="shared" si="205"/>
        <v>10</v>
      </c>
      <c r="EB50" s="254">
        <v>14</v>
      </c>
      <c r="EC50" s="116">
        <f t="shared" si="206"/>
        <v>14</v>
      </c>
      <c r="ED50" s="315">
        <v>43263</v>
      </c>
      <c r="EE50" s="315">
        <f ca="1">IF(ED50&lt;TODAY(),TODAY(),ED50)</f>
        <v>43423</v>
      </c>
      <c r="EF50" s="685">
        <f t="shared" ca="1" si="207"/>
        <v>160</v>
      </c>
      <c r="EG50" s="315">
        <v>43287</v>
      </c>
      <c r="EH50" s="315">
        <v>43355</v>
      </c>
      <c r="EI50" s="526">
        <f t="shared" si="208"/>
        <v>68</v>
      </c>
      <c r="EJ50" s="533">
        <v>43374</v>
      </c>
      <c r="EK50" s="551">
        <f ca="1">IF(EJ50&lt;TODAY(),TODAY(),EJ50)</f>
        <v>43423</v>
      </c>
      <c r="EL50" s="529">
        <f t="shared" ca="1" si="209"/>
        <v>49</v>
      </c>
      <c r="EM50" s="533">
        <v>43486</v>
      </c>
      <c r="EN50" s="533">
        <f t="shared" ca="1" si="245"/>
        <v>43486</v>
      </c>
      <c r="EO50" s="529">
        <f t="shared" ca="1" si="210"/>
        <v>0</v>
      </c>
      <c r="EP50" s="673">
        <v>43447</v>
      </c>
      <c r="EQ50" s="539"/>
      <c r="ER50" s="529" t="str">
        <f t="shared" si="211"/>
        <v>0</v>
      </c>
      <c r="ES50" s="564">
        <v>43500</v>
      </c>
      <c r="ET50" s="533">
        <f t="shared" ca="1" si="241"/>
        <v>43500</v>
      </c>
      <c r="EU50" s="529">
        <f t="shared" ca="1" si="212"/>
        <v>0</v>
      </c>
      <c r="EV50" s="533">
        <v>43563</v>
      </c>
      <c r="EW50" s="533">
        <f t="shared" ca="1" si="242"/>
        <v>43563</v>
      </c>
      <c r="EX50" s="529">
        <f t="shared" ca="1" si="213"/>
        <v>0</v>
      </c>
      <c r="EY50" s="533">
        <v>43542</v>
      </c>
      <c r="EZ50" s="533">
        <v>43542</v>
      </c>
      <c r="FA50" s="533">
        <v>43546</v>
      </c>
      <c r="FB50" s="731">
        <f t="shared" si="214"/>
        <v>43590</v>
      </c>
      <c r="FC50" s="730">
        <v>43602</v>
      </c>
      <c r="FD50" s="726">
        <f t="shared" si="215"/>
        <v>0.4</v>
      </c>
      <c r="FE50" s="573">
        <f t="shared" si="216"/>
        <v>731</v>
      </c>
      <c r="FF50" s="242"/>
      <c r="FG50" s="316">
        <v>43348</v>
      </c>
      <c r="FH50" s="186">
        <v>43673</v>
      </c>
      <c r="FI50" s="461"/>
      <c r="FJ50" s="571">
        <f>DATE(YEAR(FB50),MONTH(FB50)+1,DAY(FB50))</f>
        <v>43621</v>
      </c>
      <c r="FK50" s="730">
        <v>43693</v>
      </c>
      <c r="FL50" s="574"/>
      <c r="FM50" s="723">
        <f t="shared" si="217"/>
        <v>2.4</v>
      </c>
      <c r="FN50" s="700"/>
      <c r="FO50" s="246">
        <f t="shared" si="218"/>
        <v>0</v>
      </c>
      <c r="FP50" s="117"/>
      <c r="FQ50" s="556">
        <v>0</v>
      </c>
      <c r="FR50" s="556">
        <v>0</v>
      </c>
      <c r="FS50" s="556">
        <f>122000*1.021</f>
        <v>124561.99999999999</v>
      </c>
      <c r="FT50" s="556"/>
      <c r="FU50" s="556">
        <v>0</v>
      </c>
      <c r="FV50" s="749">
        <f t="shared" si="237"/>
        <v>0</v>
      </c>
      <c r="FW50" s="553"/>
      <c r="FX50" s="566"/>
      <c r="FY50" s="566" t="s">
        <v>744</v>
      </c>
      <c r="FZ50" s="553"/>
      <c r="GA50" s="121"/>
      <c r="GB50" s="121"/>
      <c r="GC50" s="121"/>
      <c r="GD50" s="121"/>
      <c r="GE50" s="121"/>
      <c r="GF50" s="53"/>
      <c r="GG50" s="280">
        <f t="shared" si="219"/>
        <v>43968</v>
      </c>
      <c r="GH50" s="280"/>
      <c r="GI50" s="53"/>
      <c r="GJ50" s="53"/>
      <c r="GK50" s="53"/>
      <c r="GL50" s="53"/>
      <c r="GM50" s="53"/>
      <c r="GN50" s="53"/>
      <c r="GO50" s="53"/>
      <c r="GP50" s="53"/>
      <c r="GQ50" s="53"/>
      <c r="GR50" s="53"/>
      <c r="GS50" s="53"/>
      <c r="GT50" s="53"/>
      <c r="GU50" s="53"/>
      <c r="GV50" s="112"/>
      <c r="GW50" s="112"/>
      <c r="GX50" s="93">
        <f>+HI50+HN50+HU50+IO50</f>
        <v>4867349.3792960932</v>
      </c>
      <c r="GY50" s="67">
        <f t="shared" si="220"/>
        <v>5306870</v>
      </c>
      <c r="GZ50" s="797">
        <f t="shared" si="221"/>
        <v>5306870</v>
      </c>
      <c r="HA50" s="12">
        <f t="shared" si="246"/>
        <v>439520.62070390675</v>
      </c>
      <c r="HB50" s="49">
        <f t="shared" si="222"/>
        <v>2291.0454494630135</v>
      </c>
      <c r="HC50" s="49">
        <f t="shared" si="223"/>
        <v>151624.85714285713</v>
      </c>
      <c r="HD50" s="93">
        <v>4254582.75</v>
      </c>
      <c r="HE50" s="67">
        <v>4784510</v>
      </c>
      <c r="HF50" s="12">
        <f t="shared" si="224"/>
        <v>529927.25</v>
      </c>
      <c r="HG50" s="127">
        <f t="shared" si="225"/>
        <v>0.9205020492305257</v>
      </c>
      <c r="HH50" s="129">
        <v>0.4</v>
      </c>
      <c r="HI50" s="93">
        <v>1361329.3792960932</v>
      </c>
      <c r="HJ50" s="11">
        <v>1576411</v>
      </c>
      <c r="HK50" s="642">
        <v>1629529</v>
      </c>
      <c r="HL50" s="23">
        <f t="shared" si="226"/>
        <v>45040.314285714288</v>
      </c>
      <c r="HM50" s="37">
        <f t="shared" si="238"/>
        <v>215081.62070390675</v>
      </c>
      <c r="HN50" s="10">
        <v>2561020</v>
      </c>
      <c r="HO50" s="746">
        <f>HP50+HQ50</f>
        <v>2760459</v>
      </c>
      <c r="HP50" s="747">
        <v>738771</v>
      </c>
      <c r="HQ50" s="747">
        <v>2021688</v>
      </c>
      <c r="HR50" s="37">
        <f t="shared" si="239"/>
        <v>199439</v>
      </c>
      <c r="HS50" s="629">
        <f t="shared" si="227"/>
        <v>78870.257142857139</v>
      </c>
      <c r="HT50" s="11"/>
      <c r="HU50" s="10">
        <v>945000</v>
      </c>
      <c r="HV50" s="11">
        <f>HU50</f>
        <v>945000</v>
      </c>
      <c r="HW50" s="67"/>
      <c r="HX50" s="40">
        <f t="shared" si="228"/>
        <v>0.17807106637245684</v>
      </c>
      <c r="HY50" s="303"/>
      <c r="HZ50" s="11">
        <v>25000</v>
      </c>
      <c r="IA50" s="24">
        <f t="shared" si="229"/>
        <v>0</v>
      </c>
      <c r="IB50" s="23">
        <f t="shared" si="230"/>
        <v>27000</v>
      </c>
      <c r="IC50" s="81">
        <f t="shared" si="231"/>
        <v>72040.314285714281</v>
      </c>
      <c r="ID50" s="24">
        <f t="shared" si="247"/>
        <v>0</v>
      </c>
      <c r="IE50" s="48">
        <v>5.57</v>
      </c>
      <c r="IF50" s="48">
        <v>5.54</v>
      </c>
      <c r="IG50" s="39"/>
      <c r="IH50" s="39"/>
      <c r="II50" s="23">
        <f>(HI50+HU50+IH50)/AE50</f>
        <v>65895.125122745521</v>
      </c>
      <c r="IJ50" s="39"/>
      <c r="IK50" s="23">
        <f t="shared" si="244"/>
        <v>72040.314285714281</v>
      </c>
      <c r="IL50" s="50">
        <f>(HI50+HU50+IH50+IJ50)/(IG50+GX50-IM50)</f>
        <v>0.47383682566662805</v>
      </c>
      <c r="IM50" s="39"/>
      <c r="IN50" s="39"/>
      <c r="IO50" s="11">
        <f t="shared" si="233"/>
        <v>0</v>
      </c>
      <c r="IP50" s="41">
        <f>GY50+IG50</f>
        <v>5306870</v>
      </c>
      <c r="IQ50" s="277">
        <v>265262</v>
      </c>
      <c r="IR50" s="277">
        <f t="shared" si="235"/>
        <v>185683</v>
      </c>
      <c r="IS50" s="113">
        <v>42335</v>
      </c>
      <c r="IT50" s="231">
        <v>26176</v>
      </c>
      <c r="IU50" s="231"/>
      <c r="IV50" s="113"/>
      <c r="IW50" s="113">
        <v>42501</v>
      </c>
      <c r="IX50" s="231">
        <v>17712</v>
      </c>
      <c r="IY50" s="113">
        <v>42430</v>
      </c>
      <c r="IZ50" s="231">
        <v>20368</v>
      </c>
      <c r="JA50" s="113">
        <v>42670</v>
      </c>
      <c r="JB50" s="231">
        <v>25703</v>
      </c>
      <c r="JC50" s="114" t="s">
        <v>530</v>
      </c>
      <c r="JD50" s="321">
        <v>38553</v>
      </c>
      <c r="JE50" s="313"/>
      <c r="JF50" s="313"/>
      <c r="JG50" s="122">
        <v>43083</v>
      </c>
      <c r="JH50" s="231">
        <v>17382</v>
      </c>
      <c r="JI50" s="315"/>
      <c r="JJ50" s="314"/>
      <c r="JK50" s="316">
        <v>43333</v>
      </c>
      <c r="JL50" s="323">
        <v>39789</v>
      </c>
      <c r="JM50" s="301"/>
      <c r="JN50" s="301"/>
      <c r="JO50" s="236">
        <v>42822</v>
      </c>
      <c r="JP50" s="291"/>
      <c r="JQ50" s="269"/>
      <c r="JR50" s="269"/>
      <c r="JS50" s="269"/>
      <c r="JT50" s="269"/>
      <c r="JU50" s="231">
        <v>20368</v>
      </c>
      <c r="JV50" s="315"/>
      <c r="JW50" s="114"/>
      <c r="JX50" s="315"/>
      <c r="JY50" s="315"/>
      <c r="JZ50" s="114"/>
    </row>
    <row r="51" spans="1:286" ht="15" customHeight="1">
      <c r="A51" s="98" t="s">
        <v>279</v>
      </c>
      <c r="B51" s="98" t="s">
        <v>974</v>
      </c>
      <c r="C51" s="54" t="s">
        <v>39</v>
      </c>
      <c r="D51" s="54" t="s">
        <v>114</v>
      </c>
      <c r="E51" s="54">
        <v>2016</v>
      </c>
      <c r="F51" s="54" t="s">
        <v>160</v>
      </c>
      <c r="G51" s="54" t="s">
        <v>379</v>
      </c>
      <c r="H51" s="54" t="s">
        <v>643</v>
      </c>
      <c r="I51" s="54" t="s">
        <v>173</v>
      </c>
      <c r="J51" s="54" t="s">
        <v>120</v>
      </c>
      <c r="K51" s="54"/>
      <c r="L51" s="206"/>
      <c r="M51" s="166" t="s">
        <v>60</v>
      </c>
      <c r="N51" s="167" t="s">
        <v>138</v>
      </c>
      <c r="O51" s="168"/>
      <c r="P51" s="212">
        <v>3126</v>
      </c>
      <c r="Q51" s="212">
        <f>R51</f>
        <v>268450</v>
      </c>
      <c r="R51" s="212">
        <v>268450</v>
      </c>
      <c r="S51" s="207">
        <f t="shared" si="243"/>
        <v>8948.3333333333339</v>
      </c>
      <c r="T51" s="212">
        <f t="shared" si="185"/>
        <v>85.876519513755596</v>
      </c>
      <c r="U51" s="213">
        <f t="shared" si="186"/>
        <v>85.876519513755596</v>
      </c>
      <c r="V51" s="213">
        <f t="shared" si="187"/>
        <v>100.22812211813815</v>
      </c>
      <c r="W51" s="213">
        <f t="shared" si="188"/>
        <v>8948.3333333333339</v>
      </c>
      <c r="X51" s="207">
        <f t="shared" si="189"/>
        <v>104.2</v>
      </c>
      <c r="Y51" s="214">
        <v>1264.3499999999999</v>
      </c>
      <c r="Z51" s="906">
        <f t="shared" si="51"/>
        <v>95.969289827255281</v>
      </c>
      <c r="AA51" s="214"/>
      <c r="AB51" s="218">
        <v>100</v>
      </c>
      <c r="AC51" s="215"/>
      <c r="AD51" s="54" t="s">
        <v>15</v>
      </c>
      <c r="AE51" s="771">
        <f t="shared" si="190"/>
        <v>30</v>
      </c>
      <c r="AF51" s="771">
        <f t="shared" si="191"/>
        <v>30</v>
      </c>
      <c r="AG51" s="54">
        <v>30</v>
      </c>
      <c r="AH51" s="257"/>
      <c r="AI51" s="257"/>
      <c r="AJ51" s="257"/>
      <c r="AK51" s="269"/>
      <c r="AL51" s="58">
        <v>2596.9</v>
      </c>
      <c r="AM51" s="58"/>
      <c r="AN51" s="417">
        <v>2678.39</v>
      </c>
      <c r="AO51" s="9">
        <f t="shared" si="236"/>
        <v>89.279666666666657</v>
      </c>
      <c r="AP51" s="60">
        <v>0</v>
      </c>
      <c r="AQ51" s="60">
        <v>0</v>
      </c>
      <c r="AR51" s="79">
        <f>16/AE51</f>
        <v>0.53333333333333333</v>
      </c>
      <c r="AS51" s="79">
        <f>12/AE51</f>
        <v>0.4</v>
      </c>
      <c r="AT51" s="79">
        <f>2/AE51</f>
        <v>6.6666666666666666E-2</v>
      </c>
      <c r="AU51" s="58"/>
      <c r="AV51" s="77">
        <v>0</v>
      </c>
      <c r="AW51" s="79">
        <f>AV51/P51</f>
        <v>0</v>
      </c>
      <c r="AX51" s="58">
        <v>3</v>
      </c>
      <c r="AY51" s="56" t="s">
        <v>549</v>
      </c>
      <c r="AZ51" s="54" t="s">
        <v>120</v>
      </c>
      <c r="BA51" s="54"/>
      <c r="BB51" s="54"/>
      <c r="BC51" s="54"/>
      <c r="BD51" s="239">
        <v>41667</v>
      </c>
      <c r="BE51" s="239">
        <v>41787</v>
      </c>
      <c r="BF51" s="110" t="s">
        <v>12</v>
      </c>
      <c r="BG51" s="110" t="s">
        <v>236</v>
      </c>
      <c r="BH51" s="97" t="s">
        <v>168</v>
      </c>
      <c r="BI51" s="204">
        <v>42601</v>
      </c>
      <c r="BJ51" s="99">
        <v>42626</v>
      </c>
      <c r="BK51" s="192" t="s">
        <v>328</v>
      </c>
      <c r="BL51" s="205" t="s">
        <v>415</v>
      </c>
      <c r="BM51" s="99">
        <v>42627</v>
      </c>
      <c r="BN51" s="160">
        <v>41932</v>
      </c>
      <c r="BO51" s="424">
        <v>42027</v>
      </c>
      <c r="BP51" s="164">
        <v>42117</v>
      </c>
      <c r="BQ51" s="164">
        <v>42074</v>
      </c>
      <c r="BR51" s="298">
        <v>42027</v>
      </c>
      <c r="BS51" s="298">
        <f>DATE(YEAR(BR51),MONTH(BR51)+36,DAY(BR51))</f>
        <v>43123</v>
      </c>
      <c r="BT51" s="298">
        <f>DATE(YEAR(BS51),MONTH(BS51)+12,DAY(BS51))</f>
        <v>43488</v>
      </c>
      <c r="BU51" s="298"/>
      <c r="BV51" s="298" t="str">
        <f>IF(FK51&gt;BT51,"oui","non")</f>
        <v>non</v>
      </c>
      <c r="BW51" s="672">
        <f t="shared" si="195"/>
        <v>4</v>
      </c>
      <c r="BX51" s="672">
        <f t="shared" si="196"/>
        <v>69774.294047676667</v>
      </c>
      <c r="BY51" s="672">
        <f t="shared" si="197"/>
        <v>0</v>
      </c>
      <c r="BZ51" s="828" t="s">
        <v>128</v>
      </c>
      <c r="CA51" s="817" t="s">
        <v>281</v>
      </c>
      <c r="CB51" s="830" t="s">
        <v>327</v>
      </c>
      <c r="CC51" s="830"/>
      <c r="CD51" s="830"/>
      <c r="CE51" s="830"/>
      <c r="CF51" s="819"/>
      <c r="CG51" s="819"/>
      <c r="CH51" s="819"/>
      <c r="CI51" s="819"/>
      <c r="CJ51" s="819"/>
      <c r="CK51" s="819"/>
      <c r="CL51" s="819"/>
      <c r="CM51" s="819"/>
      <c r="CN51" s="831"/>
      <c r="CO51" s="819"/>
      <c r="CP51" s="819"/>
      <c r="CQ51" s="819"/>
      <c r="CR51" s="819"/>
      <c r="CS51" s="156" t="s">
        <v>68</v>
      </c>
      <c r="CT51" s="307">
        <v>42719</v>
      </c>
      <c r="CU51" s="250" t="s">
        <v>540</v>
      </c>
      <c r="CV51" s="158">
        <v>4997938.95</v>
      </c>
      <c r="CW51" s="581">
        <f>DATE(YEAR(CT51),MONTH(CT51)+18,DAY(CT51))</f>
        <v>43266</v>
      </c>
      <c r="CX51" s="405">
        <f>DATE(YEAR(CT51),MONTH(CT51)+24,DAY(CT51))</f>
        <v>43449</v>
      </c>
      <c r="CY51" s="340">
        <v>42934</v>
      </c>
      <c r="CZ51" s="256">
        <v>43235</v>
      </c>
      <c r="DA51" s="597">
        <f>(FK51-CZ51)/30</f>
        <v>3.5666666666666669</v>
      </c>
      <c r="DB51" s="122">
        <v>41548</v>
      </c>
      <c r="DC51" s="122">
        <v>41549</v>
      </c>
      <c r="DD51" s="122">
        <v>41564</v>
      </c>
      <c r="DE51" s="523">
        <f t="shared" si="198"/>
        <v>15</v>
      </c>
      <c r="DF51" s="122">
        <v>41679</v>
      </c>
      <c r="DG51" s="122">
        <v>41674</v>
      </c>
      <c r="DH51" s="523">
        <f t="shared" si="199"/>
        <v>-5</v>
      </c>
      <c r="DI51" s="122">
        <v>41679</v>
      </c>
      <c r="DJ51" s="122">
        <v>41697</v>
      </c>
      <c r="DK51" s="523">
        <f t="shared" si="200"/>
        <v>18</v>
      </c>
      <c r="DL51" s="122">
        <v>41753</v>
      </c>
      <c r="DM51" s="122">
        <v>41824</v>
      </c>
      <c r="DN51" s="523">
        <f t="shared" si="201"/>
        <v>71</v>
      </c>
      <c r="DO51" s="122">
        <v>41880</v>
      </c>
      <c r="DP51" s="122">
        <v>41920</v>
      </c>
      <c r="DQ51" s="550">
        <f t="shared" si="202"/>
        <v>40</v>
      </c>
      <c r="DR51" s="79"/>
      <c r="DS51" s="122">
        <v>42055</v>
      </c>
      <c r="DT51" s="122">
        <v>42177</v>
      </c>
      <c r="DU51" s="122">
        <v>42780</v>
      </c>
      <c r="DV51" s="550">
        <f t="shared" si="203"/>
        <v>603</v>
      </c>
      <c r="DW51" s="122">
        <v>42781</v>
      </c>
      <c r="DX51" s="758">
        <v>42780</v>
      </c>
      <c r="DY51" s="343">
        <v>2017</v>
      </c>
      <c r="DZ51" s="444">
        <f t="shared" si="204"/>
        <v>5.9666666666666668</v>
      </c>
      <c r="EA51" s="550">
        <f t="shared" si="205"/>
        <v>-1</v>
      </c>
      <c r="EB51" s="240">
        <v>16</v>
      </c>
      <c r="EC51" s="116">
        <f t="shared" si="206"/>
        <v>17</v>
      </c>
      <c r="ED51" s="122">
        <v>42844</v>
      </c>
      <c r="EE51" s="122">
        <v>42844</v>
      </c>
      <c r="EF51" s="550">
        <f t="shared" si="207"/>
        <v>0</v>
      </c>
      <c r="EG51" s="122">
        <v>42916</v>
      </c>
      <c r="EH51" s="567">
        <v>42936</v>
      </c>
      <c r="EI51" s="568">
        <f t="shared" si="208"/>
        <v>20</v>
      </c>
      <c r="EJ51" s="122">
        <v>43124</v>
      </c>
      <c r="EK51" s="567">
        <v>43084</v>
      </c>
      <c r="EL51" s="523">
        <f t="shared" si="209"/>
        <v>-40</v>
      </c>
      <c r="EM51" s="533">
        <v>43182</v>
      </c>
      <c r="EN51" s="533">
        <f t="shared" ca="1" si="245"/>
        <v>43423</v>
      </c>
      <c r="EO51" s="529">
        <f t="shared" ca="1" si="210"/>
        <v>241</v>
      </c>
      <c r="EP51" s="623">
        <v>43161</v>
      </c>
      <c r="EQ51" s="538"/>
      <c r="ER51" s="685" t="str">
        <f t="shared" si="211"/>
        <v>0</v>
      </c>
      <c r="ES51" s="315">
        <v>43180</v>
      </c>
      <c r="ET51" s="315">
        <f t="shared" ca="1" si="241"/>
        <v>43423</v>
      </c>
      <c r="EU51" s="685">
        <f t="shared" ca="1" si="212"/>
        <v>243</v>
      </c>
      <c r="EV51" s="315">
        <v>43196</v>
      </c>
      <c r="EW51" s="315">
        <f t="shared" ca="1" si="242"/>
        <v>43423</v>
      </c>
      <c r="EX51" s="685">
        <f t="shared" ca="1" si="213"/>
        <v>227</v>
      </c>
      <c r="EY51" s="315">
        <v>43208</v>
      </c>
      <c r="EZ51" s="315">
        <v>43209</v>
      </c>
      <c r="FA51" s="315">
        <v>43220</v>
      </c>
      <c r="FB51" s="601">
        <f t="shared" si="214"/>
        <v>43265</v>
      </c>
      <c r="FC51" s="349">
        <v>43320</v>
      </c>
      <c r="FD51" s="798">
        <f t="shared" si="215"/>
        <v>1.8333333333333333</v>
      </c>
      <c r="FE51" s="455">
        <f t="shared" si="216"/>
        <v>43664</v>
      </c>
      <c r="FF51" s="115">
        <v>43318</v>
      </c>
      <c r="FG51" s="235">
        <v>42887</v>
      </c>
      <c r="FH51" s="115">
        <v>43328</v>
      </c>
      <c r="FI51" s="455" t="s">
        <v>826</v>
      </c>
      <c r="FJ51" s="784">
        <f>DATE(YEAR(FB51),MONTH(FB51),DAY(FB51)+15)</f>
        <v>43280</v>
      </c>
      <c r="FK51" s="349">
        <v>43342</v>
      </c>
      <c r="FL51" s="441">
        <v>2018</v>
      </c>
      <c r="FM51" s="794">
        <f t="shared" si="217"/>
        <v>2.0666666666666669</v>
      </c>
      <c r="FN51" s="694">
        <f>209322.88214303/12</f>
        <v>17443.573511919167</v>
      </c>
      <c r="FO51" s="810">
        <f t="shared" si="218"/>
        <v>36050.05192463295</v>
      </c>
      <c r="FP51" s="117">
        <v>43321</v>
      </c>
      <c r="FQ51" s="556">
        <v>0</v>
      </c>
      <c r="FR51" s="556">
        <v>0</v>
      </c>
      <c r="FS51" s="556">
        <f>310011*1.021</f>
        <v>316521.23099999997</v>
      </c>
      <c r="FT51" s="556"/>
      <c r="FU51" s="556">
        <v>0</v>
      </c>
      <c r="FV51" s="749">
        <f t="shared" si="237"/>
        <v>0</v>
      </c>
      <c r="FW51" s="553" t="s">
        <v>706</v>
      </c>
      <c r="FX51" s="650" t="s">
        <v>809</v>
      </c>
      <c r="FY51" s="650" t="s">
        <v>820</v>
      </c>
      <c r="FZ51" s="650" t="s">
        <v>778</v>
      </c>
      <c r="GA51" s="123"/>
      <c r="GB51" s="123"/>
      <c r="GC51" s="123"/>
      <c r="GD51" s="123"/>
      <c r="GE51" s="123"/>
      <c r="GF51" s="54"/>
      <c r="GG51" s="280">
        <f t="shared" si="219"/>
        <v>43685</v>
      </c>
      <c r="GH51" s="280"/>
      <c r="GI51" s="54"/>
      <c r="GJ51" s="316">
        <v>43410</v>
      </c>
      <c r="GK51" s="54"/>
      <c r="GL51" s="54"/>
      <c r="GM51" s="54"/>
      <c r="GN51" s="54"/>
      <c r="GO51" s="54"/>
      <c r="GP51" s="54"/>
      <c r="GQ51" s="113"/>
      <c r="GR51" s="54"/>
      <c r="GS51" s="54"/>
      <c r="GT51" s="54"/>
      <c r="GU51" s="54"/>
      <c r="GV51" s="112"/>
      <c r="GW51" s="112"/>
      <c r="GX51" s="287">
        <f>+HI51+HN51+HU51+IO51</f>
        <v>5088523.3381183296</v>
      </c>
      <c r="GY51" s="67">
        <f t="shared" si="220"/>
        <v>5227844.2</v>
      </c>
      <c r="GZ51" s="797">
        <f t="shared" si="221"/>
        <v>5227844.2</v>
      </c>
      <c r="HA51" s="46">
        <f t="shared" si="246"/>
        <v>139320.86188167054</v>
      </c>
      <c r="HB51" s="49">
        <f t="shared" si="222"/>
        <v>2013.1095536986406</v>
      </c>
      <c r="HC51" s="49">
        <f t="shared" si="223"/>
        <v>174261.47333333333</v>
      </c>
      <c r="HD51" s="287">
        <v>4413122.1526051881</v>
      </c>
      <c r="HE51" s="72">
        <v>4142334</v>
      </c>
      <c r="HF51" s="46">
        <f t="shared" si="224"/>
        <v>-270788.15260518808</v>
      </c>
      <c r="HG51" s="127">
        <f t="shared" si="225"/>
        <v>0.80899943689982179</v>
      </c>
      <c r="HH51" s="128"/>
      <c r="HI51" s="287">
        <v>1541342.2781183291</v>
      </c>
      <c r="HJ51" s="427">
        <v>1638956.14</v>
      </c>
      <c r="HK51" s="642"/>
      <c r="HL51" s="23">
        <f t="shared" si="226"/>
        <v>54631.871333333329</v>
      </c>
      <c r="HM51" s="38">
        <f t="shared" si="238"/>
        <v>97613.861881670775</v>
      </c>
      <c r="HN51" s="22">
        <f>HO51</f>
        <v>3296474.06</v>
      </c>
      <c r="HO51" s="427">
        <f>HP51+HQ51</f>
        <v>3296474.06</v>
      </c>
      <c r="HP51" s="293">
        <v>618601</v>
      </c>
      <c r="HQ51" s="13">
        <v>2677873.06</v>
      </c>
      <c r="HR51" s="38">
        <f t="shared" si="239"/>
        <v>0</v>
      </c>
      <c r="HS51" s="629">
        <f t="shared" si="227"/>
        <v>109882.46866666667</v>
      </c>
      <c r="HT51" s="72">
        <v>0</v>
      </c>
      <c r="HU51" s="287">
        <v>250707</v>
      </c>
      <c r="HV51" s="11">
        <v>280000</v>
      </c>
      <c r="HW51" s="72">
        <v>0</v>
      </c>
      <c r="HX51" s="40">
        <f t="shared" si="228"/>
        <v>5.3559362002410092E-2</v>
      </c>
      <c r="HY51" s="303"/>
      <c r="HZ51" s="72">
        <v>12414</v>
      </c>
      <c r="IA51" s="21">
        <f t="shared" si="229"/>
        <v>29293</v>
      </c>
      <c r="IB51" s="47">
        <f t="shared" si="230"/>
        <v>9333.3333333333339</v>
      </c>
      <c r="IC51" s="81">
        <f t="shared" si="231"/>
        <v>63965.204666666665</v>
      </c>
      <c r="ID51" s="21">
        <f t="shared" si="247"/>
        <v>976.43333333333328</v>
      </c>
      <c r="IE51" s="48">
        <v>6.39</v>
      </c>
      <c r="IF51" s="48">
        <v>5.75</v>
      </c>
      <c r="IG51" s="430">
        <v>0</v>
      </c>
      <c r="IH51" s="430">
        <v>0</v>
      </c>
      <c r="II51" s="47">
        <f>(HJ51+HV51+IH51)/AE51</f>
        <v>63965.204666666665</v>
      </c>
      <c r="IJ51" s="430">
        <v>0</v>
      </c>
      <c r="IK51" s="47">
        <f t="shared" si="244"/>
        <v>63965.204666666665</v>
      </c>
      <c r="IL51" s="50">
        <f>(HJ51+HV51+IH51+IJ51)/(IG51+GY51-IM51)</f>
        <v>0.37905933929335955</v>
      </c>
      <c r="IM51" s="430">
        <v>165428</v>
      </c>
      <c r="IN51" s="430"/>
      <c r="IO51" s="427">
        <f t="shared" si="233"/>
        <v>0</v>
      </c>
      <c r="IP51" s="41">
        <f>GY51+IG51</f>
        <v>5227844.2</v>
      </c>
      <c r="IQ51" s="277">
        <v>265886</v>
      </c>
      <c r="IR51" s="277">
        <f>IT51+IV51+IX51+IZ51+JB51+JD51+JF51+JH51+JJ51+JL51+JN51+JP51+JR51+JT51+JV51+JX51+JZ51+JR51</f>
        <v>262429</v>
      </c>
      <c r="IS51" s="122"/>
      <c r="IT51" s="231">
        <v>24456</v>
      </c>
      <c r="IU51" s="231"/>
      <c r="IV51" s="113"/>
      <c r="IW51" s="113">
        <v>41697</v>
      </c>
      <c r="IX51" s="231">
        <v>12815</v>
      </c>
      <c r="IY51" s="113">
        <v>41676</v>
      </c>
      <c r="IZ51" s="231">
        <v>26808</v>
      </c>
      <c r="JA51" s="113">
        <v>41815</v>
      </c>
      <c r="JB51" s="231">
        <v>27980</v>
      </c>
      <c r="JC51" s="114">
        <v>41942</v>
      </c>
      <c r="JD51" s="321">
        <v>39455</v>
      </c>
      <c r="JE51" s="313"/>
      <c r="JF51" s="313"/>
      <c r="JG51" s="122" t="s">
        <v>503</v>
      </c>
      <c r="JH51" s="231"/>
      <c r="JI51" s="122">
        <v>42726</v>
      </c>
      <c r="JJ51" s="231">
        <v>41091</v>
      </c>
      <c r="JK51" s="316">
        <v>42929</v>
      </c>
      <c r="JL51" s="323">
        <v>12636</v>
      </c>
      <c r="JM51" s="113">
        <v>43006</v>
      </c>
      <c r="JN51" s="114">
        <v>12634</v>
      </c>
      <c r="JO51" s="113">
        <v>43080</v>
      </c>
      <c r="JP51" s="114">
        <v>9678</v>
      </c>
      <c r="JQ51" s="618" t="s">
        <v>783</v>
      </c>
      <c r="JR51" s="114">
        <f>8422+8423</f>
        <v>16845</v>
      </c>
      <c r="JS51" s="618" t="s">
        <v>792</v>
      </c>
      <c r="JT51" s="114">
        <f>12634+660</f>
        <v>13294</v>
      </c>
      <c r="JU51" s="618">
        <v>43325</v>
      </c>
      <c r="JV51" s="114">
        <v>7892</v>
      </c>
      <c r="JW51" s="53"/>
      <c r="JX51" s="121"/>
      <c r="JY51" s="121"/>
      <c r="JZ51" s="53"/>
    </row>
    <row r="52" spans="1:286" ht="15" customHeight="1">
      <c r="A52" s="86" t="s">
        <v>947</v>
      </c>
      <c r="B52" s="86"/>
      <c r="C52" s="53" t="s">
        <v>102</v>
      </c>
      <c r="D52" s="53" t="s">
        <v>114</v>
      </c>
      <c r="E52" s="53">
        <v>2017</v>
      </c>
      <c r="F52" s="53" t="s">
        <v>544</v>
      </c>
      <c r="G52" s="53" t="s">
        <v>378</v>
      </c>
      <c r="H52" s="53" t="s">
        <v>610</v>
      </c>
      <c r="I52" s="53" t="s">
        <v>173</v>
      </c>
      <c r="J52" s="53"/>
      <c r="K52" s="53" t="s">
        <v>426</v>
      </c>
      <c r="L52" s="255"/>
      <c r="M52" s="166"/>
      <c r="N52" s="167"/>
      <c r="O52" s="168"/>
      <c r="P52" s="207">
        <v>3474</v>
      </c>
      <c r="Q52" s="207">
        <v>1</v>
      </c>
      <c r="R52" s="207"/>
      <c r="S52" s="207">
        <f t="shared" si="243"/>
        <v>5.0000000000000001E-3</v>
      </c>
      <c r="T52" s="207">
        <f t="shared" si="185"/>
        <v>2.878526194588371E-4</v>
      </c>
      <c r="U52" s="213">
        <f t="shared" si="186"/>
        <v>0</v>
      </c>
      <c r="V52" s="213">
        <f t="shared" si="187"/>
        <v>0</v>
      </c>
      <c r="W52" s="213">
        <f t="shared" si="188"/>
        <v>0</v>
      </c>
      <c r="X52" s="207">
        <f t="shared" si="189"/>
        <v>17.37</v>
      </c>
      <c r="Y52" s="208"/>
      <c r="Z52" s="904">
        <f t="shared" si="51"/>
        <v>575.70523891767414</v>
      </c>
      <c r="AA52" s="208"/>
      <c r="AB52" s="208">
        <v>70</v>
      </c>
      <c r="AC52" s="209"/>
      <c r="AD52" s="53" t="s">
        <v>425</v>
      </c>
      <c r="AE52" s="771">
        <f t="shared" si="190"/>
        <v>200</v>
      </c>
      <c r="AF52" s="771">
        <f t="shared" si="191"/>
        <v>200</v>
      </c>
      <c r="AG52" s="64"/>
      <c r="AH52" s="114"/>
      <c r="AI52" s="53">
        <v>200</v>
      </c>
      <c r="AJ52" s="114"/>
      <c r="AK52" s="269">
        <v>3391.22</v>
      </c>
      <c r="AL52" s="57">
        <v>4327.3599999999997</v>
      </c>
      <c r="AM52" s="57">
        <v>4050.95</v>
      </c>
      <c r="AN52" s="225">
        <v>4050.95</v>
      </c>
      <c r="AO52" s="9">
        <f t="shared" si="236"/>
        <v>20.254749999999998</v>
      </c>
      <c r="AP52" s="78"/>
      <c r="AQ52" s="78"/>
      <c r="AR52" s="78"/>
      <c r="AS52" s="78"/>
      <c r="AT52" s="78"/>
      <c r="AU52" s="57"/>
      <c r="AV52" s="182"/>
      <c r="AW52" s="107"/>
      <c r="AX52" s="57"/>
      <c r="AY52" s="56" t="s">
        <v>549</v>
      </c>
      <c r="AZ52" s="53" t="s">
        <v>120</v>
      </c>
      <c r="BA52" s="59">
        <v>10739152</v>
      </c>
      <c r="BB52" s="803">
        <f>BA52/AN52</f>
        <v>2651.0206247917158</v>
      </c>
      <c r="BC52" s="53"/>
      <c r="BD52" s="53"/>
      <c r="BE52" s="53"/>
      <c r="BF52" s="110"/>
      <c r="BG52" s="110"/>
      <c r="BH52" s="97"/>
      <c r="BI52" s="204">
        <v>43024</v>
      </c>
      <c r="BJ52" s="99"/>
      <c r="BK52" s="99"/>
      <c r="BL52" s="204"/>
      <c r="BM52" s="99"/>
      <c r="BN52" s="160"/>
      <c r="BO52" s="202"/>
      <c r="BP52" s="161"/>
      <c r="BQ52" s="161"/>
      <c r="BR52" s="299">
        <f t="shared" ref="BR52:BR62" si="248">BO52</f>
        <v>0</v>
      </c>
      <c r="BS52" s="298">
        <f t="shared" ref="BS52:BS62" si="249">DATE(YEAR(BR52),MONTH(BR52)+24,DAY(BR52))</f>
        <v>731</v>
      </c>
      <c r="BT52" s="298">
        <f t="shared" ref="BT52:BT62" si="250">DATE(YEAR(BR52),MONTH(BR52)+36,DAY(BR52))</f>
        <v>1096</v>
      </c>
      <c r="BU52" s="298"/>
      <c r="BV52" s="298" t="str">
        <f t="shared" ref="BV52:BV60" si="251">IF(FK52&gt;BS52,"oui","non")</f>
        <v>oui</v>
      </c>
      <c r="BW52" s="672" t="e">
        <f t="shared" si="195"/>
        <v>#NUM!</v>
      </c>
      <c r="BX52" s="672" t="e">
        <f t="shared" si="196"/>
        <v>#NUM!</v>
      </c>
      <c r="BY52" s="672" t="e">
        <f t="shared" si="197"/>
        <v>#NUM!</v>
      </c>
      <c r="BZ52" s="828"/>
      <c r="CA52" s="832"/>
      <c r="CB52" s="826"/>
      <c r="CC52" s="826"/>
      <c r="CD52" s="826"/>
      <c r="CE52" s="826"/>
      <c r="CF52" s="819"/>
      <c r="CG52" s="819"/>
      <c r="CH52" s="819"/>
      <c r="CI52" s="819"/>
      <c r="CJ52" s="819"/>
      <c r="CK52" s="819"/>
      <c r="CL52" s="819"/>
      <c r="CM52" s="819"/>
      <c r="CN52" s="819"/>
      <c r="CO52" s="819"/>
      <c r="CP52" s="819"/>
      <c r="CQ52" s="819"/>
      <c r="CR52" s="819"/>
      <c r="CS52" s="159"/>
      <c r="CT52" s="581">
        <v>43182</v>
      </c>
      <c r="CU52" s="250"/>
      <c r="CV52" s="158"/>
      <c r="CW52" s="163"/>
      <c r="CX52" s="250"/>
      <c r="CY52" s="250"/>
      <c r="CZ52" s="250">
        <v>43693</v>
      </c>
      <c r="DA52" s="597">
        <f>(FK52-CZ52)/30</f>
        <v>0</v>
      </c>
      <c r="DB52" s="434"/>
      <c r="DC52" s="122"/>
      <c r="DD52" s="122"/>
      <c r="DE52" s="523" t="str">
        <f t="shared" si="198"/>
        <v>0</v>
      </c>
      <c r="DF52" s="122">
        <v>42772</v>
      </c>
      <c r="DG52" s="122">
        <v>42871</v>
      </c>
      <c r="DH52" s="523">
        <f t="shared" si="199"/>
        <v>99</v>
      </c>
      <c r="DI52" s="315"/>
      <c r="DJ52" s="315"/>
      <c r="DK52" s="523" t="str">
        <f t="shared" si="200"/>
        <v>0</v>
      </c>
      <c r="DL52" s="122"/>
      <c r="DM52" s="122"/>
      <c r="DN52" s="523" t="str">
        <f t="shared" si="201"/>
        <v>0</v>
      </c>
      <c r="DO52" s="122"/>
      <c r="DP52" s="122"/>
      <c r="DQ52" s="523" t="str">
        <f t="shared" si="202"/>
        <v>0</v>
      </c>
      <c r="DR52" s="451"/>
      <c r="DS52" s="435"/>
      <c r="DT52" s="315">
        <v>42887</v>
      </c>
      <c r="DU52" s="122">
        <v>43096</v>
      </c>
      <c r="DV52" s="523">
        <f t="shared" si="203"/>
        <v>209</v>
      </c>
      <c r="DW52" s="315">
        <v>42901</v>
      </c>
      <c r="DX52" s="440">
        <v>43091</v>
      </c>
      <c r="DY52" s="441">
        <v>2017</v>
      </c>
      <c r="DZ52" s="447">
        <f t="shared" si="204"/>
        <v>2.2333333333333334</v>
      </c>
      <c r="EA52" s="523">
        <f t="shared" si="205"/>
        <v>190</v>
      </c>
      <c r="EB52" s="254">
        <v>18</v>
      </c>
      <c r="EC52" s="116">
        <f t="shared" si="206"/>
        <v>18</v>
      </c>
      <c r="ED52" s="434"/>
      <c r="EE52" s="122">
        <v>43167</v>
      </c>
      <c r="EF52" s="523" t="str">
        <f t="shared" si="207"/>
        <v>0</v>
      </c>
      <c r="EG52" s="434"/>
      <c r="EH52" s="567">
        <v>39599</v>
      </c>
      <c r="EI52" s="526" t="str">
        <f t="shared" si="208"/>
        <v>0</v>
      </c>
      <c r="EJ52" s="533"/>
      <c r="EK52" s="551">
        <f ca="1">IF(EJ52&lt;TODAY(),TODAY(),EJ52)</f>
        <v>43423</v>
      </c>
      <c r="EL52" s="529" t="str">
        <f t="shared" ca="1" si="209"/>
        <v>0</v>
      </c>
      <c r="EM52" s="533"/>
      <c r="EN52" s="533">
        <f t="shared" ca="1" si="245"/>
        <v>43423</v>
      </c>
      <c r="EO52" s="529" t="str">
        <f t="shared" ca="1" si="210"/>
        <v>0</v>
      </c>
      <c r="EP52" s="533"/>
      <c r="EQ52" s="533">
        <f ca="1">IF(EP52&lt;TODAY(),TODAY(),EP52)</f>
        <v>43423</v>
      </c>
      <c r="ER52" s="529" t="str">
        <f t="shared" ca="1" si="211"/>
        <v>0</v>
      </c>
      <c r="ES52" s="533"/>
      <c r="ET52" s="533">
        <f t="shared" ca="1" si="241"/>
        <v>43423</v>
      </c>
      <c r="EU52" s="529" t="str">
        <f t="shared" ca="1" si="212"/>
        <v>0</v>
      </c>
      <c r="EV52" s="533"/>
      <c r="EW52" s="533">
        <f t="shared" ca="1" si="242"/>
        <v>43423</v>
      </c>
      <c r="EX52" s="529" t="str">
        <f t="shared" ca="1" si="213"/>
        <v>0</v>
      </c>
      <c r="EY52" s="533"/>
      <c r="EZ52" s="533"/>
      <c r="FA52" s="533"/>
      <c r="FB52" s="731">
        <f t="shared" si="214"/>
        <v>43638</v>
      </c>
      <c r="FC52" s="730">
        <f>DATE(YEAR(DX52),MONTH(DX52)+EB52,DAY(DX52))</f>
        <v>43638</v>
      </c>
      <c r="FD52" s="726">
        <f t="shared" si="215"/>
        <v>0</v>
      </c>
      <c r="FE52" s="573">
        <f t="shared" si="216"/>
        <v>731</v>
      </c>
      <c r="FF52" s="242"/>
      <c r="FG52" s="242"/>
      <c r="FH52" s="186">
        <f>DATE(YEAR(FC52),MONTH(FC52)+1,DAY(FC52))</f>
        <v>43668</v>
      </c>
      <c r="FI52" s="461"/>
      <c r="FJ52" s="571">
        <f t="shared" ref="FJ52:FJ62" si="252">DATE(YEAR(FB52),MONTH(FB52)+1,DAY(FB52))</f>
        <v>43668</v>
      </c>
      <c r="FK52" s="730">
        <v>43693</v>
      </c>
      <c r="FL52" s="574"/>
      <c r="FM52" s="723">
        <f t="shared" si="217"/>
        <v>0.83333333333333337</v>
      </c>
      <c r="FN52" s="700"/>
      <c r="FO52" s="246">
        <f t="shared" si="218"/>
        <v>0</v>
      </c>
      <c r="FP52" s="117"/>
      <c r="FQ52" s="556">
        <v>0</v>
      </c>
      <c r="FR52" s="556">
        <v>0</v>
      </c>
      <c r="FS52" s="556"/>
      <c r="FT52" s="556"/>
      <c r="FU52" s="556"/>
      <c r="FV52" s="749">
        <f t="shared" si="237"/>
        <v>0</v>
      </c>
      <c r="FW52" s="553"/>
      <c r="FX52" s="566"/>
      <c r="FY52" s="553"/>
      <c r="FZ52" s="553"/>
      <c r="GA52" s="121"/>
      <c r="GB52" s="121"/>
      <c r="GC52" s="121"/>
      <c r="GD52" s="121"/>
      <c r="GE52" s="121"/>
      <c r="GF52" s="53"/>
      <c r="GG52" s="280">
        <f t="shared" si="219"/>
        <v>44004</v>
      </c>
      <c r="GH52" s="280"/>
      <c r="GI52" s="53"/>
      <c r="GJ52" s="53"/>
      <c r="GK52" s="53"/>
      <c r="GL52" s="53"/>
      <c r="GM52" s="53"/>
      <c r="GN52" s="53"/>
      <c r="GO52" s="53"/>
      <c r="GP52" s="53"/>
      <c r="GQ52" s="53"/>
      <c r="GR52" s="53"/>
      <c r="GS52" s="53"/>
      <c r="GT52" s="53"/>
      <c r="GU52" s="53"/>
      <c r="GV52" s="112"/>
      <c r="GW52" s="112"/>
      <c r="GX52" s="287">
        <f>+HI52+HN52+HU52+IO52+HZ52</f>
        <v>15377280.710000001</v>
      </c>
      <c r="GY52" s="67">
        <f t="shared" si="220"/>
        <v>11616559.710000001</v>
      </c>
      <c r="GZ52" s="797">
        <f t="shared" si="221"/>
        <v>11616559.710000001</v>
      </c>
      <c r="HA52" s="12">
        <f t="shared" si="246"/>
        <v>-3760721</v>
      </c>
      <c r="HB52" s="49">
        <f t="shared" si="222"/>
        <v>2684.4449525807886</v>
      </c>
      <c r="HC52" s="49">
        <f t="shared" si="223"/>
        <v>58082.798550000007</v>
      </c>
      <c r="HD52" s="93"/>
      <c r="HE52" s="67"/>
      <c r="HF52" s="12">
        <f t="shared" si="224"/>
        <v>0</v>
      </c>
      <c r="HG52" s="127">
        <f t="shared" si="225"/>
        <v>0</v>
      </c>
      <c r="HH52" s="128"/>
      <c r="HI52" s="93">
        <v>0</v>
      </c>
      <c r="HJ52" s="11">
        <v>3306813</v>
      </c>
      <c r="HK52" s="642">
        <v>3306813</v>
      </c>
      <c r="HL52" s="23">
        <f t="shared" si="226"/>
        <v>16534.064999999999</v>
      </c>
      <c r="HM52" s="37">
        <f t="shared" si="238"/>
        <v>3306813</v>
      </c>
      <c r="HN52" s="891">
        <v>10921593</v>
      </c>
      <c r="HO52" s="11">
        <v>5854059</v>
      </c>
      <c r="HP52" s="387"/>
      <c r="HQ52" s="388"/>
      <c r="HR52" s="37">
        <f t="shared" si="239"/>
        <v>-5067534</v>
      </c>
      <c r="HS52" s="629">
        <f t="shared" si="227"/>
        <v>29270.294999999998</v>
      </c>
      <c r="HT52" s="387"/>
      <c r="HU52" s="93">
        <v>2000000</v>
      </c>
      <c r="HV52" s="388"/>
      <c r="HW52" s="67"/>
      <c r="HX52" s="40">
        <f t="shared" si="228"/>
        <v>0</v>
      </c>
      <c r="HY52" s="387"/>
      <c r="HZ52" s="67">
        <v>2455687.71</v>
      </c>
      <c r="IA52" s="24">
        <f t="shared" si="229"/>
        <v>-2000000</v>
      </c>
      <c r="IB52" s="23">
        <f t="shared" si="230"/>
        <v>0</v>
      </c>
      <c r="IC52" s="81">
        <f t="shared" si="231"/>
        <v>16534.064999999999</v>
      </c>
      <c r="ID52" s="24">
        <f t="shared" si="247"/>
        <v>-10000</v>
      </c>
      <c r="IE52" s="48"/>
      <c r="IF52" s="48"/>
      <c r="IG52" s="39"/>
      <c r="IH52" s="39"/>
      <c r="II52" s="23">
        <f t="shared" ref="II52:II60" si="253">(HI52+HU52+IH52)/AE52</f>
        <v>10000</v>
      </c>
      <c r="IJ52" s="39"/>
      <c r="IK52" s="23">
        <f t="shared" si="244"/>
        <v>16534.064999999999</v>
      </c>
      <c r="IL52" s="50">
        <f t="shared" ref="IL52:IL60" si="254">(HI52+HU52+IH52+IJ52)/(IG52+GX52-IM52)</f>
        <v>0.13006200756284431</v>
      </c>
      <c r="IM52" s="39"/>
      <c r="IN52" s="39"/>
      <c r="IO52" s="388">
        <f t="shared" si="233"/>
        <v>0</v>
      </c>
      <c r="IP52" s="41">
        <f>GX52+IG52</f>
        <v>15377280.710000001</v>
      </c>
      <c r="IQ52" s="277">
        <v>364819</v>
      </c>
      <c r="IR52" s="277">
        <f>IT52+IV52+IX52+IZ52+JB52+JD52+JF52+JH52+JJ52+JL52+JN52+JP52+JR52+JT52+JV52+JX52+JZ52</f>
        <v>302800</v>
      </c>
      <c r="IS52" s="236"/>
      <c r="IT52" s="330"/>
      <c r="IU52" s="330"/>
      <c r="IV52" s="327"/>
      <c r="IW52" s="113">
        <v>42727</v>
      </c>
      <c r="IX52" s="231">
        <v>51495</v>
      </c>
      <c r="IY52" s="113">
        <v>42895</v>
      </c>
      <c r="IZ52" s="231">
        <v>34330</v>
      </c>
      <c r="JA52" s="113">
        <v>43074</v>
      </c>
      <c r="JB52" s="231">
        <v>41862</v>
      </c>
      <c r="JC52" s="114"/>
      <c r="JD52" s="321"/>
      <c r="JE52" s="313"/>
      <c r="JF52" s="313"/>
      <c r="JG52" s="122"/>
      <c r="JH52" s="231"/>
      <c r="JI52" s="122">
        <v>43092</v>
      </c>
      <c r="JJ52" s="231">
        <v>54723</v>
      </c>
      <c r="JK52" s="618" t="s">
        <v>788</v>
      </c>
      <c r="JL52" s="114">
        <f>36482+43778</f>
        <v>80260</v>
      </c>
      <c r="JM52" s="618" t="s">
        <v>840</v>
      </c>
      <c r="JN52" s="114">
        <f>18241+21889</f>
        <v>40130</v>
      </c>
      <c r="JO52" s="269"/>
      <c r="JP52" s="269"/>
      <c r="JQ52" s="269"/>
      <c r="JR52" s="269"/>
      <c r="JS52" s="269"/>
      <c r="JT52" s="269"/>
      <c r="JU52" s="326">
        <v>34330</v>
      </c>
      <c r="JV52" s="117"/>
      <c r="JW52" s="279"/>
      <c r="JX52" s="117"/>
      <c r="JY52" s="117"/>
      <c r="JZ52" s="279"/>
    </row>
    <row r="53" spans="1:286" ht="15" customHeight="1">
      <c r="A53" s="86" t="s">
        <v>948</v>
      </c>
      <c r="B53" s="86"/>
      <c r="C53" s="53" t="s">
        <v>35</v>
      </c>
      <c r="D53" s="53" t="s">
        <v>112</v>
      </c>
      <c r="E53" s="53">
        <v>2018</v>
      </c>
      <c r="F53" s="53" t="s">
        <v>545</v>
      </c>
      <c r="G53" s="53" t="s">
        <v>378</v>
      </c>
      <c r="H53" s="53" t="s">
        <v>610</v>
      </c>
      <c r="I53" s="53" t="s">
        <v>173</v>
      </c>
      <c r="J53" s="53"/>
      <c r="K53" s="53" t="s">
        <v>427</v>
      </c>
      <c r="L53" s="255"/>
      <c r="M53" s="166"/>
      <c r="N53" s="167"/>
      <c r="O53" s="168"/>
      <c r="P53" s="207">
        <v>1952</v>
      </c>
      <c r="Q53" s="207">
        <v>1</v>
      </c>
      <c r="R53" s="207"/>
      <c r="S53" s="207">
        <f t="shared" si="243"/>
        <v>0.01</v>
      </c>
      <c r="T53" s="207">
        <f t="shared" si="185"/>
        <v>5.1229508196721314E-4</v>
      </c>
      <c r="U53" s="213">
        <f t="shared" si="186"/>
        <v>0</v>
      </c>
      <c r="V53" s="213">
        <f t="shared" si="187"/>
        <v>0</v>
      </c>
      <c r="W53" s="213">
        <f t="shared" si="188"/>
        <v>0</v>
      </c>
      <c r="X53" s="207">
        <f t="shared" si="189"/>
        <v>19.52</v>
      </c>
      <c r="Y53" s="208"/>
      <c r="Z53" s="904">
        <f t="shared" si="51"/>
        <v>512.29508196721315</v>
      </c>
      <c r="AA53" s="208"/>
      <c r="AB53" s="208">
        <v>500</v>
      </c>
      <c r="AC53" s="209"/>
      <c r="AD53" s="53" t="s">
        <v>425</v>
      </c>
      <c r="AE53" s="771">
        <f t="shared" si="190"/>
        <v>100</v>
      </c>
      <c r="AF53" s="771">
        <f t="shared" si="191"/>
        <v>100</v>
      </c>
      <c r="AG53" s="64"/>
      <c r="AH53" s="114"/>
      <c r="AI53" s="53">
        <v>100</v>
      </c>
      <c r="AJ53" s="114"/>
      <c r="AK53" s="269">
        <v>1701.83</v>
      </c>
      <c r="AL53" s="57">
        <v>1868.31</v>
      </c>
      <c r="AM53" s="57">
        <v>1923.47</v>
      </c>
      <c r="AN53" s="225">
        <v>1923.47</v>
      </c>
      <c r="AO53" s="9">
        <f t="shared" si="236"/>
        <v>19.2347</v>
      </c>
      <c r="AP53" s="78"/>
      <c r="AQ53" s="78"/>
      <c r="AR53" s="78"/>
      <c r="AS53" s="78"/>
      <c r="AT53" s="78"/>
      <c r="AU53" s="57"/>
      <c r="AV53" s="182"/>
      <c r="AW53" s="107"/>
      <c r="AX53" s="57"/>
      <c r="AY53" s="56" t="s">
        <v>549</v>
      </c>
      <c r="AZ53" s="53" t="s">
        <v>120</v>
      </c>
      <c r="BA53" s="59">
        <v>5763615</v>
      </c>
      <c r="BB53" s="803">
        <f>BA53/AN53</f>
        <v>2996.467322079367</v>
      </c>
      <c r="BC53" s="53"/>
      <c r="BD53" s="53"/>
      <c r="BE53" s="53"/>
      <c r="BF53" s="110"/>
      <c r="BG53" s="110"/>
      <c r="BH53" s="97"/>
      <c r="BI53" s="204">
        <v>43102</v>
      </c>
      <c r="BJ53" s="99">
        <v>43116</v>
      </c>
      <c r="BK53" s="99"/>
      <c r="BL53" s="204"/>
      <c r="BM53" s="99"/>
      <c r="BN53" s="160">
        <v>43112</v>
      </c>
      <c r="BO53" s="202">
        <v>43144</v>
      </c>
      <c r="BP53" s="161"/>
      <c r="BQ53" s="161">
        <v>43160</v>
      </c>
      <c r="BR53" s="299">
        <f t="shared" si="248"/>
        <v>43144</v>
      </c>
      <c r="BS53" s="298">
        <f t="shared" si="249"/>
        <v>43874</v>
      </c>
      <c r="BT53" s="298">
        <f t="shared" si="250"/>
        <v>44240</v>
      </c>
      <c r="BU53" s="298"/>
      <c r="BV53" s="298" t="str">
        <f t="shared" si="251"/>
        <v>non</v>
      </c>
      <c r="BW53" s="672">
        <f t="shared" si="195"/>
        <v>17</v>
      </c>
      <c r="BX53" s="672">
        <f t="shared" si="196"/>
        <v>0</v>
      </c>
      <c r="BY53" s="672">
        <f t="shared" si="197"/>
        <v>0</v>
      </c>
      <c r="BZ53" s="828" t="s">
        <v>761</v>
      </c>
      <c r="CA53" s="824">
        <v>43163</v>
      </c>
      <c r="CB53" s="826"/>
      <c r="CC53" s="826"/>
      <c r="CD53" s="826"/>
      <c r="CE53" s="826"/>
      <c r="CF53" s="819">
        <v>43178</v>
      </c>
      <c r="CG53" s="819"/>
      <c r="CH53" s="819"/>
      <c r="CI53" s="819"/>
      <c r="CJ53" s="819"/>
      <c r="CK53" s="819"/>
      <c r="CL53" s="819"/>
      <c r="CM53" s="819"/>
      <c r="CN53" s="819"/>
      <c r="CO53" s="819"/>
      <c r="CP53" s="819"/>
      <c r="CQ53" s="819"/>
      <c r="CR53" s="819"/>
      <c r="CS53" s="156"/>
      <c r="CT53" s="163"/>
      <c r="CU53" s="250"/>
      <c r="CV53" s="158"/>
      <c r="CW53" s="163"/>
      <c r="CX53" s="250"/>
      <c r="CY53" s="250"/>
      <c r="CZ53" s="250"/>
      <c r="DA53" s="597">
        <f>(FK53-CZ53)/30</f>
        <v>1456.4333333333334</v>
      </c>
      <c r="DB53" s="540"/>
      <c r="DC53" s="543"/>
      <c r="DD53" s="543"/>
      <c r="DE53" s="545" t="str">
        <f t="shared" si="198"/>
        <v>0</v>
      </c>
      <c r="DF53" s="543">
        <v>42775</v>
      </c>
      <c r="DG53" s="543">
        <v>42871</v>
      </c>
      <c r="DH53" s="545">
        <f t="shared" si="199"/>
        <v>96</v>
      </c>
      <c r="DI53" s="543"/>
      <c r="DJ53" s="543"/>
      <c r="DK53" s="545" t="str">
        <f t="shared" si="200"/>
        <v>0</v>
      </c>
      <c r="DL53" s="543"/>
      <c r="DM53" s="543"/>
      <c r="DN53" s="545" t="str">
        <f t="shared" si="201"/>
        <v>0</v>
      </c>
      <c r="DO53" s="543"/>
      <c r="DP53" s="543"/>
      <c r="DQ53" s="545" t="str">
        <f t="shared" si="202"/>
        <v>0</v>
      </c>
      <c r="DR53" s="451"/>
      <c r="DS53" s="548"/>
      <c r="DT53" s="527"/>
      <c r="DU53" s="533"/>
      <c r="DV53" s="529" t="str">
        <f t="shared" si="203"/>
        <v>0</v>
      </c>
      <c r="DW53" s="527"/>
      <c r="DX53" s="440">
        <v>43168</v>
      </c>
      <c r="DY53" s="341">
        <v>2018</v>
      </c>
      <c r="DZ53" s="443">
        <f t="shared" si="204"/>
        <v>2.2000000000000002</v>
      </c>
      <c r="EA53" s="529" t="str">
        <f t="shared" si="205"/>
        <v>0</v>
      </c>
      <c r="EB53" s="254">
        <v>17</v>
      </c>
      <c r="EC53" s="254">
        <f t="shared" si="206"/>
        <v>17</v>
      </c>
      <c r="ED53" s="527"/>
      <c r="EE53" s="533">
        <f ca="1">IF(ED53&lt;TODAY(),TODAY(),ED53)</f>
        <v>43423</v>
      </c>
      <c r="EF53" s="529" t="str">
        <f t="shared" ca="1" si="207"/>
        <v>0</v>
      </c>
      <c r="EG53" s="527"/>
      <c r="EH53" s="551">
        <f ca="1">IF(EG53&lt;TODAY(),TODAY(),EG53)</f>
        <v>43423</v>
      </c>
      <c r="EI53" s="530" t="str">
        <f t="shared" ca="1" si="208"/>
        <v>0</v>
      </c>
      <c r="EJ53" s="531"/>
      <c r="EK53" s="551">
        <f ca="1">IF(EJ53&lt;TODAY(),TODAY(),EJ53)</f>
        <v>43423</v>
      </c>
      <c r="EL53" s="529" t="str">
        <f t="shared" ca="1" si="209"/>
        <v>0</v>
      </c>
      <c r="EM53" s="533"/>
      <c r="EN53" s="533">
        <f t="shared" ca="1" si="245"/>
        <v>43423</v>
      </c>
      <c r="EO53" s="529" t="str">
        <f t="shared" ca="1" si="210"/>
        <v>0</v>
      </c>
      <c r="EP53" s="533"/>
      <c r="EQ53" s="533">
        <f ca="1">IF(EP53&lt;TODAY(),TODAY(),EP53)</f>
        <v>43423</v>
      </c>
      <c r="ER53" s="529" t="str">
        <f t="shared" ca="1" si="211"/>
        <v>0</v>
      </c>
      <c r="ES53" s="533"/>
      <c r="ET53" s="533">
        <f t="shared" ca="1" si="241"/>
        <v>43423</v>
      </c>
      <c r="EU53" s="529" t="str">
        <f t="shared" ca="1" si="212"/>
        <v>0</v>
      </c>
      <c r="EV53" s="533"/>
      <c r="EW53" s="533">
        <f t="shared" ca="1" si="242"/>
        <v>43423</v>
      </c>
      <c r="EX53" s="529" t="str">
        <f t="shared" ca="1" si="213"/>
        <v>0</v>
      </c>
      <c r="EY53" s="533"/>
      <c r="EZ53" s="533"/>
      <c r="FA53" s="533"/>
      <c r="FB53" s="731">
        <f t="shared" si="214"/>
        <v>43686</v>
      </c>
      <c r="FC53" s="730">
        <f>DATE(YEAR(DX53),MONTH(DX53)+EB53,DAY(DX53))</f>
        <v>43686</v>
      </c>
      <c r="FD53" s="726">
        <f t="shared" si="215"/>
        <v>0</v>
      </c>
      <c r="FE53" s="573">
        <f t="shared" si="216"/>
        <v>731</v>
      </c>
      <c r="FF53" s="242"/>
      <c r="FG53" s="242"/>
      <c r="FH53" s="186">
        <v>43687</v>
      </c>
      <c r="FI53" s="461"/>
      <c r="FJ53" s="571">
        <f t="shared" si="252"/>
        <v>43717</v>
      </c>
      <c r="FK53" s="730">
        <v>43693</v>
      </c>
      <c r="FL53" s="574"/>
      <c r="FM53" s="723">
        <f>(DATEDIF(FK53,FJ53,"d"))/30</f>
        <v>0.8</v>
      </c>
      <c r="FN53" s="700"/>
      <c r="FO53" s="246">
        <f t="shared" si="218"/>
        <v>0</v>
      </c>
      <c r="FP53" s="117"/>
      <c r="FQ53" s="556">
        <v>0</v>
      </c>
      <c r="FR53" s="556">
        <v>0</v>
      </c>
      <c r="FS53" s="556"/>
      <c r="FT53" s="556"/>
      <c r="FU53" s="556"/>
      <c r="FV53" s="749">
        <f t="shared" si="237"/>
        <v>0</v>
      </c>
      <c r="FW53" s="553"/>
      <c r="FX53" s="566"/>
      <c r="FY53" s="566"/>
      <c r="FZ53" s="566" t="s">
        <v>747</v>
      </c>
      <c r="GA53" s="121"/>
      <c r="GB53" s="121"/>
      <c r="GC53" s="121"/>
      <c r="GD53" s="121"/>
      <c r="GE53" s="121"/>
      <c r="GF53" s="53"/>
      <c r="GG53" s="280">
        <f t="shared" si="219"/>
        <v>44052</v>
      </c>
      <c r="GH53" s="280"/>
      <c r="GI53" s="53"/>
      <c r="GJ53" s="53"/>
      <c r="GK53" s="53"/>
      <c r="GL53" s="53"/>
      <c r="GM53" s="53"/>
      <c r="GN53" s="53"/>
      <c r="GO53" s="53"/>
      <c r="GP53" s="53"/>
      <c r="GQ53" s="53"/>
      <c r="GR53" s="53"/>
      <c r="GS53" s="53"/>
      <c r="GT53" s="53"/>
      <c r="GU53" s="53"/>
      <c r="GV53" s="112"/>
      <c r="GW53" s="112"/>
      <c r="GX53" s="93">
        <f>+HI53+HN53+HU53+IO53+HZ53</f>
        <v>6236911</v>
      </c>
      <c r="GY53" s="67">
        <f t="shared" si="220"/>
        <v>6236911</v>
      </c>
      <c r="GZ53" s="67">
        <f t="shared" si="221"/>
        <v>6236911</v>
      </c>
      <c r="HA53" s="12">
        <f t="shared" si="246"/>
        <v>0</v>
      </c>
      <c r="HB53" s="49">
        <f t="shared" si="222"/>
        <v>3338.263457349155</v>
      </c>
      <c r="HC53" s="49">
        <f t="shared" si="223"/>
        <v>62369.11</v>
      </c>
      <c r="HD53" s="93"/>
      <c r="HE53" s="67"/>
      <c r="HF53" s="12">
        <f t="shared" si="224"/>
        <v>0</v>
      </c>
      <c r="HG53" s="127">
        <f t="shared" si="225"/>
        <v>0</v>
      </c>
      <c r="HH53" s="128">
        <v>0.4</v>
      </c>
      <c r="HI53" s="93">
        <v>1736993</v>
      </c>
      <c r="HJ53" s="11">
        <v>1736993</v>
      </c>
      <c r="HK53" s="642">
        <v>1736993</v>
      </c>
      <c r="HL53" s="23">
        <f t="shared" si="226"/>
        <v>17369.93</v>
      </c>
      <c r="HM53" s="37"/>
      <c r="HN53" s="892">
        <v>3189669</v>
      </c>
      <c r="HO53" s="11">
        <v>3189669</v>
      </c>
      <c r="HP53" s="387"/>
      <c r="HQ53" s="388"/>
      <c r="HR53" s="37">
        <f t="shared" si="239"/>
        <v>0</v>
      </c>
      <c r="HS53" s="629">
        <f t="shared" si="227"/>
        <v>31896.69</v>
      </c>
      <c r="HT53" s="387"/>
      <c r="HU53" s="93"/>
      <c r="HV53" s="388"/>
      <c r="HW53" s="67"/>
      <c r="HX53" s="389">
        <f t="shared" si="228"/>
        <v>0</v>
      </c>
      <c r="HY53" s="393"/>
      <c r="HZ53" s="67">
        <v>1310249</v>
      </c>
      <c r="IA53" s="24">
        <f t="shared" si="229"/>
        <v>0</v>
      </c>
      <c r="IB53" s="23">
        <f t="shared" si="230"/>
        <v>0</v>
      </c>
      <c r="IC53" s="81">
        <f t="shared" si="231"/>
        <v>17369.93</v>
      </c>
      <c r="ID53" s="24">
        <f t="shared" si="247"/>
        <v>0</v>
      </c>
      <c r="IE53" s="90">
        <v>6.31</v>
      </c>
      <c r="IF53" s="90"/>
      <c r="IG53" s="39"/>
      <c r="IH53" s="39"/>
      <c r="II53" s="23">
        <f t="shared" si="253"/>
        <v>17369.93</v>
      </c>
      <c r="IJ53" s="39"/>
      <c r="IK53" s="23">
        <f t="shared" si="244"/>
        <v>17369.93</v>
      </c>
      <c r="IL53" s="50">
        <f t="shared" si="254"/>
        <v>0.27850213030136234</v>
      </c>
      <c r="IM53" s="39"/>
      <c r="IN53" s="39"/>
      <c r="IO53" s="388"/>
      <c r="IP53" s="41">
        <f>GX53+IG53</f>
        <v>6236911</v>
      </c>
      <c r="IQ53" s="277">
        <v>196296</v>
      </c>
      <c r="IR53" s="277">
        <f>IZ53+JB53+JJ53+JL53+JN53+JP53+JR53+JT53+JV53+JX53+JZ53</f>
        <v>151148</v>
      </c>
      <c r="IS53" s="316"/>
      <c r="IT53" s="314"/>
      <c r="IU53" s="314"/>
      <c r="IV53" s="316"/>
      <c r="IW53" s="316"/>
      <c r="IX53" s="314"/>
      <c r="IY53" s="316">
        <v>42735</v>
      </c>
      <c r="IZ53" s="314">
        <v>46179</v>
      </c>
      <c r="JA53" s="316">
        <v>43074</v>
      </c>
      <c r="JB53" s="314">
        <v>22525</v>
      </c>
      <c r="JC53" s="323"/>
      <c r="JD53" s="621"/>
      <c r="JE53" s="622"/>
      <c r="JF53" s="622"/>
      <c r="JG53" s="315"/>
      <c r="JH53" s="314"/>
      <c r="JI53" s="315">
        <v>43167</v>
      </c>
      <c r="JJ53" s="314">
        <v>29444</v>
      </c>
      <c r="JK53" s="113" t="s">
        <v>972</v>
      </c>
      <c r="JL53" s="314">
        <f>19630+23556</f>
        <v>43186</v>
      </c>
      <c r="JM53" s="278">
        <v>43412</v>
      </c>
      <c r="JN53" s="300">
        <v>9814</v>
      </c>
      <c r="JO53" s="269"/>
      <c r="JP53" s="269"/>
      <c r="JQ53" s="269"/>
      <c r="JR53" s="269"/>
      <c r="JS53" s="269"/>
      <c r="JT53" s="269"/>
      <c r="JU53" s="326"/>
      <c r="JV53" s="117"/>
      <c r="JW53" s="279"/>
      <c r="JX53" s="117"/>
      <c r="JY53" s="117"/>
      <c r="JZ53" s="279"/>
    </row>
    <row r="54" spans="1:286" ht="15" customHeight="1">
      <c r="A54" s="840" t="s">
        <v>439</v>
      </c>
      <c r="B54" s="840"/>
      <c r="C54" s="53" t="s">
        <v>35</v>
      </c>
      <c r="D54" s="53" t="s">
        <v>112</v>
      </c>
      <c r="E54" s="53">
        <v>2017</v>
      </c>
      <c r="F54" s="53"/>
      <c r="G54" s="53" t="s">
        <v>433</v>
      </c>
      <c r="H54" s="53" t="s">
        <v>180</v>
      </c>
      <c r="I54" s="53" t="s">
        <v>175</v>
      </c>
      <c r="J54" s="53"/>
      <c r="K54" s="53" t="s">
        <v>440</v>
      </c>
      <c r="L54" s="255" t="s">
        <v>498</v>
      </c>
      <c r="M54" s="166"/>
      <c r="N54" s="167"/>
      <c r="O54" s="168"/>
      <c r="P54" s="231"/>
      <c r="Q54" s="231"/>
      <c r="R54" s="231"/>
      <c r="S54" s="231"/>
      <c r="T54" s="231"/>
      <c r="U54" s="604"/>
      <c r="V54" s="604"/>
      <c r="W54" s="604"/>
      <c r="X54" s="231"/>
      <c r="Y54" s="208"/>
      <c r="Z54" s="907" t="e">
        <f t="shared" si="51"/>
        <v>#DIV/0!</v>
      </c>
      <c r="AA54" s="208"/>
      <c r="AB54" s="208"/>
      <c r="AC54" s="209"/>
      <c r="AD54" s="53" t="s">
        <v>432</v>
      </c>
      <c r="AE54" s="771">
        <f t="shared" si="190"/>
        <v>74</v>
      </c>
      <c r="AF54" s="771">
        <f t="shared" si="191"/>
        <v>0</v>
      </c>
      <c r="AG54" s="64"/>
      <c r="AH54" s="114"/>
      <c r="AI54" s="114"/>
      <c r="AJ54" s="193">
        <v>74</v>
      </c>
      <c r="AK54" s="269"/>
      <c r="AL54" s="57"/>
      <c r="AM54" s="57"/>
      <c r="AN54" s="92"/>
      <c r="AO54" s="57"/>
      <c r="AP54" s="78"/>
      <c r="AQ54" s="78"/>
      <c r="AR54" s="78"/>
      <c r="AS54" s="78"/>
      <c r="AT54" s="78"/>
      <c r="AU54" s="57"/>
      <c r="AV54" s="76"/>
      <c r="AW54" s="78"/>
      <c r="AX54" s="57"/>
      <c r="AY54" s="53"/>
      <c r="AZ54" s="53"/>
      <c r="BA54" s="53"/>
      <c r="BB54" s="53"/>
      <c r="BC54" s="53"/>
      <c r="BD54" s="53"/>
      <c r="BE54" s="53"/>
      <c r="BF54" s="110"/>
      <c r="BG54" s="110"/>
      <c r="BH54" s="97"/>
      <c r="BI54" s="204">
        <v>43039</v>
      </c>
      <c r="BJ54" s="99"/>
      <c r="BK54" s="99"/>
      <c r="BL54" s="204"/>
      <c r="BM54" s="99"/>
      <c r="BN54" s="161">
        <v>43081</v>
      </c>
      <c r="BO54" s="202">
        <v>43235</v>
      </c>
      <c r="BP54" s="161">
        <f>DATE(YEAR(BO54),MONTH(BO54)+3,DAY(BO54))</f>
        <v>43327</v>
      </c>
      <c r="BQ54" s="161"/>
      <c r="BR54" s="299">
        <f t="shared" si="248"/>
        <v>43235</v>
      </c>
      <c r="BS54" s="298">
        <f t="shared" si="249"/>
        <v>43966</v>
      </c>
      <c r="BT54" s="298">
        <f t="shared" si="250"/>
        <v>44331</v>
      </c>
      <c r="BU54" s="298"/>
      <c r="BV54" s="298" t="str">
        <f t="shared" si="251"/>
        <v>non</v>
      </c>
      <c r="BW54" s="672">
        <f t="shared" si="195"/>
        <v>19</v>
      </c>
      <c r="BX54" s="672">
        <f t="shared" si="196"/>
        <v>0</v>
      </c>
      <c r="BY54" s="672">
        <f t="shared" si="197"/>
        <v>0</v>
      </c>
      <c r="BZ54" s="824"/>
      <c r="CA54" s="832"/>
      <c r="CB54" s="826"/>
      <c r="CC54" s="826"/>
      <c r="CD54" s="826"/>
      <c r="CE54" s="826"/>
      <c r="CF54" s="819"/>
      <c r="CG54" s="819"/>
      <c r="CH54" s="819"/>
      <c r="CI54" s="819"/>
      <c r="CJ54" s="819"/>
      <c r="CK54" s="819"/>
      <c r="CL54" s="819"/>
      <c r="CM54" s="819"/>
      <c r="CN54" s="819"/>
      <c r="CO54" s="819"/>
      <c r="CP54" s="819"/>
      <c r="CQ54" s="819"/>
      <c r="CR54" s="819"/>
      <c r="CS54" s="159"/>
      <c r="CT54" s="250"/>
      <c r="CU54" s="250"/>
      <c r="CV54" s="158"/>
      <c r="CW54" s="250"/>
      <c r="CX54" s="250"/>
      <c r="CY54" s="250"/>
      <c r="CZ54" s="405"/>
      <c r="DA54" s="598"/>
      <c r="DB54" s="315">
        <v>42632</v>
      </c>
      <c r="DC54" s="122"/>
      <c r="DD54" s="122"/>
      <c r="DE54" s="523" t="str">
        <f t="shared" si="198"/>
        <v>0</v>
      </c>
      <c r="DF54" s="122">
        <v>42870</v>
      </c>
      <c r="DG54" s="122">
        <v>42879</v>
      </c>
      <c r="DH54" s="523">
        <f t="shared" si="199"/>
        <v>9</v>
      </c>
      <c r="DI54" s="315">
        <v>42814</v>
      </c>
      <c r="DJ54" s="315">
        <v>42851</v>
      </c>
      <c r="DK54" s="523">
        <f t="shared" si="200"/>
        <v>37</v>
      </c>
      <c r="DL54" s="122">
        <v>42874</v>
      </c>
      <c r="DM54" s="122">
        <v>42935</v>
      </c>
      <c r="DN54" s="523">
        <f t="shared" si="201"/>
        <v>61</v>
      </c>
      <c r="DO54" s="122">
        <v>42936</v>
      </c>
      <c r="DP54" s="122">
        <v>42935</v>
      </c>
      <c r="DQ54" s="523">
        <f t="shared" si="202"/>
        <v>-1</v>
      </c>
      <c r="DR54" s="451"/>
      <c r="DS54" s="549">
        <v>43249</v>
      </c>
      <c r="DT54" s="537">
        <v>43074</v>
      </c>
      <c r="DU54" s="533">
        <f ca="1">IF(DT54&lt;TODAY(),TODAY(),DT54)</f>
        <v>43423</v>
      </c>
      <c r="DV54" s="529">
        <f t="shared" ca="1" si="203"/>
        <v>349</v>
      </c>
      <c r="DW54" s="315">
        <v>43081</v>
      </c>
      <c r="DX54" s="440">
        <v>43355</v>
      </c>
      <c r="DY54" s="441">
        <v>2018</v>
      </c>
      <c r="DZ54" s="447">
        <f t="shared" si="204"/>
        <v>10.533333333333333</v>
      </c>
      <c r="EA54" s="685">
        <f t="shared" si="205"/>
        <v>274</v>
      </c>
      <c r="EB54" s="254">
        <v>12</v>
      </c>
      <c r="EC54" s="241">
        <f t="shared" si="206"/>
        <v>12</v>
      </c>
      <c r="ED54" s="527"/>
      <c r="EE54" s="533">
        <f ca="1">IF(ED54&lt;TODAY(),TODAY(),ED54)</f>
        <v>43423</v>
      </c>
      <c r="EF54" s="529" t="str">
        <f t="shared" ca="1" si="207"/>
        <v>0</v>
      </c>
      <c r="EG54" s="527"/>
      <c r="EH54" s="551">
        <f ca="1">IF(EG54&lt;TODAY(),TODAY(),EG54)</f>
        <v>43423</v>
      </c>
      <c r="EI54" s="530" t="str">
        <f t="shared" ca="1" si="208"/>
        <v>0</v>
      </c>
      <c r="EJ54" s="533"/>
      <c r="EK54" s="551">
        <f ca="1">IF(EJ54&lt;TODAY(),TODAY(),EJ54)</f>
        <v>43423</v>
      </c>
      <c r="EL54" s="529" t="str">
        <f t="shared" ca="1" si="209"/>
        <v>0</v>
      </c>
      <c r="EM54" s="533"/>
      <c r="EN54" s="533">
        <f t="shared" ca="1" si="245"/>
        <v>43423</v>
      </c>
      <c r="EO54" s="529" t="str">
        <f t="shared" ca="1" si="210"/>
        <v>0</v>
      </c>
      <c r="EP54" s="533"/>
      <c r="EQ54" s="533">
        <f ca="1">IF(EP54&lt;TODAY(),TODAY(),EP54)</f>
        <v>43423</v>
      </c>
      <c r="ER54" s="529" t="str">
        <f t="shared" ca="1" si="211"/>
        <v>0</v>
      </c>
      <c r="ES54" s="533"/>
      <c r="ET54" s="533">
        <f t="shared" ca="1" si="241"/>
        <v>43423</v>
      </c>
      <c r="EU54" s="529" t="str">
        <f t="shared" ca="1" si="212"/>
        <v>0</v>
      </c>
      <c r="EV54" s="533"/>
      <c r="EW54" s="533">
        <f t="shared" ca="1" si="242"/>
        <v>43423</v>
      </c>
      <c r="EX54" s="529" t="str">
        <f t="shared" ca="1" si="213"/>
        <v>0</v>
      </c>
      <c r="EY54" s="533"/>
      <c r="EZ54" s="533"/>
      <c r="FA54" s="533"/>
      <c r="FB54" s="616">
        <f t="shared" si="214"/>
        <v>43720</v>
      </c>
      <c r="FC54" s="730">
        <f>DATE(YEAR(DX54),MONTH(DX54)+EB54,DAY(DX54))</f>
        <v>43720</v>
      </c>
      <c r="FD54" s="727">
        <f t="shared" si="215"/>
        <v>0</v>
      </c>
      <c r="FE54" s="573">
        <f t="shared" si="216"/>
        <v>731</v>
      </c>
      <c r="FF54" s="242"/>
      <c r="FG54" s="242"/>
      <c r="FH54" s="186">
        <f>DATE(YEAR(FC54),MONTH(FC54)+1,DAY(FC54))</f>
        <v>43750</v>
      </c>
      <c r="FI54" s="573"/>
      <c r="FJ54" s="571">
        <f t="shared" si="252"/>
        <v>43750</v>
      </c>
      <c r="FK54" s="730">
        <f>FH54</f>
        <v>43750</v>
      </c>
      <c r="FL54" s="574"/>
      <c r="FM54" s="724">
        <f>(DATEDIF(FJ54,FK54,"d"))/30</f>
        <v>0</v>
      </c>
      <c r="FN54" s="700"/>
      <c r="FO54" s="246">
        <f t="shared" si="218"/>
        <v>0</v>
      </c>
      <c r="FP54" s="117"/>
      <c r="FQ54" s="556">
        <v>0</v>
      </c>
      <c r="FR54" s="556">
        <v>0</v>
      </c>
      <c r="FS54" s="556">
        <v>111598</v>
      </c>
      <c r="FT54" s="556"/>
      <c r="FU54" s="556"/>
      <c r="FV54" s="749" t="e">
        <f t="shared" si="237"/>
        <v>#DIV/0!</v>
      </c>
      <c r="FW54" s="553"/>
      <c r="FX54" s="566"/>
      <c r="FY54" s="650" t="s">
        <v>743</v>
      </c>
      <c r="FZ54" s="651"/>
      <c r="GA54" s="121"/>
      <c r="GB54" s="121"/>
      <c r="GC54" s="121"/>
      <c r="GD54" s="121"/>
      <c r="GE54" s="121"/>
      <c r="GF54" s="53"/>
      <c r="GG54" s="280">
        <f t="shared" si="219"/>
        <v>44086</v>
      </c>
      <c r="GH54" s="280"/>
      <c r="GI54" s="53"/>
      <c r="GJ54" s="53"/>
      <c r="GK54" s="53"/>
      <c r="GL54" s="53"/>
      <c r="GM54" s="53"/>
      <c r="GN54" s="53"/>
      <c r="GO54" s="53"/>
      <c r="GP54" s="53"/>
      <c r="GQ54" s="53"/>
      <c r="GR54" s="53"/>
      <c r="GS54" s="53"/>
      <c r="GT54" s="53"/>
      <c r="GU54" s="53"/>
      <c r="GV54" s="112"/>
      <c r="GW54" s="112"/>
      <c r="GX54" s="387">
        <f>+HI54+HN54+HU54+IO54+HZ54+HY54</f>
        <v>0</v>
      </c>
      <c r="GY54" s="387">
        <f>HJ54+HO54+HT54+HV54+HZ54</f>
        <v>0</v>
      </c>
      <c r="GZ54" s="387"/>
      <c r="HA54" s="387"/>
      <c r="HB54" s="387"/>
      <c r="HC54" s="387"/>
      <c r="HD54" s="387"/>
      <c r="HE54" s="387"/>
      <c r="HF54" s="387"/>
      <c r="HG54" s="107"/>
      <c r="HH54" s="107"/>
      <c r="HI54" s="744"/>
      <c r="HJ54" s="387"/>
      <c r="HK54" s="718"/>
      <c r="HL54" s="387">
        <f>HI54/AE54</f>
        <v>0</v>
      </c>
      <c r="HM54" s="387">
        <f>HJ54-HI54</f>
        <v>0</v>
      </c>
      <c r="HN54" s="745"/>
      <c r="HO54" s="387"/>
      <c r="HP54" s="387"/>
      <c r="HQ54" s="388"/>
      <c r="HR54" s="387"/>
      <c r="HS54" s="683">
        <f>HN54/AE54</f>
        <v>0</v>
      </c>
      <c r="HT54" s="387"/>
      <c r="HU54" s="387"/>
      <c r="HV54" s="387"/>
      <c r="HW54" s="387"/>
      <c r="HX54" s="393" t="e">
        <f t="shared" si="228"/>
        <v>#DIV/0!</v>
      </c>
      <c r="HY54" s="387"/>
      <c r="HZ54" s="387"/>
      <c r="IA54" s="387">
        <f t="shared" si="229"/>
        <v>0</v>
      </c>
      <c r="IB54" s="387">
        <f t="shared" si="230"/>
        <v>0</v>
      </c>
      <c r="IC54" s="390">
        <f t="shared" si="231"/>
        <v>0</v>
      </c>
      <c r="ID54" s="387">
        <f t="shared" si="247"/>
        <v>0</v>
      </c>
      <c r="IE54" s="391"/>
      <c r="IF54" s="391"/>
      <c r="IG54" s="387"/>
      <c r="IH54" s="387"/>
      <c r="II54" s="387">
        <f t="shared" si="253"/>
        <v>0</v>
      </c>
      <c r="IJ54" s="387"/>
      <c r="IK54" s="387">
        <f>(HJ54+HU54+IH54+IJ54)/AE54</f>
        <v>0</v>
      </c>
      <c r="IL54" s="107" t="e">
        <f t="shared" si="254"/>
        <v>#DIV/0!</v>
      </c>
      <c r="IM54" s="387"/>
      <c r="IN54" s="387"/>
      <c r="IO54" s="387">
        <f>FR54</f>
        <v>0</v>
      </c>
      <c r="IP54" s="394">
        <f>GX54+IG54</f>
        <v>0</v>
      </c>
      <c r="IQ54" s="277"/>
      <c r="IR54" s="277">
        <f t="shared" ref="IR54:IR62" si="255">IT54+IV54+IX54+IZ54+JB54+JD54+JF54+JH54+JJ54+JL54+JN54+JP54+JR54+JT54+JV54+JX54+JZ54</f>
        <v>0</v>
      </c>
      <c r="IS54" s="278"/>
      <c r="IT54" s="281">
        <v>0</v>
      </c>
      <c r="IU54" s="281"/>
      <c r="IV54" s="239"/>
      <c r="IW54" s="239"/>
      <c r="IX54" s="326">
        <v>0</v>
      </c>
      <c r="IY54" s="239"/>
      <c r="IZ54" s="331">
        <v>0</v>
      </c>
      <c r="JA54" s="239"/>
      <c r="JB54" s="460"/>
      <c r="JC54" s="279"/>
      <c r="JD54" s="284"/>
      <c r="JE54" s="282"/>
      <c r="JF54" s="282"/>
      <c r="JG54" s="276"/>
      <c r="JH54" s="277"/>
      <c r="JI54" s="276"/>
      <c r="JJ54" s="277"/>
      <c r="JK54" s="300"/>
      <c r="JL54" s="300"/>
      <c r="JM54" s="300"/>
      <c r="JN54" s="300"/>
      <c r="JO54" s="269"/>
      <c r="JP54" s="269"/>
      <c r="JQ54" s="269"/>
      <c r="JR54" s="269"/>
      <c r="JS54" s="269"/>
      <c r="JT54" s="269"/>
      <c r="JU54" s="281" t="e">
        <f>$JU$1*IQ54</f>
        <v>#VALUE!</v>
      </c>
      <c r="JV54" s="117"/>
      <c r="JW54" s="279"/>
      <c r="JX54" s="117"/>
      <c r="JY54" s="117"/>
      <c r="JZ54" s="279"/>
    </row>
    <row r="55" spans="1:286" ht="15" customHeight="1">
      <c r="A55" s="840" t="s">
        <v>441</v>
      </c>
      <c r="B55" s="840"/>
      <c r="C55" s="53" t="s">
        <v>35</v>
      </c>
      <c r="D55" s="53" t="s">
        <v>112</v>
      </c>
      <c r="E55" s="53">
        <v>2017</v>
      </c>
      <c r="F55" s="53"/>
      <c r="G55" s="53" t="s">
        <v>433</v>
      </c>
      <c r="H55" s="7" t="s">
        <v>180</v>
      </c>
      <c r="I55" s="53" t="s">
        <v>175</v>
      </c>
      <c r="J55" s="53"/>
      <c r="K55" s="53" t="s">
        <v>442</v>
      </c>
      <c r="L55" s="255" t="s">
        <v>464</v>
      </c>
      <c r="M55" s="166" t="s">
        <v>60</v>
      </c>
      <c r="N55" s="167" t="s">
        <v>469</v>
      </c>
      <c r="O55" s="168">
        <v>34008</v>
      </c>
      <c r="P55" s="231"/>
      <c r="Q55" s="231"/>
      <c r="R55" s="231"/>
      <c r="S55" s="231"/>
      <c r="T55" s="231"/>
      <c r="U55" s="604"/>
      <c r="V55" s="604"/>
      <c r="W55" s="604"/>
      <c r="X55" s="231"/>
      <c r="Y55" s="208"/>
      <c r="Z55" s="907" t="e">
        <f t="shared" si="51"/>
        <v>#DIV/0!</v>
      </c>
      <c r="AA55" s="208"/>
      <c r="AB55" s="208"/>
      <c r="AC55" s="209"/>
      <c r="AD55" s="53" t="s">
        <v>432</v>
      </c>
      <c r="AE55" s="771">
        <f t="shared" si="190"/>
        <v>45</v>
      </c>
      <c r="AF55" s="771">
        <f t="shared" si="191"/>
        <v>0</v>
      </c>
      <c r="AG55" s="64"/>
      <c r="AH55" s="114"/>
      <c r="AI55" s="114"/>
      <c r="AJ55" s="193">
        <v>45</v>
      </c>
      <c r="AK55" s="269"/>
      <c r="AL55" s="57"/>
      <c r="AM55" s="57"/>
      <c r="AN55" s="225"/>
      <c r="AO55" s="9"/>
      <c r="AP55" s="78"/>
      <c r="AQ55" s="78"/>
      <c r="AR55" s="78"/>
      <c r="AS55" s="78"/>
      <c r="AT55" s="78"/>
      <c r="AU55" s="57"/>
      <c r="AV55" s="76"/>
      <c r="AW55" s="78"/>
      <c r="AX55" s="57"/>
      <c r="AY55" s="53"/>
      <c r="AZ55" s="53"/>
      <c r="BA55" s="53"/>
      <c r="BB55" s="53"/>
      <c r="BC55" s="53"/>
      <c r="BD55" s="53"/>
      <c r="BE55" s="53"/>
      <c r="BF55" s="110"/>
      <c r="BG55" s="110"/>
      <c r="BH55" s="97"/>
      <c r="BI55" s="204">
        <v>43032</v>
      </c>
      <c r="BJ55" s="99"/>
      <c r="BK55" s="99"/>
      <c r="BL55" s="204"/>
      <c r="BM55" s="99"/>
      <c r="BN55" s="161">
        <v>43081</v>
      </c>
      <c r="BO55" s="203">
        <v>43235</v>
      </c>
      <c r="BP55" s="161">
        <f>DATE(YEAR(BO55),MONTH(BO55)+3,DAY(BO55))</f>
        <v>43327</v>
      </c>
      <c r="BQ55" s="161"/>
      <c r="BR55" s="299">
        <f t="shared" si="248"/>
        <v>43235</v>
      </c>
      <c r="BS55" s="298">
        <f t="shared" si="249"/>
        <v>43966</v>
      </c>
      <c r="BT55" s="298">
        <f t="shared" si="250"/>
        <v>44331</v>
      </c>
      <c r="BU55" s="298"/>
      <c r="BV55" s="298" t="str">
        <f t="shared" si="251"/>
        <v>non</v>
      </c>
      <c r="BW55" s="672">
        <f t="shared" si="195"/>
        <v>18</v>
      </c>
      <c r="BX55" s="672">
        <f t="shared" si="196"/>
        <v>0</v>
      </c>
      <c r="BY55" s="672">
        <f t="shared" si="197"/>
        <v>0</v>
      </c>
      <c r="BZ55" s="824"/>
      <c r="CA55" s="832"/>
      <c r="CB55" s="826"/>
      <c r="CC55" s="826"/>
      <c r="CD55" s="826"/>
      <c r="CE55" s="826"/>
      <c r="CF55" s="819"/>
      <c r="CG55" s="819"/>
      <c r="CH55" s="819"/>
      <c r="CI55" s="819"/>
      <c r="CJ55" s="819"/>
      <c r="CK55" s="819"/>
      <c r="CL55" s="819"/>
      <c r="CM55" s="819"/>
      <c r="CN55" s="819"/>
      <c r="CO55" s="819"/>
      <c r="CP55" s="819"/>
      <c r="CQ55" s="819"/>
      <c r="CR55" s="819"/>
      <c r="CS55" s="159"/>
      <c r="CT55" s="163"/>
      <c r="CU55" s="250"/>
      <c r="CV55" s="158"/>
      <c r="CW55" s="163"/>
      <c r="CX55" s="250"/>
      <c r="CY55" s="250"/>
      <c r="CZ55" s="405"/>
      <c r="DA55" s="598"/>
      <c r="DB55" s="315">
        <v>42649</v>
      </c>
      <c r="DC55" s="122"/>
      <c r="DD55" s="122"/>
      <c r="DE55" s="523" t="str">
        <f t="shared" si="198"/>
        <v>0</v>
      </c>
      <c r="DF55" s="122">
        <v>42872</v>
      </c>
      <c r="DG55" s="122">
        <v>42880</v>
      </c>
      <c r="DH55" s="523">
        <f t="shared" si="199"/>
        <v>8</v>
      </c>
      <c r="DI55" s="315">
        <v>42814</v>
      </c>
      <c r="DJ55" s="315">
        <v>42853</v>
      </c>
      <c r="DK55" s="523">
        <f t="shared" si="200"/>
        <v>39</v>
      </c>
      <c r="DL55" s="543">
        <v>42877</v>
      </c>
      <c r="DM55" s="540">
        <f ca="1">IF(DL55&lt;TODAY(),TODAY(),DL55)</f>
        <v>43423</v>
      </c>
      <c r="DN55" s="545">
        <f t="shared" ca="1" si="201"/>
        <v>546</v>
      </c>
      <c r="DO55" s="543">
        <v>42962</v>
      </c>
      <c r="DP55" s="543">
        <f ca="1">IF(DO55&lt;TODAY(),TODAY(),DO55)</f>
        <v>43423</v>
      </c>
      <c r="DQ55" s="545">
        <f t="shared" ca="1" si="202"/>
        <v>461</v>
      </c>
      <c r="DR55" s="451"/>
      <c r="DS55" s="549">
        <v>43270</v>
      </c>
      <c r="DT55" s="537">
        <v>43074</v>
      </c>
      <c r="DU55" s="533">
        <f ca="1">IF(DT55&lt;TODAY(),TODAY(),DT55)</f>
        <v>43423</v>
      </c>
      <c r="DV55" s="685">
        <f t="shared" ca="1" si="203"/>
        <v>349</v>
      </c>
      <c r="DW55" s="315">
        <v>43081</v>
      </c>
      <c r="DX55" s="440">
        <v>43362</v>
      </c>
      <c r="DY55" s="441">
        <v>2018</v>
      </c>
      <c r="DZ55" s="447">
        <f t="shared" si="204"/>
        <v>11</v>
      </c>
      <c r="EA55" s="685">
        <f t="shared" si="205"/>
        <v>281</v>
      </c>
      <c r="EB55" s="254">
        <v>12</v>
      </c>
      <c r="EC55" s="241">
        <f t="shared" si="206"/>
        <v>12</v>
      </c>
      <c r="ED55" s="527"/>
      <c r="EE55" s="533">
        <f ca="1">IF(ED55&lt;TODAY(),TODAY(),ED55)</f>
        <v>43423</v>
      </c>
      <c r="EF55" s="529" t="str">
        <f t="shared" ca="1" si="207"/>
        <v>0</v>
      </c>
      <c r="EG55" s="527"/>
      <c r="EH55" s="551">
        <f ca="1">IF(EG55&lt;TODAY(),TODAY(),EG55)</f>
        <v>43423</v>
      </c>
      <c r="EI55" s="530" t="str">
        <f t="shared" ca="1" si="208"/>
        <v>0</v>
      </c>
      <c r="EJ55" s="533"/>
      <c r="EK55" s="551">
        <f ca="1">IF(EJ55&lt;TODAY(),TODAY(),EJ55)</f>
        <v>43423</v>
      </c>
      <c r="EL55" s="529" t="str">
        <f t="shared" ca="1" si="209"/>
        <v>0</v>
      </c>
      <c r="EM55" s="533"/>
      <c r="EN55" s="533">
        <f t="shared" ca="1" si="245"/>
        <v>43423</v>
      </c>
      <c r="EO55" s="529" t="str">
        <f t="shared" ca="1" si="210"/>
        <v>0</v>
      </c>
      <c r="EP55" s="533"/>
      <c r="EQ55" s="533">
        <f ca="1">IF(EP55&lt;TODAY(),TODAY(),EP55)</f>
        <v>43423</v>
      </c>
      <c r="ER55" s="529" t="str">
        <f t="shared" ca="1" si="211"/>
        <v>0</v>
      </c>
      <c r="ES55" s="533"/>
      <c r="ET55" s="533">
        <f t="shared" ca="1" si="241"/>
        <v>43423</v>
      </c>
      <c r="EU55" s="529" t="str">
        <f t="shared" ca="1" si="212"/>
        <v>0</v>
      </c>
      <c r="EV55" s="533"/>
      <c r="EW55" s="533">
        <f t="shared" ca="1" si="242"/>
        <v>43423</v>
      </c>
      <c r="EX55" s="529" t="str">
        <f t="shared" ca="1" si="213"/>
        <v>0</v>
      </c>
      <c r="EY55" s="533"/>
      <c r="EZ55" s="533"/>
      <c r="FA55" s="533"/>
      <c r="FB55" s="616">
        <f t="shared" si="214"/>
        <v>43727</v>
      </c>
      <c r="FC55" s="730">
        <f>DATE(YEAR(DX55),MONTH(DX55)+EB55,DAY(DX55))</f>
        <v>43727</v>
      </c>
      <c r="FD55" s="727">
        <f t="shared" si="215"/>
        <v>0</v>
      </c>
      <c r="FE55" s="573">
        <f t="shared" si="216"/>
        <v>731</v>
      </c>
      <c r="FF55" s="242"/>
      <c r="FG55" s="242"/>
      <c r="FH55" s="186">
        <f>DATE(YEAR(FC55),MONTH(FC55)+1,DAY(FC55))</f>
        <v>43757</v>
      </c>
      <c r="FI55" s="573"/>
      <c r="FJ55" s="571">
        <f t="shared" si="252"/>
        <v>43757</v>
      </c>
      <c r="FK55" s="730">
        <f>FH55</f>
        <v>43757</v>
      </c>
      <c r="FL55" s="574"/>
      <c r="FM55" s="724">
        <f>(DATEDIF(FJ55,FK55,"d"))/30</f>
        <v>0</v>
      </c>
      <c r="FN55" s="700"/>
      <c r="FO55" s="246">
        <f t="shared" si="218"/>
        <v>0</v>
      </c>
      <c r="FP55" s="117"/>
      <c r="FQ55" s="556">
        <v>0</v>
      </c>
      <c r="FR55" s="556">
        <v>0</v>
      </c>
      <c r="FS55" s="556"/>
      <c r="FT55" s="556"/>
      <c r="FU55" s="556"/>
      <c r="FV55" s="749" t="e">
        <f t="shared" si="237"/>
        <v>#DIV/0!</v>
      </c>
      <c r="FW55" s="553"/>
      <c r="FX55" s="566"/>
      <c r="FY55" s="650" t="s">
        <v>742</v>
      </c>
      <c r="FZ55" s="651"/>
      <c r="GA55" s="121"/>
      <c r="GB55" s="121"/>
      <c r="GC55" s="121"/>
      <c r="GD55" s="121"/>
      <c r="GE55" s="121"/>
      <c r="GF55" s="53"/>
      <c r="GG55" s="280">
        <f t="shared" si="219"/>
        <v>44093</v>
      </c>
      <c r="GH55" s="280"/>
      <c r="GI55" s="53"/>
      <c r="GJ55" s="53"/>
      <c r="GK55" s="53"/>
      <c r="GL55" s="53"/>
      <c r="GM55" s="53"/>
      <c r="GN55" s="53"/>
      <c r="GO55" s="53"/>
      <c r="GP55" s="53"/>
      <c r="GQ55" s="53"/>
      <c r="GR55" s="53"/>
      <c r="GS55" s="53"/>
      <c r="GT55" s="53"/>
      <c r="GU55" s="53"/>
      <c r="GV55" s="112"/>
      <c r="GW55" s="112"/>
      <c r="GX55" s="387">
        <f>+HI55+HN55+HU55+IO55+HZ55+HY55</f>
        <v>0</v>
      </c>
      <c r="GY55" s="387">
        <f>HJ55+HO55+HT55+HV55+HZ55</f>
        <v>0</v>
      </c>
      <c r="GZ55" s="387"/>
      <c r="HA55" s="778"/>
      <c r="HB55" s="887"/>
      <c r="HC55" s="388"/>
      <c r="HD55" s="388"/>
      <c r="HE55" s="388"/>
      <c r="HF55" s="388"/>
      <c r="HG55" s="199"/>
      <c r="HH55" s="107"/>
      <c r="HI55" s="888"/>
      <c r="HJ55" s="778"/>
      <c r="HK55" s="718"/>
      <c r="HL55" s="388">
        <f>HI55/AE55</f>
        <v>0</v>
      </c>
      <c r="HM55" s="388">
        <f>HJ55-HI55</f>
        <v>0</v>
      </c>
      <c r="HN55" s="893"/>
      <c r="HO55" s="388"/>
      <c r="HP55" s="388"/>
      <c r="HQ55" s="388"/>
      <c r="HR55" s="388"/>
      <c r="HS55" s="875">
        <f>HN55/AE55</f>
        <v>0</v>
      </c>
      <c r="HT55" s="388"/>
      <c r="HU55" s="388"/>
      <c r="HV55" s="388"/>
      <c r="HW55" s="388"/>
      <c r="HX55" s="389" t="e">
        <f t="shared" si="228"/>
        <v>#DIV/0!</v>
      </c>
      <c r="HY55" s="387"/>
      <c r="HZ55" s="387"/>
      <c r="IA55" s="388">
        <f t="shared" si="229"/>
        <v>0</v>
      </c>
      <c r="IB55" s="388">
        <f t="shared" si="230"/>
        <v>0</v>
      </c>
      <c r="IC55" s="390">
        <f t="shared" si="231"/>
        <v>0</v>
      </c>
      <c r="ID55" s="388">
        <f t="shared" si="247"/>
        <v>0</v>
      </c>
      <c r="IE55" s="391"/>
      <c r="IF55" s="391"/>
      <c r="IG55" s="388"/>
      <c r="IH55" s="388"/>
      <c r="II55" s="388">
        <f t="shared" si="253"/>
        <v>0</v>
      </c>
      <c r="IJ55" s="388"/>
      <c r="IK55" s="388">
        <f>(HJ55+HU55+IH55+IJ55)/AE55</f>
        <v>0</v>
      </c>
      <c r="IL55" s="107" t="e">
        <f t="shared" si="254"/>
        <v>#DIV/0!</v>
      </c>
      <c r="IM55" s="388"/>
      <c r="IN55" s="388"/>
      <c r="IO55" s="388">
        <f>FR55</f>
        <v>0</v>
      </c>
      <c r="IP55" s="392">
        <f>GX55+IG55</f>
        <v>0</v>
      </c>
      <c r="IQ55" s="277"/>
      <c r="IR55" s="277">
        <f t="shared" si="255"/>
        <v>0</v>
      </c>
      <c r="IS55" s="278"/>
      <c r="IT55" s="281">
        <v>0</v>
      </c>
      <c r="IU55" s="281"/>
      <c r="IV55" s="268"/>
      <c r="IW55" s="268"/>
      <c r="IX55" s="457">
        <v>0</v>
      </c>
      <c r="IY55" s="268"/>
      <c r="IZ55" s="274">
        <v>0</v>
      </c>
      <c r="JA55" s="268"/>
      <c r="JB55" s="460"/>
      <c r="JC55" s="279"/>
      <c r="JD55" s="284"/>
      <c r="JE55" s="282"/>
      <c r="JF55" s="282"/>
      <c r="JG55" s="276"/>
      <c r="JH55" s="277"/>
      <c r="JI55" s="276"/>
      <c r="JJ55" s="277"/>
      <c r="JK55" s="300"/>
      <c r="JL55" s="300"/>
      <c r="JM55" s="300"/>
      <c r="JN55" s="300"/>
      <c r="JO55" s="269"/>
      <c r="JP55" s="269"/>
      <c r="JQ55" s="269"/>
      <c r="JR55" s="269"/>
      <c r="JS55" s="269"/>
      <c r="JT55" s="269"/>
      <c r="JU55" s="281" t="e">
        <f>$JU$1*IQ55</f>
        <v>#VALUE!</v>
      </c>
      <c r="JV55" s="117"/>
      <c r="JW55" s="279"/>
      <c r="JX55" s="117"/>
      <c r="JY55" s="117"/>
      <c r="JZ55" s="279"/>
    </row>
    <row r="56" spans="1:286" ht="15" customHeight="1">
      <c r="A56" s="655" t="s">
        <v>346</v>
      </c>
      <c r="B56" s="655"/>
      <c r="C56" s="53" t="s">
        <v>77</v>
      </c>
      <c r="D56" s="53" t="s">
        <v>114</v>
      </c>
      <c r="E56" s="53">
        <v>2016</v>
      </c>
      <c r="F56" s="53" t="s">
        <v>286</v>
      </c>
      <c r="G56" s="53" t="s">
        <v>30</v>
      </c>
      <c r="H56" s="53" t="s">
        <v>838</v>
      </c>
      <c r="I56" s="53" t="s">
        <v>173</v>
      </c>
      <c r="J56" s="53"/>
      <c r="K56" s="53" t="s">
        <v>354</v>
      </c>
      <c r="L56" s="255"/>
      <c r="M56" s="166"/>
      <c r="N56" s="167"/>
      <c r="O56" s="168"/>
      <c r="P56" s="207">
        <v>5130</v>
      </c>
      <c r="Q56" s="207">
        <v>425624</v>
      </c>
      <c r="R56" s="207">
        <v>271768</v>
      </c>
      <c r="S56" s="207">
        <f>Q56/AE56</f>
        <v>15200.857142857143</v>
      </c>
      <c r="T56" s="207">
        <f>Q56/P56</f>
        <v>82.967641325536064</v>
      </c>
      <c r="U56" s="213">
        <f>R56/P56</f>
        <v>52.976218323586743</v>
      </c>
      <c r="V56" s="213">
        <f>R56/AN56</f>
        <v>144.10749415389185</v>
      </c>
      <c r="W56" s="213">
        <f>R56/AE56</f>
        <v>9706</v>
      </c>
      <c r="X56" s="207">
        <f>P56/AE56</f>
        <v>183.21428571428572</v>
      </c>
      <c r="Y56" s="208"/>
      <c r="Z56" s="907">
        <f t="shared" si="51"/>
        <v>54.580896686159846</v>
      </c>
      <c r="AA56" s="208" t="s">
        <v>211</v>
      </c>
      <c r="AB56" s="208">
        <v>675</v>
      </c>
      <c r="AC56" s="209"/>
      <c r="AD56" s="53" t="s">
        <v>16</v>
      </c>
      <c r="AE56" s="771">
        <f t="shared" si="190"/>
        <v>28</v>
      </c>
      <c r="AF56" s="771">
        <f t="shared" si="191"/>
        <v>28</v>
      </c>
      <c r="AG56" s="64"/>
      <c r="AH56" s="53">
        <v>28</v>
      </c>
      <c r="AI56" s="53"/>
      <c r="AJ56" s="7"/>
      <c r="AK56" s="269"/>
      <c r="AL56" s="57">
        <v>1812.35</v>
      </c>
      <c r="AM56" s="57"/>
      <c r="AN56" s="225">
        <v>1885.87</v>
      </c>
      <c r="AO56" s="9">
        <f>AN56/AE56</f>
        <v>67.352499999999992</v>
      </c>
      <c r="AP56" s="78">
        <f>4/AE56</f>
        <v>0.14285714285714285</v>
      </c>
      <c r="AQ56" s="78">
        <f>7/AE56</f>
        <v>0.25</v>
      </c>
      <c r="AR56" s="78">
        <f>10/AE56</f>
        <v>0.35714285714285715</v>
      </c>
      <c r="AS56" s="78">
        <f>7/AE56</f>
        <v>0.25</v>
      </c>
      <c r="AT56" s="78"/>
      <c r="AU56" s="57"/>
      <c r="AV56" s="76"/>
      <c r="AW56" s="78"/>
      <c r="AX56" s="57">
        <v>2.5</v>
      </c>
      <c r="AY56" s="56" t="s">
        <v>549</v>
      </c>
      <c r="AZ56" s="53" t="s">
        <v>121</v>
      </c>
      <c r="BA56" s="53"/>
      <c r="BB56" s="53"/>
      <c r="BC56" s="53"/>
      <c r="BD56" s="236">
        <v>42488</v>
      </c>
      <c r="BE56" s="236">
        <v>42475</v>
      </c>
      <c r="BF56" s="110" t="s">
        <v>168</v>
      </c>
      <c r="BG56" s="110"/>
      <c r="BH56" s="97"/>
      <c r="BI56" s="204">
        <v>42604</v>
      </c>
      <c r="BJ56" s="99">
        <v>42646</v>
      </c>
      <c r="BK56" s="99"/>
      <c r="BL56" s="204"/>
      <c r="BM56" s="99"/>
      <c r="BN56" s="161">
        <v>42877</v>
      </c>
      <c r="BO56" s="202">
        <v>42929</v>
      </c>
      <c r="BP56" s="161">
        <v>43013</v>
      </c>
      <c r="BQ56" s="161">
        <v>42942</v>
      </c>
      <c r="BR56" s="299">
        <f t="shared" si="248"/>
        <v>42929</v>
      </c>
      <c r="BS56" s="298">
        <f t="shared" si="249"/>
        <v>43659</v>
      </c>
      <c r="BT56" s="298">
        <f t="shared" si="250"/>
        <v>44025</v>
      </c>
      <c r="BU56" s="298"/>
      <c r="BV56" s="298" t="str">
        <f t="shared" si="251"/>
        <v>oui</v>
      </c>
      <c r="BW56" s="672">
        <f t="shared" si="195"/>
        <v>8</v>
      </c>
      <c r="BX56" s="672">
        <f t="shared" si="196"/>
        <v>0</v>
      </c>
      <c r="BY56" s="672">
        <f t="shared" si="197"/>
        <v>0</v>
      </c>
      <c r="BZ56" s="828">
        <v>42920</v>
      </c>
      <c r="CA56" s="816" t="s">
        <v>603</v>
      </c>
      <c r="CB56" s="826">
        <v>43026</v>
      </c>
      <c r="CC56" s="826"/>
      <c r="CD56" s="826"/>
      <c r="CE56" s="826"/>
      <c r="CF56" s="819"/>
      <c r="CG56" s="819"/>
      <c r="CH56" s="819"/>
      <c r="CI56" s="819"/>
      <c r="CJ56" s="819"/>
      <c r="CK56" s="819"/>
      <c r="CL56" s="819"/>
      <c r="CM56" s="819"/>
      <c r="CN56" s="819"/>
      <c r="CO56" s="819"/>
      <c r="CP56" s="819"/>
      <c r="CQ56" s="819"/>
      <c r="CR56" s="819"/>
      <c r="CS56" s="159"/>
      <c r="CT56" s="163"/>
      <c r="CU56" s="250"/>
      <c r="CV56" s="158"/>
      <c r="CW56" s="163"/>
      <c r="CX56" s="250"/>
      <c r="CY56" s="250"/>
      <c r="CZ56" s="250" t="s">
        <v>168</v>
      </c>
      <c r="DA56" s="598"/>
      <c r="DB56" s="122">
        <v>42327</v>
      </c>
      <c r="DC56" s="122">
        <v>42353</v>
      </c>
      <c r="DD56" s="122">
        <v>42327</v>
      </c>
      <c r="DE56" s="523">
        <f t="shared" si="198"/>
        <v>-26</v>
      </c>
      <c r="DF56" s="122">
        <v>42412</v>
      </c>
      <c r="DG56" s="122">
        <v>42412</v>
      </c>
      <c r="DH56" s="523">
        <f t="shared" si="199"/>
        <v>0</v>
      </c>
      <c r="DI56" s="122">
        <v>42436</v>
      </c>
      <c r="DJ56" s="122">
        <v>42439</v>
      </c>
      <c r="DK56" s="523">
        <f t="shared" si="200"/>
        <v>3</v>
      </c>
      <c r="DL56" s="122">
        <v>42472</v>
      </c>
      <c r="DM56" s="122">
        <v>42633</v>
      </c>
      <c r="DN56" s="523">
        <f t="shared" si="201"/>
        <v>161</v>
      </c>
      <c r="DO56" s="122">
        <v>42692</v>
      </c>
      <c r="DP56" s="122">
        <v>42845</v>
      </c>
      <c r="DQ56" s="550">
        <f t="shared" si="202"/>
        <v>153</v>
      </c>
      <c r="DR56" s="451"/>
      <c r="DS56" s="315">
        <v>43074</v>
      </c>
      <c r="DT56" s="537">
        <v>43137</v>
      </c>
      <c r="DU56" s="537">
        <f ca="1">IF(DT56&lt;TODAY(),TODAY(),DT56)</f>
        <v>43423</v>
      </c>
      <c r="DV56" s="529">
        <f t="shared" ca="1" si="203"/>
        <v>286</v>
      </c>
      <c r="DW56" s="537">
        <v>43152</v>
      </c>
      <c r="DX56" s="440">
        <v>43263</v>
      </c>
      <c r="DY56" s="341">
        <v>2018</v>
      </c>
      <c r="DZ56" s="442">
        <f t="shared" si="204"/>
        <v>21.966666666666665</v>
      </c>
      <c r="EA56" s="523">
        <f t="shared" si="205"/>
        <v>111</v>
      </c>
      <c r="EB56" s="254">
        <v>16</v>
      </c>
      <c r="EC56" s="116">
        <f t="shared" si="206"/>
        <v>16</v>
      </c>
      <c r="ED56" s="537"/>
      <c r="EE56" s="533">
        <f ca="1">IF(ED56&lt;TODAY(),TODAY(),ED56)</f>
        <v>43423</v>
      </c>
      <c r="EF56" s="529" t="str">
        <f t="shared" ca="1" si="207"/>
        <v>0</v>
      </c>
      <c r="EG56" s="527"/>
      <c r="EH56" s="551">
        <f ca="1">IF(EG56&lt;TODAY(),TODAY(),EG56)</f>
        <v>43423</v>
      </c>
      <c r="EI56" s="530" t="str">
        <f t="shared" ca="1" si="208"/>
        <v>0</v>
      </c>
      <c r="EJ56" s="533"/>
      <c r="EK56" s="533">
        <f ca="1">IF(EJ56&lt;TODAY(),TODAY(),EJ56)</f>
        <v>43423</v>
      </c>
      <c r="EL56" s="529" t="str">
        <f t="shared" ca="1" si="209"/>
        <v>0</v>
      </c>
      <c r="EM56" s="537"/>
      <c r="EN56" s="533">
        <f t="shared" ca="1" si="245"/>
        <v>43423</v>
      </c>
      <c r="EO56" s="529" t="str">
        <f t="shared" ca="1" si="210"/>
        <v>0</v>
      </c>
      <c r="EP56" s="535"/>
      <c r="EQ56" s="535"/>
      <c r="ER56" s="529" t="str">
        <f t="shared" si="211"/>
        <v>0</v>
      </c>
      <c r="ES56" s="533"/>
      <c r="ET56" s="533">
        <f t="shared" ca="1" si="241"/>
        <v>43423</v>
      </c>
      <c r="EU56" s="529" t="str">
        <f t="shared" ca="1" si="212"/>
        <v>0</v>
      </c>
      <c r="EV56" s="533"/>
      <c r="EW56" s="533">
        <f t="shared" ca="1" si="242"/>
        <v>43423</v>
      </c>
      <c r="EX56" s="529" t="str">
        <f t="shared" ca="1" si="213"/>
        <v>0</v>
      </c>
      <c r="EY56" s="533"/>
      <c r="EZ56" s="533"/>
      <c r="FA56" s="533"/>
      <c r="FB56" s="731">
        <f t="shared" si="214"/>
        <v>43750</v>
      </c>
      <c r="FC56" s="730">
        <f>DATE(YEAR(DX56),MONTH(DX56)+EB56,DAY(DX56))</f>
        <v>43750</v>
      </c>
      <c r="FD56" s="726">
        <f t="shared" si="215"/>
        <v>0</v>
      </c>
      <c r="FE56" s="573">
        <f t="shared" si="216"/>
        <v>731</v>
      </c>
      <c r="FF56" s="242"/>
      <c r="FG56" s="316">
        <v>43368</v>
      </c>
      <c r="FH56" s="186">
        <f>DATE(YEAR(FC56),MONTH(FC56)+2,DAY(FC56))</f>
        <v>43811</v>
      </c>
      <c r="FI56" s="461"/>
      <c r="FJ56" s="571">
        <f t="shared" si="252"/>
        <v>43781</v>
      </c>
      <c r="FK56" s="730">
        <f>FJ56</f>
        <v>43781</v>
      </c>
      <c r="FL56" s="574"/>
      <c r="FM56" s="723">
        <f>(DATEDIF(FJ56,FK56,"d"))/30</f>
        <v>0</v>
      </c>
      <c r="FN56" s="700"/>
      <c r="FO56" s="246">
        <f t="shared" si="218"/>
        <v>0</v>
      </c>
      <c r="FP56" s="117"/>
      <c r="FQ56" s="556">
        <v>0</v>
      </c>
      <c r="FR56" s="556">
        <v>0</v>
      </c>
      <c r="FS56" s="556">
        <f>131635.37*1.021</f>
        <v>134399.71276999998</v>
      </c>
      <c r="FT56" s="556">
        <v>131635.37</v>
      </c>
      <c r="FU56" s="556">
        <v>0</v>
      </c>
      <c r="FV56" s="749">
        <f t="shared" si="237"/>
        <v>0</v>
      </c>
      <c r="FW56" s="553"/>
      <c r="FX56" s="566"/>
      <c r="FY56" s="566" t="s">
        <v>707</v>
      </c>
      <c r="FZ56" s="553"/>
      <c r="GA56" s="121"/>
      <c r="GB56" s="121"/>
      <c r="GC56" s="121"/>
      <c r="GD56" s="121"/>
      <c r="GE56" s="121"/>
      <c r="GF56" s="53"/>
      <c r="GG56" s="280">
        <f t="shared" si="219"/>
        <v>44116</v>
      </c>
      <c r="GH56" s="280"/>
      <c r="GI56" s="53"/>
      <c r="GJ56" s="53"/>
      <c r="GK56" s="53"/>
      <c r="GL56" s="53"/>
      <c r="GM56" s="53"/>
      <c r="GN56" s="53"/>
      <c r="GO56" s="53"/>
      <c r="GP56" s="53"/>
      <c r="GQ56" s="53"/>
      <c r="GR56" s="53"/>
      <c r="GS56" s="53"/>
      <c r="GT56" s="53"/>
      <c r="GU56" s="53"/>
      <c r="GV56" s="112"/>
      <c r="GW56" s="112"/>
      <c r="GX56" s="93">
        <f>+HI56+HN56+HU56+IO56</f>
        <v>3901188</v>
      </c>
      <c r="GY56" s="67">
        <f>HJ56+HO56+HV56+IO56+HW56+HZ56</f>
        <v>3944664</v>
      </c>
      <c r="GZ56" s="797">
        <f>GY56</f>
        <v>3944664</v>
      </c>
      <c r="HA56" s="10">
        <f>GY56-GX56</f>
        <v>43476</v>
      </c>
      <c r="HB56" s="49">
        <f>GY56/AL56</f>
        <v>2176.546472811543</v>
      </c>
      <c r="HC56" s="49">
        <f>GY56/AE56</f>
        <v>140880.85714285713</v>
      </c>
      <c r="HD56" s="93">
        <v>3532430.6948800003</v>
      </c>
      <c r="HE56" s="93">
        <v>3790547.2600000002</v>
      </c>
      <c r="HF56" s="10">
        <f>HE56-HD56</f>
        <v>258116.56511999993</v>
      </c>
      <c r="HG56" s="10">
        <f>HE56*1.021/GY56</f>
        <v>0.98110986194514926</v>
      </c>
      <c r="HH56" s="303">
        <v>0.4</v>
      </c>
      <c r="HI56" s="93">
        <v>1168119</v>
      </c>
      <c r="HJ56" s="638">
        <v>1183082</v>
      </c>
      <c r="HK56" s="642">
        <v>1263947</v>
      </c>
      <c r="HL56" s="10">
        <f>HJ56/AE56</f>
        <v>42252.928571428572</v>
      </c>
      <c r="HM56" s="10">
        <f>HJ56-HI56</f>
        <v>14963</v>
      </c>
      <c r="HN56" s="693">
        <f>1677074+399995</f>
        <v>2077069</v>
      </c>
      <c r="HO56" s="746">
        <f>HP56+HQ56</f>
        <v>2105582</v>
      </c>
      <c r="HP56" s="754">
        <v>405627</v>
      </c>
      <c r="HQ56" s="754">
        <v>1699955</v>
      </c>
      <c r="HR56" s="11">
        <f>HO56-HN56</f>
        <v>28513</v>
      </c>
      <c r="HS56" s="11">
        <f>HO56/AE56</f>
        <v>75199.357142857145</v>
      </c>
      <c r="HT56" s="860"/>
      <c r="HU56" s="754">
        <v>656000</v>
      </c>
      <c r="HV56" s="11">
        <v>656000</v>
      </c>
      <c r="HW56" s="67"/>
      <c r="HX56" s="11">
        <f t="shared" si="228"/>
        <v>0.16630060253547577</v>
      </c>
      <c r="HY56" s="93"/>
      <c r="HZ56" s="67"/>
      <c r="IA56" s="24">
        <f t="shared" si="229"/>
        <v>0</v>
      </c>
      <c r="IB56" s="23">
        <f t="shared" si="230"/>
        <v>23428.571428571428</v>
      </c>
      <c r="IC56" s="81">
        <f t="shared" si="231"/>
        <v>65681.5</v>
      </c>
      <c r="ID56" s="24">
        <f t="shared" si="247"/>
        <v>0</v>
      </c>
      <c r="IE56" s="90">
        <v>5.54</v>
      </c>
      <c r="IF56" s="90"/>
      <c r="IG56" s="39">
        <v>878080.00034999999</v>
      </c>
      <c r="IH56" s="39">
        <v>560000</v>
      </c>
      <c r="II56" s="23">
        <f t="shared" si="253"/>
        <v>85147.107142857145</v>
      </c>
      <c r="IJ56" s="39">
        <v>84831.933350000065</v>
      </c>
      <c r="IK56" s="23">
        <f>(HJ56+HV56+IH56+IJ56)/AE56</f>
        <v>88711.211905357151</v>
      </c>
      <c r="IL56" s="50">
        <f t="shared" si="254"/>
        <v>0.53838599033842116</v>
      </c>
      <c r="IM56" s="39">
        <v>193430</v>
      </c>
      <c r="IN56" s="39"/>
      <c r="IO56" s="11"/>
      <c r="IP56" s="41">
        <f>GX56+IG56</f>
        <v>4779268.0003500003</v>
      </c>
      <c r="IQ56" s="277">
        <v>195171</v>
      </c>
      <c r="IR56" s="277">
        <f t="shared" si="255"/>
        <v>126877</v>
      </c>
      <c r="IS56" s="113">
        <v>42333</v>
      </c>
      <c r="IT56" s="231">
        <v>23317</v>
      </c>
      <c r="IU56" s="231"/>
      <c r="IV56" s="113"/>
      <c r="IW56" s="113"/>
      <c r="IX56" s="231"/>
      <c r="IY56" s="113">
        <v>42429</v>
      </c>
      <c r="IZ56" s="231">
        <v>23306</v>
      </c>
      <c r="JA56" s="113">
        <v>42657</v>
      </c>
      <c r="JB56" s="231">
        <v>23065</v>
      </c>
      <c r="JC56" s="114" t="s">
        <v>524</v>
      </c>
      <c r="JD56" s="321">
        <v>29869</v>
      </c>
      <c r="JE56" s="313"/>
      <c r="JF56" s="313"/>
      <c r="JG56" s="315">
        <v>43090</v>
      </c>
      <c r="JH56" s="314">
        <v>7787</v>
      </c>
      <c r="JI56" s="315">
        <v>43290</v>
      </c>
      <c r="JJ56" s="314">
        <v>19533</v>
      </c>
      <c r="JK56" s="300"/>
      <c r="JL56" s="300"/>
      <c r="JM56" s="300"/>
      <c r="JN56" s="300"/>
      <c r="JO56" s="269"/>
      <c r="JP56" s="269"/>
      <c r="JQ56" s="269"/>
      <c r="JR56" s="269"/>
      <c r="JS56" s="269"/>
      <c r="JT56" s="269"/>
      <c r="JU56" s="231">
        <v>23306</v>
      </c>
      <c r="JV56" s="122"/>
      <c r="JW56" s="114"/>
      <c r="JX56" s="122"/>
      <c r="JY56" s="122"/>
      <c r="JZ56" s="114"/>
    </row>
    <row r="57" spans="1:286" ht="15" customHeight="1">
      <c r="A57" s="655" t="s">
        <v>946</v>
      </c>
      <c r="B57" s="655"/>
      <c r="C57" s="53" t="s">
        <v>261</v>
      </c>
      <c r="D57" s="53" t="s">
        <v>114</v>
      </c>
      <c r="E57" s="53">
        <v>2016</v>
      </c>
      <c r="F57" s="53" t="s">
        <v>556</v>
      </c>
      <c r="G57" s="53" t="s">
        <v>379</v>
      </c>
      <c r="H57" s="53" t="s">
        <v>838</v>
      </c>
      <c r="I57" s="53" t="s">
        <v>172</v>
      </c>
      <c r="J57" s="53"/>
      <c r="K57" s="53"/>
      <c r="L57" s="255"/>
      <c r="M57" s="166"/>
      <c r="N57" s="167"/>
      <c r="O57" s="168"/>
      <c r="P57" s="207">
        <v>807</v>
      </c>
      <c r="Q57" s="207">
        <v>250272</v>
      </c>
      <c r="R57" s="207">
        <v>250272</v>
      </c>
      <c r="S57" s="207">
        <f>Q57/AE57</f>
        <v>10881.391304347826</v>
      </c>
      <c r="T57" s="207">
        <f>Q57/P57</f>
        <v>310.12639405204459</v>
      </c>
      <c r="U57" s="213">
        <f>R57/P57</f>
        <v>310.12639405204459</v>
      </c>
      <c r="V57" s="213">
        <f>R57/AN57</f>
        <v>162.92583213441748</v>
      </c>
      <c r="W57" s="213">
        <f>R57/AE57</f>
        <v>10881.391304347826</v>
      </c>
      <c r="X57" s="207">
        <f>P57/AE57</f>
        <v>35.086956521739133</v>
      </c>
      <c r="Y57" s="208"/>
      <c r="Z57" s="907">
        <f t="shared" si="51"/>
        <v>285.00619578686491</v>
      </c>
      <c r="AA57" s="208"/>
      <c r="AB57" s="208"/>
      <c r="AC57" s="209"/>
      <c r="AD57" s="53" t="s">
        <v>16</v>
      </c>
      <c r="AE57" s="771">
        <f t="shared" si="190"/>
        <v>23</v>
      </c>
      <c r="AF57" s="771">
        <f t="shared" si="191"/>
        <v>23</v>
      </c>
      <c r="AG57" s="64"/>
      <c r="AH57" s="53">
        <v>23</v>
      </c>
      <c r="AI57" s="53"/>
      <c r="AJ57" s="7"/>
      <c r="AK57" s="269">
        <v>1103</v>
      </c>
      <c r="AL57" s="57">
        <v>1536.11</v>
      </c>
      <c r="AM57" s="57">
        <v>1536.11</v>
      </c>
      <c r="AN57" s="417">
        <v>1536.11</v>
      </c>
      <c r="AO57" s="57">
        <f>AN57/AE57</f>
        <v>66.787391304347821</v>
      </c>
      <c r="AP57" s="78"/>
      <c r="AQ57" s="78"/>
      <c r="AR57" s="78"/>
      <c r="AS57" s="78"/>
      <c r="AT57" s="78"/>
      <c r="AU57" s="57"/>
      <c r="AV57" s="76"/>
      <c r="AW57" s="78"/>
      <c r="AX57" s="57"/>
      <c r="AY57" s="56" t="s">
        <v>549</v>
      </c>
      <c r="AZ57" s="53" t="s">
        <v>120</v>
      </c>
      <c r="BA57" s="59">
        <v>2973918</v>
      </c>
      <c r="BB57" s="803">
        <f>BA57/AN57</f>
        <v>1936.0058849952154</v>
      </c>
      <c r="BC57" s="53"/>
      <c r="BD57" s="236"/>
      <c r="BE57" s="236"/>
      <c r="BF57" s="110" t="s">
        <v>11</v>
      </c>
      <c r="BG57" s="110" t="s">
        <v>412</v>
      </c>
      <c r="BH57" s="97"/>
      <c r="BI57" s="204">
        <v>42543</v>
      </c>
      <c r="BJ57" s="99"/>
      <c r="BK57" s="99">
        <v>42557</v>
      </c>
      <c r="BL57" s="204">
        <v>42606</v>
      </c>
      <c r="BM57" s="99" t="s">
        <v>128</v>
      </c>
      <c r="BN57" s="161">
        <v>42606</v>
      </c>
      <c r="BO57" s="203">
        <v>42620</v>
      </c>
      <c r="BP57" s="161">
        <v>42711</v>
      </c>
      <c r="BQ57" s="161">
        <v>42654</v>
      </c>
      <c r="BR57" s="299">
        <f t="shared" si="248"/>
        <v>42620</v>
      </c>
      <c r="BS57" s="298">
        <f t="shared" si="249"/>
        <v>43350</v>
      </c>
      <c r="BT57" s="298">
        <f t="shared" si="250"/>
        <v>43715</v>
      </c>
      <c r="BU57" s="298"/>
      <c r="BV57" s="298" t="str">
        <f t="shared" si="251"/>
        <v>non</v>
      </c>
      <c r="BW57" s="672">
        <f t="shared" si="195"/>
        <v>15</v>
      </c>
      <c r="BX57" s="672">
        <f t="shared" si="196"/>
        <v>127935</v>
      </c>
      <c r="BY57" s="672">
        <f t="shared" si="197"/>
        <v>0</v>
      </c>
      <c r="BZ57" s="828"/>
      <c r="CA57" s="816" t="s">
        <v>570</v>
      </c>
      <c r="CB57" s="354" t="s">
        <v>128</v>
      </c>
      <c r="CC57" s="354"/>
      <c r="CD57" s="354"/>
      <c r="CE57" s="354"/>
      <c r="CF57" s="377" t="s">
        <v>128</v>
      </c>
      <c r="CG57" s="377"/>
      <c r="CH57" s="377"/>
      <c r="CI57" s="377"/>
      <c r="CJ57" s="377"/>
      <c r="CK57" s="377"/>
      <c r="CL57" s="377"/>
      <c r="CM57" s="377" t="s">
        <v>128</v>
      </c>
      <c r="CN57" s="377">
        <v>42922</v>
      </c>
      <c r="CO57" s="377"/>
      <c r="CP57" s="377"/>
      <c r="CQ57" s="377"/>
      <c r="CR57" s="377"/>
      <c r="CS57" s="159"/>
      <c r="CT57" s="307">
        <v>42727</v>
      </c>
      <c r="CU57" s="340" t="s">
        <v>128</v>
      </c>
      <c r="CV57" s="837">
        <v>2912750</v>
      </c>
      <c r="CW57" s="307">
        <f>DATE(YEAR(CT57),MONTH(CT57)+18,DAY(CT57))</f>
        <v>43274</v>
      </c>
      <c r="CX57" s="340">
        <f>DATE(YEAR(CT57),MONTH(CT57)+24,DAY(CT57))</f>
        <v>43457</v>
      </c>
      <c r="CY57" s="340">
        <v>42727</v>
      </c>
      <c r="CZ57" s="256">
        <f>DATE(YEAR(CT57),MONTH(CT57)+22,DAY(CT57))</f>
        <v>43396</v>
      </c>
      <c r="DA57" s="597">
        <f>(FK57-CZ57)/30</f>
        <v>-5.1333333333333337</v>
      </c>
      <c r="DB57" s="122"/>
      <c r="DC57" s="122"/>
      <c r="DD57" s="122"/>
      <c r="DE57" s="523" t="str">
        <f t="shared" si="198"/>
        <v>0</v>
      </c>
      <c r="DF57" s="122">
        <v>42041</v>
      </c>
      <c r="DG57" s="122">
        <v>42041</v>
      </c>
      <c r="DH57" s="523">
        <f t="shared" si="199"/>
        <v>0</v>
      </c>
      <c r="DI57" s="122"/>
      <c r="DJ57" s="122"/>
      <c r="DK57" s="523" t="str">
        <f t="shared" si="200"/>
        <v>0</v>
      </c>
      <c r="DL57" s="122"/>
      <c r="DM57" s="122"/>
      <c r="DN57" s="523" t="str">
        <f t="shared" si="201"/>
        <v>0</v>
      </c>
      <c r="DO57" s="122"/>
      <c r="DP57" s="122"/>
      <c r="DQ57" s="550" t="str">
        <f t="shared" si="202"/>
        <v>0</v>
      </c>
      <c r="DR57" s="454"/>
      <c r="DS57" s="315"/>
      <c r="DT57" s="315"/>
      <c r="DU57" s="231"/>
      <c r="DV57" s="550" t="str">
        <f t="shared" si="203"/>
        <v>0</v>
      </c>
      <c r="DW57" s="315">
        <v>42741</v>
      </c>
      <c r="DX57" s="758">
        <v>42583</v>
      </c>
      <c r="DY57" s="355">
        <v>2016</v>
      </c>
      <c r="DZ57" s="446">
        <f t="shared" si="204"/>
        <v>1.3333333333333333</v>
      </c>
      <c r="EA57" s="550">
        <f t="shared" si="205"/>
        <v>-158</v>
      </c>
      <c r="EB57" s="243">
        <v>18</v>
      </c>
      <c r="EC57" s="116">
        <f t="shared" si="206"/>
        <v>20</v>
      </c>
      <c r="ED57" s="434"/>
      <c r="EE57" s="122"/>
      <c r="EF57" s="550" t="str">
        <f t="shared" si="207"/>
        <v>0</v>
      </c>
      <c r="EG57" s="315">
        <v>42712</v>
      </c>
      <c r="EH57" s="567">
        <v>42712</v>
      </c>
      <c r="EI57" s="568">
        <f t="shared" si="208"/>
        <v>0</v>
      </c>
      <c r="EJ57" s="122"/>
      <c r="EK57" s="122">
        <v>42994</v>
      </c>
      <c r="EL57" s="523" t="str">
        <f t="shared" si="209"/>
        <v>0</v>
      </c>
      <c r="EM57" s="122"/>
      <c r="EN57" s="122">
        <v>43024</v>
      </c>
      <c r="EO57" s="523" t="str">
        <f t="shared" si="210"/>
        <v>0</v>
      </c>
      <c r="EP57" s="122">
        <v>42946</v>
      </c>
      <c r="EQ57" s="122">
        <v>43053</v>
      </c>
      <c r="ER57" s="523">
        <f t="shared" si="211"/>
        <v>107</v>
      </c>
      <c r="ES57" s="122">
        <v>42977</v>
      </c>
      <c r="ET57" s="122">
        <v>43053</v>
      </c>
      <c r="EU57" s="523">
        <f t="shared" si="212"/>
        <v>76</v>
      </c>
      <c r="EV57" s="122">
        <v>43189</v>
      </c>
      <c r="EW57" s="122">
        <f t="shared" ca="1" si="242"/>
        <v>43423</v>
      </c>
      <c r="EX57" s="523">
        <f t="shared" ca="1" si="213"/>
        <v>234</v>
      </c>
      <c r="EY57" s="122">
        <v>43203</v>
      </c>
      <c r="EZ57" s="122">
        <v>43203</v>
      </c>
      <c r="FA57" s="122">
        <v>43203</v>
      </c>
      <c r="FB57" s="601">
        <f t="shared" si="214"/>
        <v>43132</v>
      </c>
      <c r="FC57" s="589">
        <v>43210</v>
      </c>
      <c r="FD57" s="707">
        <f t="shared" si="215"/>
        <v>2.6</v>
      </c>
      <c r="FE57" s="455">
        <f t="shared" si="216"/>
        <v>43457</v>
      </c>
      <c r="FF57" s="316">
        <v>43210</v>
      </c>
      <c r="FG57" s="316">
        <v>43024</v>
      </c>
      <c r="FH57" s="115" t="s">
        <v>128</v>
      </c>
      <c r="FI57" s="455"/>
      <c r="FJ57" s="784">
        <f t="shared" si="252"/>
        <v>43160</v>
      </c>
      <c r="FK57" s="440">
        <v>43242</v>
      </c>
      <c r="FL57" s="441">
        <v>2018</v>
      </c>
      <c r="FM57" s="705">
        <f>(DATEDIF(FJ57,FK57,"d"))/30</f>
        <v>2.7333333333333334</v>
      </c>
      <c r="FN57" s="695">
        <v>8529</v>
      </c>
      <c r="FO57" s="314">
        <f t="shared" si="218"/>
        <v>23312.600000000002</v>
      </c>
      <c r="FP57" s="315">
        <v>43181</v>
      </c>
      <c r="FQ57" s="556">
        <v>0</v>
      </c>
      <c r="FR57" s="556">
        <v>0</v>
      </c>
      <c r="FS57" s="556">
        <v>0</v>
      </c>
      <c r="FT57" s="556"/>
      <c r="FU57" s="556">
        <v>0</v>
      </c>
      <c r="FV57" s="749">
        <f t="shared" si="237"/>
        <v>0</v>
      </c>
      <c r="FW57" s="553" t="s">
        <v>708</v>
      </c>
      <c r="FX57" s="650"/>
      <c r="FY57" s="650"/>
      <c r="FZ57" s="651"/>
      <c r="GA57" s="122" t="s">
        <v>128</v>
      </c>
      <c r="GB57" s="122" t="s">
        <v>128</v>
      </c>
      <c r="GC57" s="122" t="s">
        <v>128</v>
      </c>
      <c r="GD57" s="122" t="s">
        <v>128</v>
      </c>
      <c r="GE57" s="122">
        <v>43334</v>
      </c>
      <c r="GF57" s="114" t="s">
        <v>128</v>
      </c>
      <c r="GG57" s="280">
        <f t="shared" si="219"/>
        <v>43575</v>
      </c>
      <c r="GH57" s="682"/>
      <c r="GI57" s="53"/>
      <c r="GJ57" s="53"/>
      <c r="GK57" s="53"/>
      <c r="GL57" s="53"/>
      <c r="GM57" s="53"/>
      <c r="GN57" s="53"/>
      <c r="GO57" s="53"/>
      <c r="GP57" s="183" t="s">
        <v>775</v>
      </c>
      <c r="GQ57" s="53"/>
      <c r="GR57" s="113">
        <v>43315</v>
      </c>
      <c r="GS57" s="53"/>
      <c r="GT57" s="53"/>
      <c r="GU57" s="53"/>
      <c r="GV57" s="112"/>
      <c r="GW57" s="112"/>
      <c r="GX57" s="93">
        <f>+HI57+HN57+HU57+IO57+HZ57</f>
        <v>0</v>
      </c>
      <c r="GY57" s="67">
        <f>HJ57+HO57+HV57+IO57+HW57+HZ57</f>
        <v>3202767</v>
      </c>
      <c r="GZ57" s="797">
        <f>GY57</f>
        <v>3202767</v>
      </c>
      <c r="HA57" s="12">
        <f>GY57-GX57</f>
        <v>3202767</v>
      </c>
      <c r="HB57" s="49">
        <f>GY57/AL57</f>
        <v>2084.9854502607236</v>
      </c>
      <c r="HC57" s="49">
        <f>GY57/AE57</f>
        <v>139250.73913043478</v>
      </c>
      <c r="HD57" s="93">
        <v>3537549.5398594467</v>
      </c>
      <c r="HE57" s="67">
        <v>3653732</v>
      </c>
      <c r="HF57" s="94">
        <f>HE57-HD57</f>
        <v>116182.4601405533</v>
      </c>
      <c r="HG57" s="128">
        <f>HE57*1.021/GY57</f>
        <v>1.1647617113577102</v>
      </c>
      <c r="HH57" s="129">
        <v>0.4</v>
      </c>
      <c r="HI57" s="93"/>
      <c r="HJ57" s="638">
        <v>901691</v>
      </c>
      <c r="HK57" s="642"/>
      <c r="HL57" s="49">
        <f>HJ57/AE57</f>
        <v>39203.956521739128</v>
      </c>
      <c r="HM57" s="95"/>
      <c r="HN57" s="93"/>
      <c r="HO57" s="11">
        <f>HP57+HQ57</f>
        <v>1772076</v>
      </c>
      <c r="HP57" s="87">
        <v>296327</v>
      </c>
      <c r="HQ57" s="87">
        <v>1475749</v>
      </c>
      <c r="HR57" s="95">
        <f>HO57-HN57</f>
        <v>1772076</v>
      </c>
      <c r="HS57" s="629">
        <f>HO57/AE57</f>
        <v>77046.782608695648</v>
      </c>
      <c r="HT57" s="11"/>
      <c r="HU57" s="93"/>
      <c r="HV57" s="11">
        <v>529000</v>
      </c>
      <c r="HW57" s="67"/>
      <c r="HX57" s="40">
        <f t="shared" si="228"/>
        <v>0.16516967984246123</v>
      </c>
      <c r="HY57" s="303"/>
      <c r="HZ57" s="67"/>
      <c r="IA57" s="89">
        <f t="shared" si="229"/>
        <v>529000</v>
      </c>
      <c r="IB57" s="23">
        <f t="shared" si="230"/>
        <v>23000</v>
      </c>
      <c r="IC57" s="81">
        <f t="shared" si="231"/>
        <v>62203.956521739128</v>
      </c>
      <c r="ID57" s="89">
        <f t="shared" si="247"/>
        <v>23000</v>
      </c>
      <c r="IE57" s="90"/>
      <c r="IF57" s="90"/>
      <c r="IG57" s="91"/>
      <c r="IH57" s="91"/>
      <c r="II57" s="49">
        <f t="shared" si="253"/>
        <v>0</v>
      </c>
      <c r="IJ57" s="91"/>
      <c r="IK57" s="49">
        <f>(HJ57+HV57+IH57+IJ57)/AE57</f>
        <v>62203.956521739128</v>
      </c>
      <c r="IL57" s="50" t="e">
        <f t="shared" si="254"/>
        <v>#DIV/0!</v>
      </c>
      <c r="IM57" s="91"/>
      <c r="IN57" s="91"/>
      <c r="IO57" s="67"/>
      <c r="IP57" s="41">
        <f>GY57+IG57</f>
        <v>3202767</v>
      </c>
      <c r="IQ57" s="277">
        <v>101410.59907834102</v>
      </c>
      <c r="IR57" s="277">
        <f t="shared" si="255"/>
        <v>101410.59907834101</v>
      </c>
      <c r="IS57" s="113"/>
      <c r="IT57" s="231"/>
      <c r="IU57" s="231"/>
      <c r="IV57" s="113"/>
      <c r="IW57" s="113"/>
      <c r="IX57" s="231"/>
      <c r="IY57" s="113"/>
      <c r="IZ57" s="231"/>
      <c r="JA57" s="113"/>
      <c r="JB57" s="231"/>
      <c r="JC57" s="114"/>
      <c r="JD57" s="321"/>
      <c r="JE57" s="313"/>
      <c r="JF57" s="313"/>
      <c r="JG57" s="194"/>
      <c r="JH57" s="330"/>
      <c r="JI57" s="194"/>
      <c r="JJ57" s="330"/>
      <c r="JK57" s="236">
        <v>42727</v>
      </c>
      <c r="JL57" s="331">
        <v>65916.894009216587</v>
      </c>
      <c r="JM57" s="236">
        <v>42865</v>
      </c>
      <c r="JN57" s="331">
        <v>10141.0599078341</v>
      </c>
      <c r="JO57" s="113">
        <v>43027</v>
      </c>
      <c r="JP57" s="125">
        <v>5070.5345622119812</v>
      </c>
      <c r="JQ57" s="114"/>
      <c r="JR57" s="114"/>
      <c r="JS57" s="113">
        <v>43055</v>
      </c>
      <c r="JT57" s="114">
        <v>10141.0599078341</v>
      </c>
      <c r="JU57" s="113">
        <v>43189</v>
      </c>
      <c r="JV57" s="114">
        <f>2750.76/1.085</f>
        <v>2535.2626728110604</v>
      </c>
      <c r="JW57" s="113">
        <v>43224</v>
      </c>
      <c r="JX57" s="114">
        <f>8252.28/1.085</f>
        <v>7605.7880184331807</v>
      </c>
      <c r="JY57" s="122"/>
      <c r="JZ57" s="114"/>
    </row>
    <row r="58" spans="1:286" ht="15" customHeight="1">
      <c r="A58" s="840" t="s">
        <v>443</v>
      </c>
      <c r="B58" s="840"/>
      <c r="C58" s="53" t="s">
        <v>444</v>
      </c>
      <c r="D58" s="53" t="s">
        <v>114</v>
      </c>
      <c r="E58" s="53">
        <v>2017</v>
      </c>
      <c r="F58" s="53"/>
      <c r="G58" s="53" t="s">
        <v>433</v>
      </c>
      <c r="H58" s="53" t="s">
        <v>180</v>
      </c>
      <c r="I58" s="53" t="s">
        <v>173</v>
      </c>
      <c r="J58" s="53"/>
      <c r="K58" s="53" t="s">
        <v>445</v>
      </c>
      <c r="L58" s="255" t="s">
        <v>499</v>
      </c>
      <c r="M58" s="166" t="s">
        <v>60</v>
      </c>
      <c r="N58" s="167" t="s">
        <v>470</v>
      </c>
      <c r="O58" s="168">
        <v>35569</v>
      </c>
      <c r="P58" s="231"/>
      <c r="Q58" s="231"/>
      <c r="R58" s="231"/>
      <c r="S58" s="231"/>
      <c r="T58" s="231"/>
      <c r="U58" s="604"/>
      <c r="V58" s="604"/>
      <c r="W58" s="604"/>
      <c r="X58" s="231"/>
      <c r="Y58" s="208"/>
      <c r="Z58" s="907" t="e">
        <f t="shared" si="51"/>
        <v>#DIV/0!</v>
      </c>
      <c r="AA58" s="208"/>
      <c r="AB58" s="208"/>
      <c r="AC58" s="209"/>
      <c r="AD58" s="53" t="s">
        <v>432</v>
      </c>
      <c r="AE58" s="771">
        <f t="shared" si="190"/>
        <v>31</v>
      </c>
      <c r="AF58" s="771">
        <f t="shared" si="191"/>
        <v>0</v>
      </c>
      <c r="AG58" s="64"/>
      <c r="AH58" s="114"/>
      <c r="AI58" s="114"/>
      <c r="AJ58" s="317">
        <v>31</v>
      </c>
      <c r="AK58" s="269"/>
      <c r="AL58" s="57"/>
      <c r="AM58" s="57"/>
      <c r="AN58" s="225"/>
      <c r="AO58" s="57"/>
      <c r="AP58" s="78"/>
      <c r="AQ58" s="78"/>
      <c r="AR58" s="78"/>
      <c r="AS58" s="78"/>
      <c r="AT58" s="78"/>
      <c r="AU58" s="57"/>
      <c r="AV58" s="76"/>
      <c r="AW58" s="78"/>
      <c r="AX58" s="57"/>
      <c r="AY58" s="53"/>
      <c r="AZ58" s="53"/>
      <c r="BA58" s="53"/>
      <c r="BB58" s="53"/>
      <c r="BC58" s="53"/>
      <c r="BD58" s="53"/>
      <c r="BE58" s="53"/>
      <c r="BF58" s="110"/>
      <c r="BG58" s="110"/>
      <c r="BH58" s="97"/>
      <c r="BI58" s="204">
        <v>43039</v>
      </c>
      <c r="BJ58" s="99"/>
      <c r="BK58" s="99"/>
      <c r="BL58" s="204"/>
      <c r="BM58" s="99"/>
      <c r="BN58" s="161">
        <v>43081</v>
      </c>
      <c r="BO58" s="203">
        <v>43234</v>
      </c>
      <c r="BP58" s="161">
        <f>DATE(YEAR(BO58),MONTH(BO58)+3,DAY(BO58))</f>
        <v>43326</v>
      </c>
      <c r="BQ58" s="161"/>
      <c r="BR58" s="299">
        <f t="shared" si="248"/>
        <v>43234</v>
      </c>
      <c r="BS58" s="298">
        <f t="shared" si="249"/>
        <v>43965</v>
      </c>
      <c r="BT58" s="298">
        <f t="shared" si="250"/>
        <v>44330</v>
      </c>
      <c r="BU58" s="298"/>
      <c r="BV58" s="298" t="str">
        <f t="shared" si="251"/>
        <v>non</v>
      </c>
      <c r="BW58" s="672">
        <f t="shared" si="195"/>
        <v>16</v>
      </c>
      <c r="BX58" s="672">
        <f t="shared" si="196"/>
        <v>0</v>
      </c>
      <c r="BY58" s="672">
        <f t="shared" si="197"/>
        <v>0</v>
      </c>
      <c r="BZ58" s="824"/>
      <c r="CA58" s="832"/>
      <c r="CB58" s="826"/>
      <c r="CC58" s="826"/>
      <c r="CD58" s="826"/>
      <c r="CE58" s="826"/>
      <c r="CF58" s="819"/>
      <c r="CG58" s="819"/>
      <c r="CH58" s="819"/>
      <c r="CI58" s="819"/>
      <c r="CJ58" s="819"/>
      <c r="CK58" s="819"/>
      <c r="CL58" s="819"/>
      <c r="CM58" s="819">
        <v>43395</v>
      </c>
      <c r="CN58" s="819"/>
      <c r="CO58" s="819"/>
      <c r="CP58" s="819"/>
      <c r="CQ58" s="819"/>
      <c r="CR58" s="819"/>
      <c r="CS58" s="159"/>
      <c r="CT58" s="163"/>
      <c r="CU58" s="250"/>
      <c r="CV58" s="158"/>
      <c r="CW58" s="163"/>
      <c r="CX58" s="250"/>
      <c r="CY58" s="250"/>
      <c r="CZ58" s="405"/>
      <c r="DA58" s="598"/>
      <c r="DB58" s="315">
        <v>42632</v>
      </c>
      <c r="DC58" s="122"/>
      <c r="DD58" s="122"/>
      <c r="DE58" s="523" t="str">
        <f t="shared" si="198"/>
        <v>0</v>
      </c>
      <c r="DF58" s="122">
        <v>42914</v>
      </c>
      <c r="DG58" s="122">
        <v>42884</v>
      </c>
      <c r="DH58" s="523">
        <f t="shared" si="199"/>
        <v>-30</v>
      </c>
      <c r="DI58" s="315">
        <v>42809</v>
      </c>
      <c r="DJ58" s="315">
        <v>42893</v>
      </c>
      <c r="DK58" s="523">
        <f t="shared" si="200"/>
        <v>84</v>
      </c>
      <c r="DL58" s="122">
        <v>42972</v>
      </c>
      <c r="DM58" s="315">
        <v>42976</v>
      </c>
      <c r="DN58" s="523">
        <f t="shared" si="201"/>
        <v>4</v>
      </c>
      <c r="DO58" s="122">
        <v>42977</v>
      </c>
      <c r="DP58" s="122">
        <v>42976</v>
      </c>
      <c r="DQ58" s="523">
        <f t="shared" si="202"/>
        <v>-1</v>
      </c>
      <c r="DR58" s="451"/>
      <c r="DS58" s="549">
        <v>43249</v>
      </c>
      <c r="DT58" s="537">
        <v>43077</v>
      </c>
      <c r="DU58" s="533">
        <f ca="1">IF(DT58&lt;TODAY(),TODAY(),DT58)</f>
        <v>43423</v>
      </c>
      <c r="DV58" s="529">
        <f t="shared" ca="1" si="203"/>
        <v>346</v>
      </c>
      <c r="DW58" s="537">
        <v>43090</v>
      </c>
      <c r="DX58" s="686">
        <v>43344</v>
      </c>
      <c r="DY58" s="344"/>
      <c r="DZ58" s="442">
        <f t="shared" si="204"/>
        <v>10.166666666666666</v>
      </c>
      <c r="EA58" s="529">
        <f t="shared" si="205"/>
        <v>254</v>
      </c>
      <c r="EB58" s="687">
        <v>16</v>
      </c>
      <c r="EC58" s="241">
        <f t="shared" si="206"/>
        <v>16</v>
      </c>
      <c r="ED58" s="527"/>
      <c r="EE58" s="533">
        <f ca="1">IF(ED58&lt;TODAY(),TODAY(),ED58)</f>
        <v>43423</v>
      </c>
      <c r="EF58" s="529" t="str">
        <f t="shared" ca="1" si="207"/>
        <v>0</v>
      </c>
      <c r="EG58" s="527"/>
      <c r="EH58" s="551">
        <f ca="1">IF(EG58&lt;TODAY(),TODAY(),EG58)</f>
        <v>43423</v>
      </c>
      <c r="EI58" s="530" t="str">
        <f t="shared" ca="1" si="208"/>
        <v>0</v>
      </c>
      <c r="EJ58" s="533"/>
      <c r="EK58" s="533">
        <f ca="1">IF(EJ58&lt;TODAY(),TODAY(),EJ58)</f>
        <v>43423</v>
      </c>
      <c r="EL58" s="529" t="str">
        <f t="shared" ca="1" si="209"/>
        <v>0</v>
      </c>
      <c r="EM58" s="527"/>
      <c r="EN58" s="533">
        <f ca="1">IF(EM58&lt;TODAY(),TODAY(),EM58)</f>
        <v>43423</v>
      </c>
      <c r="EO58" s="529" t="str">
        <f t="shared" ca="1" si="210"/>
        <v>0</v>
      </c>
      <c r="EP58" s="533"/>
      <c r="EQ58" s="533">
        <f ca="1">IF(EP58&lt;TODAY(),TODAY(),EP58)</f>
        <v>43423</v>
      </c>
      <c r="ER58" s="529" t="str">
        <f t="shared" ca="1" si="211"/>
        <v>0</v>
      </c>
      <c r="ES58" s="533"/>
      <c r="ET58" s="533">
        <f ca="1">IF(ES58&lt;TODAY(),TODAY(),ES58)</f>
        <v>43423</v>
      </c>
      <c r="EU58" s="529" t="str">
        <f t="shared" ca="1" si="212"/>
        <v>0</v>
      </c>
      <c r="EV58" s="533"/>
      <c r="EW58" s="533">
        <f t="shared" ca="1" si="242"/>
        <v>43423</v>
      </c>
      <c r="EX58" s="529" t="str">
        <f t="shared" ca="1" si="213"/>
        <v>0</v>
      </c>
      <c r="EY58" s="533"/>
      <c r="EZ58" s="533"/>
      <c r="FA58" s="533"/>
      <c r="FB58" s="616">
        <f t="shared" si="214"/>
        <v>43831</v>
      </c>
      <c r="FC58" s="401">
        <f>DATE(YEAR(DX58),MONTH(DX58)+EB58,DAY(DX58))</f>
        <v>43831</v>
      </c>
      <c r="FD58" s="727">
        <f t="shared" si="215"/>
        <v>0</v>
      </c>
      <c r="FE58" s="573">
        <f t="shared" si="216"/>
        <v>731</v>
      </c>
      <c r="FF58" s="242"/>
      <c r="FG58" s="242"/>
      <c r="FH58" s="186">
        <f>DATE(YEAR(FC58),MONTH(FC58),DAY(FC58))</f>
        <v>43831</v>
      </c>
      <c r="FI58" s="573"/>
      <c r="FJ58" s="571">
        <f t="shared" si="252"/>
        <v>43862</v>
      </c>
      <c r="FK58" s="450">
        <f>FH58</f>
        <v>43831</v>
      </c>
      <c r="FL58" s="574"/>
      <c r="FM58" s="724">
        <f>(DATEDIF(FK58,FJ58,"d"))/30</f>
        <v>1.0333333333333334</v>
      </c>
      <c r="FN58" s="700"/>
      <c r="FO58" s="246">
        <f t="shared" si="218"/>
        <v>0</v>
      </c>
      <c r="FP58" s="117"/>
      <c r="FQ58" s="556">
        <v>0</v>
      </c>
      <c r="FR58" s="556">
        <v>0</v>
      </c>
      <c r="FS58" s="556"/>
      <c r="FT58" s="556"/>
      <c r="FU58" s="556"/>
      <c r="FV58" s="749" t="e">
        <f t="shared" si="237"/>
        <v>#DIV/0!</v>
      </c>
      <c r="FW58" s="553"/>
      <c r="FX58" s="566"/>
      <c r="FY58" s="650" t="s">
        <v>743</v>
      </c>
      <c r="FZ58" s="651"/>
      <c r="GA58" s="121"/>
      <c r="GB58" s="121"/>
      <c r="GC58" s="121"/>
      <c r="GD58" s="121"/>
      <c r="GE58" s="121"/>
      <c r="GF58" s="53"/>
      <c r="GG58" s="280">
        <f t="shared" si="219"/>
        <v>44197</v>
      </c>
      <c r="GH58" s="280"/>
      <c r="GI58" s="53"/>
      <c r="GJ58" s="53"/>
      <c r="GK58" s="53"/>
      <c r="GL58" s="53"/>
      <c r="GM58" s="53"/>
      <c r="GN58" s="53"/>
      <c r="GO58" s="53"/>
      <c r="GP58" s="53"/>
      <c r="GQ58" s="53"/>
      <c r="GR58" s="53"/>
      <c r="GS58" s="53"/>
      <c r="GT58" s="53"/>
      <c r="GU58" s="53"/>
      <c r="GV58" s="112"/>
      <c r="GW58" s="112"/>
      <c r="GX58" s="93">
        <f>+HI58+HN58+HU58+IO58+HZ58+HY58</f>
        <v>0</v>
      </c>
      <c r="GY58" s="387">
        <f>HJ58+HO58+HT58+HV58+HZ58</f>
        <v>0</v>
      </c>
      <c r="GZ58" s="387"/>
      <c r="HA58" s="93"/>
      <c r="HB58" s="387"/>
      <c r="HC58" s="387"/>
      <c r="HD58" s="93"/>
      <c r="HE58" s="93"/>
      <c r="HF58" s="93"/>
      <c r="HG58" s="93"/>
      <c r="HH58" s="303"/>
      <c r="HI58" s="93"/>
      <c r="HJ58" s="778"/>
      <c r="HK58" s="718"/>
      <c r="HL58" s="890">
        <f>HI58/AE58</f>
        <v>0</v>
      </c>
      <c r="HM58" s="93">
        <f>HJ58-HI58</f>
        <v>0</v>
      </c>
      <c r="HN58" s="403"/>
      <c r="HO58" s="388"/>
      <c r="HP58" s="387"/>
      <c r="HQ58" s="387"/>
      <c r="HR58" s="387"/>
      <c r="HS58" s="896">
        <f>HN58/AE58</f>
        <v>0</v>
      </c>
      <c r="HT58" s="387"/>
      <c r="HU58" s="387"/>
      <c r="HV58" s="388"/>
      <c r="HW58" s="387"/>
      <c r="HX58" s="393" t="e">
        <f t="shared" si="228"/>
        <v>#DIV/0!</v>
      </c>
      <c r="HY58" s="387"/>
      <c r="HZ58" s="387"/>
      <c r="IA58" s="387">
        <f t="shared" si="229"/>
        <v>0</v>
      </c>
      <c r="IB58" s="388">
        <f t="shared" si="230"/>
        <v>0</v>
      </c>
      <c r="IC58" s="390">
        <f t="shared" si="231"/>
        <v>0</v>
      </c>
      <c r="ID58" s="387">
        <f t="shared" si="247"/>
        <v>0</v>
      </c>
      <c r="IE58" s="391"/>
      <c r="IF58" s="391"/>
      <c r="IG58" s="387"/>
      <c r="IH58" s="387"/>
      <c r="II58" s="387">
        <f t="shared" si="253"/>
        <v>0</v>
      </c>
      <c r="IJ58" s="387"/>
      <c r="IK58" s="387">
        <f>(HJ58+HU58+IH58+IJ58)/AE58</f>
        <v>0</v>
      </c>
      <c r="IL58" s="107" t="e">
        <f t="shared" si="254"/>
        <v>#DIV/0!</v>
      </c>
      <c r="IM58" s="387"/>
      <c r="IN58" s="387"/>
      <c r="IO58" s="387">
        <f>FR58</f>
        <v>0</v>
      </c>
      <c r="IP58" s="392">
        <f>GX58+IG58</f>
        <v>0</v>
      </c>
      <c r="IQ58" s="277"/>
      <c r="IR58" s="277">
        <f t="shared" si="255"/>
        <v>0</v>
      </c>
      <c r="IS58" s="278"/>
      <c r="IT58" s="281">
        <v>0</v>
      </c>
      <c r="IU58" s="281"/>
      <c r="IV58" s="268"/>
      <c r="IW58" s="268"/>
      <c r="IX58" s="457">
        <v>0</v>
      </c>
      <c r="IY58" s="268"/>
      <c r="IZ58" s="274">
        <v>0</v>
      </c>
      <c r="JA58" s="268"/>
      <c r="JB58" s="460"/>
      <c r="JC58" s="279"/>
      <c r="JD58" s="284"/>
      <c r="JE58" s="282"/>
      <c r="JF58" s="282"/>
      <c r="JG58" s="276"/>
      <c r="JH58" s="281"/>
      <c r="JI58" s="276"/>
      <c r="JJ58" s="281"/>
      <c r="JK58" s="300"/>
      <c r="JL58" s="300"/>
      <c r="JM58" s="300"/>
      <c r="JN58" s="300"/>
      <c r="JO58" s="269"/>
      <c r="JP58" s="269"/>
      <c r="JQ58" s="269"/>
      <c r="JR58" s="269"/>
      <c r="JS58" s="269"/>
      <c r="JT58" s="269"/>
      <c r="JU58" s="281" t="e">
        <f>$JU$1*IQ58</f>
        <v>#VALUE!</v>
      </c>
      <c r="JV58" s="117"/>
      <c r="JW58" s="279"/>
      <c r="JX58" s="117"/>
      <c r="JY58" s="117"/>
      <c r="JZ58" s="279"/>
    </row>
    <row r="59" spans="1:286" ht="15" customHeight="1">
      <c r="A59" s="840" t="s">
        <v>435</v>
      </c>
      <c r="B59" s="840"/>
      <c r="C59" s="53" t="s">
        <v>28</v>
      </c>
      <c r="D59" s="53" t="s">
        <v>112</v>
      </c>
      <c r="E59" s="53">
        <v>2017</v>
      </c>
      <c r="F59" s="53"/>
      <c r="G59" s="53" t="s">
        <v>433</v>
      </c>
      <c r="H59" s="7" t="s">
        <v>837</v>
      </c>
      <c r="I59" s="53" t="s">
        <v>173</v>
      </c>
      <c r="J59" s="53"/>
      <c r="K59" s="53" t="s">
        <v>436</v>
      </c>
      <c r="L59" s="255" t="s">
        <v>496</v>
      </c>
      <c r="M59" s="166" t="s">
        <v>60</v>
      </c>
      <c r="N59" s="167" t="s">
        <v>466</v>
      </c>
      <c r="O59" s="168">
        <v>34851</v>
      </c>
      <c r="P59" s="231"/>
      <c r="Q59" s="231"/>
      <c r="R59" s="231"/>
      <c r="S59" s="231"/>
      <c r="T59" s="231"/>
      <c r="U59" s="604"/>
      <c r="V59" s="604"/>
      <c r="W59" s="604"/>
      <c r="X59" s="231"/>
      <c r="Y59" s="208"/>
      <c r="Z59" s="907" t="e">
        <f t="shared" si="51"/>
        <v>#DIV/0!</v>
      </c>
      <c r="AA59" s="208"/>
      <c r="AB59" s="208"/>
      <c r="AC59" s="209"/>
      <c r="AD59" s="53" t="s">
        <v>432</v>
      </c>
      <c r="AE59" s="771">
        <f t="shared" si="190"/>
        <v>10</v>
      </c>
      <c r="AF59" s="771">
        <f t="shared" si="191"/>
        <v>0</v>
      </c>
      <c r="AG59" s="64"/>
      <c r="AH59" s="114"/>
      <c r="AI59" s="114"/>
      <c r="AJ59" s="317">
        <v>10</v>
      </c>
      <c r="AK59" s="269"/>
      <c r="AL59" s="57"/>
      <c r="AM59" s="57"/>
      <c r="AN59" s="225"/>
      <c r="AO59" s="57"/>
      <c r="AP59" s="78"/>
      <c r="AQ59" s="78"/>
      <c r="AR59" s="78"/>
      <c r="AS59" s="78"/>
      <c r="AT59" s="78"/>
      <c r="AU59" s="57"/>
      <c r="AV59" s="76"/>
      <c r="AW59" s="78"/>
      <c r="AX59" s="57"/>
      <c r="AY59" s="53"/>
      <c r="AZ59" s="53"/>
      <c r="BA59" s="53"/>
      <c r="BB59" s="53"/>
      <c r="BC59" s="53"/>
      <c r="BD59" s="53"/>
      <c r="BE59" s="53"/>
      <c r="BF59" s="110"/>
      <c r="BG59" s="110"/>
      <c r="BH59" s="97"/>
      <c r="BI59" s="204">
        <v>43005</v>
      </c>
      <c r="BJ59" s="99"/>
      <c r="BK59" s="99"/>
      <c r="BL59" s="204"/>
      <c r="BM59" s="99"/>
      <c r="BN59" s="161">
        <v>43081</v>
      </c>
      <c r="BO59" s="203">
        <v>43235</v>
      </c>
      <c r="BP59" s="161">
        <f>DATE(YEAR(BO59),MONTH(BO59)+3,DAY(BO59))</f>
        <v>43327</v>
      </c>
      <c r="BQ59" s="161"/>
      <c r="BR59" s="299">
        <f t="shared" si="248"/>
        <v>43235</v>
      </c>
      <c r="BS59" s="298">
        <f t="shared" si="249"/>
        <v>43966</v>
      </c>
      <c r="BT59" s="298">
        <f t="shared" si="250"/>
        <v>44331</v>
      </c>
      <c r="BU59" s="298"/>
      <c r="BV59" s="298" t="str">
        <f t="shared" si="251"/>
        <v>non</v>
      </c>
      <c r="BW59" s="672">
        <f t="shared" si="195"/>
        <v>15</v>
      </c>
      <c r="BX59" s="672">
        <f t="shared" si="196"/>
        <v>0</v>
      </c>
      <c r="BY59" s="672">
        <f t="shared" si="197"/>
        <v>0</v>
      </c>
      <c r="BZ59" s="824"/>
      <c r="CA59" s="832"/>
      <c r="CB59" s="826"/>
      <c r="CC59" s="826"/>
      <c r="CD59" s="826"/>
      <c r="CE59" s="826"/>
      <c r="CF59" s="819"/>
      <c r="CG59" s="819"/>
      <c r="CH59" s="819"/>
      <c r="CI59" s="819"/>
      <c r="CJ59" s="819"/>
      <c r="CK59" s="819"/>
      <c r="CL59" s="819"/>
      <c r="CM59" s="819"/>
      <c r="CN59" s="819"/>
      <c r="CO59" s="819"/>
      <c r="CP59" s="819"/>
      <c r="CQ59" s="819"/>
      <c r="CR59" s="819"/>
      <c r="CS59" s="159"/>
      <c r="CT59" s="163"/>
      <c r="CU59" s="250"/>
      <c r="CV59" s="158"/>
      <c r="CW59" s="163"/>
      <c r="CX59" s="250"/>
      <c r="CY59" s="250"/>
      <c r="CZ59" s="405"/>
      <c r="DA59" s="598"/>
      <c r="DB59" s="315">
        <v>42773</v>
      </c>
      <c r="DC59" s="122"/>
      <c r="DD59" s="122"/>
      <c r="DE59" s="523" t="str">
        <f t="shared" si="198"/>
        <v>0</v>
      </c>
      <c r="DF59" s="122">
        <v>42874</v>
      </c>
      <c r="DG59" s="122">
        <v>42879</v>
      </c>
      <c r="DH59" s="523">
        <f t="shared" si="199"/>
        <v>5</v>
      </c>
      <c r="DI59" s="315">
        <v>42877</v>
      </c>
      <c r="DJ59" s="315">
        <v>42853</v>
      </c>
      <c r="DK59" s="523">
        <f t="shared" si="200"/>
        <v>-24</v>
      </c>
      <c r="DL59" s="543">
        <v>42879</v>
      </c>
      <c r="DM59" s="540">
        <f ca="1">IF(DL59&lt;TODAY(),TODAY(),DL59)</f>
        <v>43423</v>
      </c>
      <c r="DN59" s="545">
        <f t="shared" ca="1" si="201"/>
        <v>544</v>
      </c>
      <c r="DO59" s="543">
        <v>42962</v>
      </c>
      <c r="DP59" s="543">
        <f ca="1">IF(DO59&lt;TODAY(),TODAY(),DO59)</f>
        <v>43423</v>
      </c>
      <c r="DQ59" s="545">
        <f t="shared" ca="1" si="202"/>
        <v>461</v>
      </c>
      <c r="DR59" s="451"/>
      <c r="DS59" s="549">
        <v>43249</v>
      </c>
      <c r="DT59" s="537">
        <v>43045</v>
      </c>
      <c r="DU59" s="533">
        <f ca="1">IF(DT59&lt;TODAY(),TODAY(),DT59)</f>
        <v>43423</v>
      </c>
      <c r="DV59" s="529">
        <f t="shared" ca="1" si="203"/>
        <v>378</v>
      </c>
      <c r="DW59" s="537">
        <v>43049</v>
      </c>
      <c r="DX59" s="440">
        <v>43362</v>
      </c>
      <c r="DY59" s="344"/>
      <c r="DZ59" s="442">
        <f t="shared" si="204"/>
        <v>11.9</v>
      </c>
      <c r="EA59" s="529">
        <f t="shared" si="205"/>
        <v>313</v>
      </c>
      <c r="EB59" s="687">
        <v>16</v>
      </c>
      <c r="EC59" s="241">
        <f t="shared" si="206"/>
        <v>16</v>
      </c>
      <c r="ED59" s="527"/>
      <c r="EE59" s="533">
        <f ca="1">IF(ED59&lt;TODAY(),TODAY(),ED59)</f>
        <v>43423</v>
      </c>
      <c r="EF59" s="529" t="str">
        <f t="shared" ca="1" si="207"/>
        <v>0</v>
      </c>
      <c r="EG59" s="527"/>
      <c r="EH59" s="551">
        <f ca="1">IF(EG59&lt;TODAY(),TODAY(),EG59)</f>
        <v>43423</v>
      </c>
      <c r="EI59" s="530" t="str">
        <f t="shared" ca="1" si="208"/>
        <v>0</v>
      </c>
      <c r="EJ59" s="533"/>
      <c r="EK59" s="533">
        <f ca="1">IF(EJ59&lt;TODAY(),TODAY(),EJ59)</f>
        <v>43423</v>
      </c>
      <c r="EL59" s="529" t="str">
        <f t="shared" ca="1" si="209"/>
        <v>0</v>
      </c>
      <c r="EM59" s="527"/>
      <c r="EN59" s="533">
        <f ca="1">IF(EM59&lt;TODAY(),TODAY(),EM59)</f>
        <v>43423</v>
      </c>
      <c r="EO59" s="529" t="str">
        <f t="shared" ca="1" si="210"/>
        <v>0</v>
      </c>
      <c r="EP59" s="533"/>
      <c r="EQ59" s="533">
        <f ca="1">IF(EP59&lt;TODAY(),TODAY(),EP59)</f>
        <v>43423</v>
      </c>
      <c r="ER59" s="529" t="str">
        <f t="shared" ca="1" si="211"/>
        <v>0</v>
      </c>
      <c r="ES59" s="533"/>
      <c r="ET59" s="533">
        <f ca="1">IF(ES59&lt;TODAY(),TODAY(),ES59)</f>
        <v>43423</v>
      </c>
      <c r="EU59" s="529" t="str">
        <f t="shared" ca="1" si="212"/>
        <v>0</v>
      </c>
      <c r="EV59" s="533"/>
      <c r="EW59" s="533">
        <f t="shared" ca="1" si="242"/>
        <v>43423</v>
      </c>
      <c r="EX59" s="529" t="str">
        <f t="shared" ca="1" si="213"/>
        <v>0</v>
      </c>
      <c r="EY59" s="533"/>
      <c r="EZ59" s="533"/>
      <c r="FA59" s="533"/>
      <c r="FB59" s="616">
        <f t="shared" si="214"/>
        <v>43849</v>
      </c>
      <c r="FC59" s="401">
        <f>DATE(YEAR(DX59),MONTH(DX59)+EB59,DAY(DX59))</f>
        <v>43849</v>
      </c>
      <c r="FD59" s="727">
        <f t="shared" si="215"/>
        <v>0</v>
      </c>
      <c r="FE59" s="573">
        <f t="shared" si="216"/>
        <v>731</v>
      </c>
      <c r="FF59" s="242"/>
      <c r="FG59" s="242"/>
      <c r="FH59" s="186">
        <f>DATE(YEAR(FC59),MONTH(FC59),DAY(FC59))</f>
        <v>43849</v>
      </c>
      <c r="FI59" s="573"/>
      <c r="FJ59" s="571">
        <f t="shared" si="252"/>
        <v>43880</v>
      </c>
      <c r="FK59" s="450">
        <f>FH59</f>
        <v>43849</v>
      </c>
      <c r="FL59" s="574"/>
      <c r="FM59" s="724">
        <f>(DATEDIF(FK59,FJ59,"d"))/30</f>
        <v>1.0333333333333334</v>
      </c>
      <c r="FN59" s="700"/>
      <c r="FO59" s="246">
        <f t="shared" si="218"/>
        <v>0</v>
      </c>
      <c r="FP59" s="117"/>
      <c r="FQ59" s="556">
        <v>0</v>
      </c>
      <c r="FR59" s="556">
        <v>0</v>
      </c>
      <c r="FS59" s="556"/>
      <c r="FT59" s="556"/>
      <c r="FU59" s="556"/>
      <c r="FV59" s="749" t="e">
        <f t="shared" si="237"/>
        <v>#DIV/0!</v>
      </c>
      <c r="FW59" s="553"/>
      <c r="FX59" s="566"/>
      <c r="FY59" s="650" t="s">
        <v>743</v>
      </c>
      <c r="FZ59" s="651" t="s">
        <v>710</v>
      </c>
      <c r="GA59" s="121"/>
      <c r="GB59" s="121"/>
      <c r="GC59" s="121"/>
      <c r="GD59" s="121"/>
      <c r="GE59" s="121"/>
      <c r="GF59" s="53"/>
      <c r="GG59" s="280">
        <f t="shared" si="219"/>
        <v>44215</v>
      </c>
      <c r="GH59" s="280"/>
      <c r="GI59" s="53"/>
      <c r="GJ59" s="53"/>
      <c r="GK59" s="53"/>
      <c r="GL59" s="53"/>
      <c r="GM59" s="53"/>
      <c r="GN59" s="53"/>
      <c r="GO59" s="53"/>
      <c r="GP59" s="53"/>
      <c r="GQ59" s="53"/>
      <c r="GR59" s="53"/>
      <c r="GS59" s="53"/>
      <c r="GT59" s="53"/>
      <c r="GU59" s="53"/>
      <c r="GV59" s="112"/>
      <c r="GW59" s="112"/>
      <c r="GX59" s="387">
        <f>+HI59+HN59+HU59+IO59+HZ59+HY59</f>
        <v>0</v>
      </c>
      <c r="GY59" s="387">
        <f>HJ59+HO59+HT59+HV59+HZ59</f>
        <v>0</v>
      </c>
      <c r="GZ59" s="387"/>
      <c r="HA59" s="388"/>
      <c r="HB59" s="387"/>
      <c r="HC59" s="387"/>
      <c r="HD59" s="387"/>
      <c r="HE59" s="387"/>
      <c r="HF59" s="387"/>
      <c r="HG59" s="107"/>
      <c r="HH59" s="107"/>
      <c r="HI59" s="744"/>
      <c r="HJ59" s="778"/>
      <c r="HK59" s="718"/>
      <c r="HL59" s="387">
        <f>HI59/AE59</f>
        <v>0</v>
      </c>
      <c r="HM59" s="387">
        <f>HJ59-HI59</f>
        <v>0</v>
      </c>
      <c r="HN59" s="745"/>
      <c r="HO59" s="388"/>
      <c r="HP59" s="387"/>
      <c r="HQ59" s="387"/>
      <c r="HR59" s="387"/>
      <c r="HS59" s="683">
        <f>HN59/AE59</f>
        <v>0</v>
      </c>
      <c r="HT59" s="387"/>
      <c r="HU59" s="387"/>
      <c r="HV59" s="388"/>
      <c r="HW59" s="387"/>
      <c r="HX59" s="393" t="e">
        <f t="shared" si="228"/>
        <v>#DIV/0!</v>
      </c>
      <c r="HY59" s="387"/>
      <c r="HZ59" s="387"/>
      <c r="IA59" s="387">
        <f t="shared" si="229"/>
        <v>0</v>
      </c>
      <c r="IB59" s="388">
        <f t="shared" si="230"/>
        <v>0</v>
      </c>
      <c r="IC59" s="390">
        <f t="shared" si="231"/>
        <v>0</v>
      </c>
      <c r="ID59" s="387">
        <f t="shared" si="247"/>
        <v>0</v>
      </c>
      <c r="IE59" s="391"/>
      <c r="IF59" s="391"/>
      <c r="IG59" s="387"/>
      <c r="IH59" s="387"/>
      <c r="II59" s="387">
        <f t="shared" si="253"/>
        <v>0</v>
      </c>
      <c r="IJ59" s="387"/>
      <c r="IK59" s="387">
        <f>(HJ59+HU59+IH59+IJ59)/AE59</f>
        <v>0</v>
      </c>
      <c r="IL59" s="107" t="e">
        <f t="shared" si="254"/>
        <v>#DIV/0!</v>
      </c>
      <c r="IM59" s="387"/>
      <c r="IN59" s="387"/>
      <c r="IO59" s="387">
        <f>FR59</f>
        <v>0</v>
      </c>
      <c r="IP59" s="392">
        <f>GX59+IG59</f>
        <v>0</v>
      </c>
      <c r="IQ59" s="277"/>
      <c r="IR59" s="277">
        <f t="shared" si="255"/>
        <v>0</v>
      </c>
      <c r="IS59" s="278"/>
      <c r="IT59" s="281">
        <v>0</v>
      </c>
      <c r="IU59" s="281"/>
      <c r="IV59" s="253"/>
      <c r="IW59" s="253"/>
      <c r="IX59" s="385">
        <v>0</v>
      </c>
      <c r="IY59" s="261"/>
      <c r="IZ59" s="274">
        <v>0</v>
      </c>
      <c r="JA59" s="261"/>
      <c r="JB59" s="460"/>
      <c r="JC59" s="279"/>
      <c r="JD59" s="284"/>
      <c r="JE59" s="282"/>
      <c r="JF59" s="282"/>
      <c r="JG59" s="276"/>
      <c r="JH59" s="281"/>
      <c r="JI59" s="276"/>
      <c r="JJ59" s="281"/>
      <c r="JK59" s="300"/>
      <c r="JL59" s="300"/>
      <c r="JM59" s="300"/>
      <c r="JN59" s="300"/>
      <c r="JO59" s="269"/>
      <c r="JP59" s="269"/>
      <c r="JQ59" s="269"/>
      <c r="JR59" s="269"/>
      <c r="JS59" s="269"/>
      <c r="JT59" s="269"/>
      <c r="JU59" s="281" t="e">
        <f>$JU$1*IQ59</f>
        <v>#VALUE!</v>
      </c>
      <c r="JV59" s="117"/>
      <c r="JW59" s="279"/>
      <c r="JX59" s="117"/>
      <c r="JY59" s="117"/>
      <c r="JZ59" s="279"/>
    </row>
    <row r="60" spans="1:286" ht="15" customHeight="1">
      <c r="A60" s="840" t="s">
        <v>437</v>
      </c>
      <c r="B60" s="840"/>
      <c r="C60" s="53" t="s">
        <v>45</v>
      </c>
      <c r="D60" s="53" t="s">
        <v>112</v>
      </c>
      <c r="E60" s="53">
        <v>2017</v>
      </c>
      <c r="F60" s="53"/>
      <c r="G60" s="53" t="s">
        <v>433</v>
      </c>
      <c r="H60" s="20" t="s">
        <v>463</v>
      </c>
      <c r="I60" s="53" t="s">
        <v>173</v>
      </c>
      <c r="J60" s="53"/>
      <c r="K60" s="53" t="s">
        <v>438</v>
      </c>
      <c r="L60" s="255" t="s">
        <v>497</v>
      </c>
      <c r="M60" s="166" t="s">
        <v>60</v>
      </c>
      <c r="N60" s="167" t="s">
        <v>473</v>
      </c>
      <c r="O60" s="168">
        <v>35049</v>
      </c>
      <c r="P60" s="231"/>
      <c r="Q60" s="231"/>
      <c r="R60" s="231"/>
      <c r="S60" s="231"/>
      <c r="T60" s="231"/>
      <c r="U60" s="604"/>
      <c r="V60" s="604"/>
      <c r="W60" s="604"/>
      <c r="X60" s="231"/>
      <c r="Y60" s="208"/>
      <c r="Z60" s="907" t="e">
        <f t="shared" si="51"/>
        <v>#DIV/0!</v>
      </c>
      <c r="AA60" s="208"/>
      <c r="AB60" s="208"/>
      <c r="AC60" s="209"/>
      <c r="AD60" s="53" t="s">
        <v>432</v>
      </c>
      <c r="AE60" s="771">
        <f t="shared" si="190"/>
        <v>6</v>
      </c>
      <c r="AF60" s="771">
        <f t="shared" si="191"/>
        <v>0</v>
      </c>
      <c r="AG60" s="64"/>
      <c r="AH60" s="114"/>
      <c r="AI60" s="114"/>
      <c r="AJ60" s="317">
        <v>6</v>
      </c>
      <c r="AK60" s="269"/>
      <c r="AL60" s="57"/>
      <c r="AM60" s="57"/>
      <c r="AN60" s="225"/>
      <c r="AO60" s="9"/>
      <c r="AP60" s="78"/>
      <c r="AQ60" s="78"/>
      <c r="AR60" s="78"/>
      <c r="AS60" s="78"/>
      <c r="AT60" s="78"/>
      <c r="AU60" s="57"/>
      <c r="AV60" s="76"/>
      <c r="AW60" s="78"/>
      <c r="AX60" s="57"/>
      <c r="AY60" s="53"/>
      <c r="AZ60" s="53"/>
      <c r="BA60" s="53"/>
      <c r="BB60" s="53"/>
      <c r="BC60" s="53"/>
      <c r="BD60" s="53"/>
      <c r="BE60" s="53"/>
      <c r="BF60" s="110"/>
      <c r="BG60" s="110"/>
      <c r="BH60" s="97"/>
      <c r="BI60" s="204">
        <v>43005</v>
      </c>
      <c r="BJ60" s="99"/>
      <c r="BK60" s="99"/>
      <c r="BL60" s="204"/>
      <c r="BM60" s="99"/>
      <c r="BN60" s="161">
        <v>43081</v>
      </c>
      <c r="BO60" s="202">
        <v>43234</v>
      </c>
      <c r="BP60" s="161">
        <f>DATE(YEAR(BO60),MONTH(BO60)+3,DAY(BO60))</f>
        <v>43326</v>
      </c>
      <c r="BQ60" s="161"/>
      <c r="BR60" s="299">
        <f t="shared" si="248"/>
        <v>43234</v>
      </c>
      <c r="BS60" s="298">
        <f t="shared" si="249"/>
        <v>43965</v>
      </c>
      <c r="BT60" s="298">
        <f t="shared" si="250"/>
        <v>44330</v>
      </c>
      <c r="BU60" s="298"/>
      <c r="BV60" s="298" t="str">
        <f t="shared" si="251"/>
        <v>non</v>
      </c>
      <c r="BW60" s="672">
        <f t="shared" si="195"/>
        <v>15</v>
      </c>
      <c r="BX60" s="672">
        <f t="shared" si="196"/>
        <v>0</v>
      </c>
      <c r="BY60" s="672">
        <f t="shared" si="197"/>
        <v>0</v>
      </c>
      <c r="BZ60" s="824"/>
      <c r="CA60" s="832" t="s">
        <v>975</v>
      </c>
      <c r="CB60" s="826"/>
      <c r="CC60" s="826"/>
      <c r="CD60" s="826">
        <v>43340</v>
      </c>
      <c r="CE60" s="826">
        <v>43357</v>
      </c>
      <c r="CF60" s="819"/>
      <c r="CG60" s="819"/>
      <c r="CH60" s="819"/>
      <c r="CI60" s="819"/>
      <c r="CJ60" s="819"/>
      <c r="CK60" s="819"/>
      <c r="CL60" s="819"/>
      <c r="CM60" s="819"/>
      <c r="CN60" s="819"/>
      <c r="CO60" s="819"/>
      <c r="CP60" s="819"/>
      <c r="CQ60" s="819"/>
      <c r="CR60" s="819"/>
      <c r="CS60" s="159"/>
      <c r="CT60" s="163"/>
      <c r="CU60" s="250"/>
      <c r="CV60" s="158"/>
      <c r="CW60" s="163"/>
      <c r="CX60" s="250"/>
      <c r="CY60" s="250"/>
      <c r="CZ60" s="405"/>
      <c r="DA60" s="598"/>
      <c r="DB60" s="315">
        <v>42649</v>
      </c>
      <c r="DC60" s="122"/>
      <c r="DD60" s="122"/>
      <c r="DE60" s="523" t="str">
        <f t="shared" si="198"/>
        <v>0</v>
      </c>
      <c r="DF60" s="122">
        <v>42901</v>
      </c>
      <c r="DG60" s="122">
        <v>42884</v>
      </c>
      <c r="DH60" s="523">
        <f t="shared" si="199"/>
        <v>-17</v>
      </c>
      <c r="DI60" s="315">
        <v>42814</v>
      </c>
      <c r="DJ60" s="315">
        <v>42881</v>
      </c>
      <c r="DK60" s="523">
        <f t="shared" si="200"/>
        <v>67</v>
      </c>
      <c r="DL60" s="543">
        <v>42972</v>
      </c>
      <c r="DM60" s="540">
        <f ca="1">IF(DL60&lt;TODAY(),TODAY(),DL60)</f>
        <v>43423</v>
      </c>
      <c r="DN60" s="545">
        <f t="shared" ca="1" si="201"/>
        <v>451</v>
      </c>
      <c r="DO60" s="543">
        <v>42972</v>
      </c>
      <c r="DP60" s="543">
        <f ca="1">IF(DO60&lt;TODAY(),TODAY(),DO60)</f>
        <v>43423</v>
      </c>
      <c r="DQ60" s="545">
        <f t="shared" ca="1" si="202"/>
        <v>451</v>
      </c>
      <c r="DR60" s="451"/>
      <c r="DS60" s="540">
        <v>43296</v>
      </c>
      <c r="DT60" s="537">
        <v>43074</v>
      </c>
      <c r="DU60" s="533">
        <f ca="1">IF(DT60&lt;TODAY(),TODAY(),DT60)</f>
        <v>43423</v>
      </c>
      <c r="DV60" s="529">
        <f t="shared" ca="1" si="203"/>
        <v>349</v>
      </c>
      <c r="DW60" s="537">
        <v>43081</v>
      </c>
      <c r="DX60" s="686">
        <v>43344</v>
      </c>
      <c r="DY60" s="344"/>
      <c r="DZ60" s="442">
        <f t="shared" si="204"/>
        <v>11.3</v>
      </c>
      <c r="EA60" s="529">
        <f t="shared" si="205"/>
        <v>263</v>
      </c>
      <c r="EB60" s="687">
        <v>16</v>
      </c>
      <c r="EC60" s="241">
        <f t="shared" si="206"/>
        <v>16</v>
      </c>
      <c r="ED60" s="527"/>
      <c r="EE60" s="533">
        <f ca="1">IF(ED60&lt;TODAY(),TODAY(),ED60)</f>
        <v>43423</v>
      </c>
      <c r="EF60" s="529" t="str">
        <f t="shared" ca="1" si="207"/>
        <v>0</v>
      </c>
      <c r="EG60" s="527"/>
      <c r="EH60" s="533">
        <f ca="1">IF(EG60&lt;TODAY(),TODAY(),EG60)</f>
        <v>43423</v>
      </c>
      <c r="EI60" s="530" t="str">
        <f t="shared" ca="1" si="208"/>
        <v>0</v>
      </c>
      <c r="EJ60" s="533"/>
      <c r="EK60" s="533">
        <f ca="1">IF(EJ60&lt;TODAY(),TODAY(),EJ60)</f>
        <v>43423</v>
      </c>
      <c r="EL60" s="529" t="str">
        <f t="shared" ca="1" si="209"/>
        <v>0</v>
      </c>
      <c r="EM60" s="527"/>
      <c r="EN60" s="533">
        <f ca="1">IF(EM60&lt;TODAY(),TODAY(),EM60)</f>
        <v>43423</v>
      </c>
      <c r="EO60" s="529" t="str">
        <f t="shared" ca="1" si="210"/>
        <v>0</v>
      </c>
      <c r="EP60" s="533"/>
      <c r="EQ60" s="533">
        <f ca="1">IF(EP60&lt;TODAY(),TODAY(),EP60)</f>
        <v>43423</v>
      </c>
      <c r="ER60" s="529" t="str">
        <f t="shared" ca="1" si="211"/>
        <v>0</v>
      </c>
      <c r="ES60" s="533"/>
      <c r="ET60" s="533">
        <f ca="1">IF(ES60&lt;TODAY(),TODAY(),ES60)</f>
        <v>43423</v>
      </c>
      <c r="EU60" s="529" t="str">
        <f t="shared" ca="1" si="212"/>
        <v>0</v>
      </c>
      <c r="EV60" s="533"/>
      <c r="EW60" s="533">
        <f t="shared" ca="1" si="242"/>
        <v>43423</v>
      </c>
      <c r="EX60" s="529" t="str">
        <f t="shared" ca="1" si="213"/>
        <v>0</v>
      </c>
      <c r="EY60" s="533"/>
      <c r="EZ60" s="533"/>
      <c r="FA60" s="533"/>
      <c r="FB60" s="616">
        <f t="shared" si="214"/>
        <v>43831</v>
      </c>
      <c r="FC60" s="401">
        <f>DATE(YEAR(DX60),MONTH(DX60)+EB60,DAY(DX60))</f>
        <v>43831</v>
      </c>
      <c r="FD60" s="727">
        <f t="shared" si="215"/>
        <v>0</v>
      </c>
      <c r="FE60" s="573">
        <f t="shared" si="216"/>
        <v>731</v>
      </c>
      <c r="FF60" s="242"/>
      <c r="FG60" s="242"/>
      <c r="FH60" s="186">
        <f>DATE(YEAR(FC60),MONTH(FC60)+1,DAY(FC60))</f>
        <v>43862</v>
      </c>
      <c r="FI60" s="573"/>
      <c r="FJ60" s="571">
        <f t="shared" si="252"/>
        <v>43862</v>
      </c>
      <c r="FK60" s="450">
        <f>FH60</f>
        <v>43862</v>
      </c>
      <c r="FL60" s="574"/>
      <c r="FM60" s="724">
        <f>(DATEDIF(FJ60,FK60,"d"))/30</f>
        <v>0</v>
      </c>
      <c r="FN60" s="700"/>
      <c r="FO60" s="246">
        <f t="shared" si="218"/>
        <v>0</v>
      </c>
      <c r="FP60" s="117"/>
      <c r="FQ60" s="556">
        <v>0</v>
      </c>
      <c r="FR60" s="556">
        <v>31250</v>
      </c>
      <c r="FS60" s="556"/>
      <c r="FT60" s="556"/>
      <c r="FU60" s="556"/>
      <c r="FV60" s="749" t="e">
        <f t="shared" si="237"/>
        <v>#DIV/0!</v>
      </c>
      <c r="FW60" s="553"/>
      <c r="FX60" s="566"/>
      <c r="FY60" s="566" t="s">
        <v>745</v>
      </c>
      <c r="FZ60" s="553" t="s">
        <v>711</v>
      </c>
      <c r="GA60" s="121"/>
      <c r="GB60" s="121"/>
      <c r="GC60" s="121"/>
      <c r="GD60" s="121"/>
      <c r="GE60" s="121"/>
      <c r="GF60" s="53"/>
      <c r="GG60" s="280">
        <f t="shared" si="219"/>
        <v>44197</v>
      </c>
      <c r="GH60" s="280"/>
      <c r="GI60" s="53"/>
      <c r="GJ60" s="53"/>
      <c r="GK60" s="53"/>
      <c r="GL60" s="53"/>
      <c r="GM60" s="53"/>
      <c r="GN60" s="53"/>
      <c r="GO60" s="53"/>
      <c r="GP60" s="53"/>
      <c r="GQ60" s="53"/>
      <c r="GR60" s="53"/>
      <c r="GS60" s="53"/>
      <c r="GT60" s="53"/>
      <c r="GU60" s="53"/>
      <c r="GV60" s="112"/>
      <c r="GW60" s="112"/>
      <c r="GX60" s="388">
        <f>+HI60+HN60+HU60+IO60+HZ60+HY60</f>
        <v>31250</v>
      </c>
      <c r="GY60" s="387">
        <f>HJ60+HO60+HT60+HV60+HZ60</f>
        <v>0</v>
      </c>
      <c r="GZ60" s="387"/>
      <c r="HA60" s="388"/>
      <c r="HB60" s="387"/>
      <c r="HC60" s="387"/>
      <c r="HD60" s="387"/>
      <c r="HE60" s="387"/>
      <c r="HF60" s="388"/>
      <c r="HG60" s="199"/>
      <c r="HH60" s="107"/>
      <c r="HI60" s="744"/>
      <c r="HJ60" s="778"/>
      <c r="HK60" s="718"/>
      <c r="HL60" s="387">
        <f>HI60/AE60</f>
        <v>0</v>
      </c>
      <c r="HM60" s="387">
        <f>HJ60-HI60</f>
        <v>0</v>
      </c>
      <c r="HN60" s="745"/>
      <c r="HO60" s="388"/>
      <c r="HP60" s="387"/>
      <c r="HQ60" s="387"/>
      <c r="HR60" s="388"/>
      <c r="HS60" s="875">
        <f>HN60/AE60</f>
        <v>0</v>
      </c>
      <c r="HT60" s="387"/>
      <c r="HU60" s="387"/>
      <c r="HV60" s="388"/>
      <c r="HW60" s="387"/>
      <c r="HX60" s="393" t="e">
        <f t="shared" si="228"/>
        <v>#DIV/0!</v>
      </c>
      <c r="HY60" s="387"/>
      <c r="HZ60" s="387"/>
      <c r="IA60" s="388">
        <f t="shared" si="229"/>
        <v>0</v>
      </c>
      <c r="IB60" s="388">
        <f t="shared" si="230"/>
        <v>0</v>
      </c>
      <c r="IC60" s="390">
        <f t="shared" si="231"/>
        <v>0</v>
      </c>
      <c r="ID60" s="388">
        <f t="shared" si="247"/>
        <v>0</v>
      </c>
      <c r="IE60" s="391"/>
      <c r="IF60" s="391"/>
      <c r="IG60" s="387"/>
      <c r="IH60" s="387"/>
      <c r="II60" s="388">
        <f t="shared" si="253"/>
        <v>0</v>
      </c>
      <c r="IJ60" s="387"/>
      <c r="IK60" s="388">
        <f>(HJ60+HU60+IH60+IJ60)/AE60</f>
        <v>0</v>
      </c>
      <c r="IL60" s="107">
        <f t="shared" si="254"/>
        <v>0</v>
      </c>
      <c r="IM60" s="387"/>
      <c r="IN60" s="387"/>
      <c r="IO60" s="387">
        <f>FR60</f>
        <v>31250</v>
      </c>
      <c r="IP60" s="392">
        <f>GX60+IG60</f>
        <v>31250</v>
      </c>
      <c r="IQ60" s="277"/>
      <c r="IR60" s="277">
        <f t="shared" si="255"/>
        <v>0</v>
      </c>
      <c r="IS60" s="278"/>
      <c r="IT60" s="281">
        <v>0</v>
      </c>
      <c r="IU60" s="281"/>
      <c r="IV60" s="268"/>
      <c r="IW60" s="268"/>
      <c r="IX60" s="457">
        <v>0</v>
      </c>
      <c r="IY60" s="268"/>
      <c r="IZ60" s="274">
        <v>0</v>
      </c>
      <c r="JA60" s="261"/>
      <c r="JB60" s="460"/>
      <c r="JC60" s="279"/>
      <c r="JD60" s="284"/>
      <c r="JE60" s="282"/>
      <c r="JF60" s="282"/>
      <c r="JG60" s="276"/>
      <c r="JH60" s="281"/>
      <c r="JI60" s="276"/>
      <c r="JJ60" s="281"/>
      <c r="JK60" s="300"/>
      <c r="JL60" s="300"/>
      <c r="JM60" s="300"/>
      <c r="JN60" s="300"/>
      <c r="JO60" s="269"/>
      <c r="JP60" s="269"/>
      <c r="JQ60" s="269"/>
      <c r="JR60" s="269"/>
      <c r="JS60" s="269"/>
      <c r="JT60" s="269"/>
      <c r="JU60" s="281" t="e">
        <f>$JU$1*IQ60</f>
        <v>#VALUE!</v>
      </c>
      <c r="JV60" s="117"/>
      <c r="JW60" s="279"/>
      <c r="JX60" s="117"/>
      <c r="JY60" s="117"/>
      <c r="JZ60" s="279"/>
    </row>
    <row r="61" spans="1:286" ht="15" customHeight="1">
      <c r="A61" s="86" t="s">
        <v>397</v>
      </c>
      <c r="B61" s="86"/>
      <c r="C61" s="53" t="s">
        <v>35</v>
      </c>
      <c r="D61" s="53" t="s">
        <v>112</v>
      </c>
      <c r="E61" s="53">
        <v>2015</v>
      </c>
      <c r="F61" s="53" t="s">
        <v>253</v>
      </c>
      <c r="G61" s="53" t="s">
        <v>317</v>
      </c>
      <c r="H61" s="53" t="s">
        <v>179</v>
      </c>
      <c r="I61" s="53" t="s">
        <v>173</v>
      </c>
      <c r="J61" s="53"/>
      <c r="K61" s="53"/>
      <c r="L61" s="255" t="s">
        <v>599</v>
      </c>
      <c r="M61" s="166" t="s">
        <v>275</v>
      </c>
      <c r="N61" s="880"/>
      <c r="O61" s="168"/>
      <c r="P61" s="207">
        <v>8838</v>
      </c>
      <c r="Q61" s="207">
        <v>652080</v>
      </c>
      <c r="R61" s="207">
        <f>Q61</f>
        <v>652080</v>
      </c>
      <c r="S61" s="207">
        <f>Q61/89</f>
        <v>7326.7415730337079</v>
      </c>
      <c r="T61" s="207">
        <f>Q61/P61</f>
        <v>73.78139850644942</v>
      </c>
      <c r="U61" s="213">
        <f>R61/P61</f>
        <v>73.78139850644942</v>
      </c>
      <c r="V61" s="213">
        <f>R61/AN61</f>
        <v>335.48387096774195</v>
      </c>
      <c r="W61" s="213">
        <f>R61/AE61</f>
        <v>32604</v>
      </c>
      <c r="X61" s="207">
        <f>P61/AE61</f>
        <v>441.9</v>
      </c>
      <c r="Y61" s="208"/>
      <c r="Z61" s="904">
        <f t="shared" si="51"/>
        <v>22.629554197782305</v>
      </c>
      <c r="AA61" s="208" t="s">
        <v>188</v>
      </c>
      <c r="AB61" s="208">
        <v>630</v>
      </c>
      <c r="AC61" s="209">
        <v>0</v>
      </c>
      <c r="AD61" s="54" t="s">
        <v>15</v>
      </c>
      <c r="AE61" s="771">
        <f t="shared" si="190"/>
        <v>20</v>
      </c>
      <c r="AF61" s="771">
        <f t="shared" si="191"/>
        <v>20</v>
      </c>
      <c r="AG61" s="53">
        <v>20</v>
      </c>
      <c r="AH61" s="64"/>
      <c r="AI61" s="64"/>
      <c r="AJ61" s="8"/>
      <c r="AK61" s="269"/>
      <c r="AL61" s="57">
        <v>1853.17</v>
      </c>
      <c r="AM61" s="57"/>
      <c r="AN61" s="408">
        <v>1943.7</v>
      </c>
      <c r="AO61" s="9">
        <f>AN61/AE61</f>
        <v>97.185000000000002</v>
      </c>
      <c r="AP61" s="78"/>
      <c r="AQ61" s="78"/>
      <c r="AR61" s="78"/>
      <c r="AS61" s="78">
        <f>16/AE61</f>
        <v>0.8</v>
      </c>
      <c r="AT61" s="78">
        <f>4/AE61</f>
        <v>0.2</v>
      </c>
      <c r="AU61" s="57"/>
      <c r="AV61" s="76" t="s">
        <v>168</v>
      </c>
      <c r="AW61" s="78">
        <v>0</v>
      </c>
      <c r="AX61" s="57">
        <v>4</v>
      </c>
      <c r="AY61" s="56" t="s">
        <v>549</v>
      </c>
      <c r="AZ61" s="53" t="s">
        <v>120</v>
      </c>
      <c r="BA61" s="53"/>
      <c r="BB61" s="53"/>
      <c r="BC61" s="53"/>
      <c r="BD61" s="184">
        <v>42031</v>
      </c>
      <c r="BE61" s="53"/>
      <c r="BF61" s="110" t="s">
        <v>168</v>
      </c>
      <c r="BG61" s="110" t="s">
        <v>283</v>
      </c>
      <c r="BH61" s="97"/>
      <c r="BI61" s="204">
        <v>42354</v>
      </c>
      <c r="BJ61" s="99"/>
      <c r="BK61" s="99"/>
      <c r="BL61" s="204"/>
      <c r="BM61" s="99"/>
      <c r="BN61" s="161">
        <v>42899</v>
      </c>
      <c r="BO61" s="202">
        <v>42929</v>
      </c>
      <c r="BP61" s="161">
        <v>43013</v>
      </c>
      <c r="BQ61" s="161">
        <v>42943</v>
      </c>
      <c r="BR61" s="299">
        <f t="shared" si="248"/>
        <v>42929</v>
      </c>
      <c r="BS61" s="298">
        <f t="shared" si="249"/>
        <v>43659</v>
      </c>
      <c r="BT61" s="298">
        <f t="shared" si="250"/>
        <v>44025</v>
      </c>
      <c r="BU61" s="738">
        <f>82893+7312.94</f>
        <v>90205.94</v>
      </c>
      <c r="BV61" s="298" t="str">
        <f>IF(FK61&gt;BT61,"oui","non")</f>
        <v>non</v>
      </c>
      <c r="BW61" s="672">
        <f t="shared" si="195"/>
        <v>3</v>
      </c>
      <c r="BX61" s="672">
        <f t="shared" si="196"/>
        <v>37038</v>
      </c>
      <c r="BY61" s="672">
        <f t="shared" si="197"/>
        <v>-53167.94</v>
      </c>
      <c r="BZ61" s="824">
        <v>42920</v>
      </c>
      <c r="CA61" s="816" t="s">
        <v>621</v>
      </c>
      <c r="CB61" s="826">
        <v>43025</v>
      </c>
      <c r="CC61" s="826"/>
      <c r="CD61" s="826"/>
      <c r="CE61" s="826"/>
      <c r="CF61" s="819"/>
      <c r="CG61" s="819"/>
      <c r="CH61" s="819"/>
      <c r="CI61" s="819"/>
      <c r="CJ61" s="819"/>
      <c r="CK61" s="819"/>
      <c r="CL61" s="819"/>
      <c r="CM61" s="819"/>
      <c r="CN61" s="827"/>
      <c r="CO61" s="827"/>
      <c r="CP61" s="827"/>
      <c r="CQ61" s="827"/>
      <c r="CR61" s="827"/>
      <c r="CS61" s="883"/>
      <c r="CT61" s="250"/>
      <c r="CU61" s="250"/>
      <c r="CV61" s="158"/>
      <c r="CW61" s="250"/>
      <c r="CX61" s="250"/>
      <c r="CY61" s="250"/>
      <c r="CZ61" s="250" t="s">
        <v>168</v>
      </c>
      <c r="DA61" s="598"/>
      <c r="DB61" s="122">
        <v>41907</v>
      </c>
      <c r="DC61" s="122">
        <v>41921</v>
      </c>
      <c r="DD61" s="122">
        <v>41921</v>
      </c>
      <c r="DE61" s="523">
        <f t="shared" si="198"/>
        <v>0</v>
      </c>
      <c r="DF61" s="122">
        <v>41999</v>
      </c>
      <c r="DG61" s="122">
        <v>42040</v>
      </c>
      <c r="DH61" s="523">
        <f t="shared" si="199"/>
        <v>41</v>
      </c>
      <c r="DI61" s="122">
        <v>42020</v>
      </c>
      <c r="DJ61" s="122">
        <v>42054</v>
      </c>
      <c r="DK61" s="523">
        <f t="shared" si="200"/>
        <v>34</v>
      </c>
      <c r="DL61" s="122">
        <v>42100</v>
      </c>
      <c r="DM61" s="122">
        <v>42136</v>
      </c>
      <c r="DN61" s="523">
        <f t="shared" si="201"/>
        <v>36</v>
      </c>
      <c r="DO61" s="122">
        <v>42177</v>
      </c>
      <c r="DP61" s="122">
        <v>42254</v>
      </c>
      <c r="DQ61" s="523">
        <f t="shared" si="202"/>
        <v>77</v>
      </c>
      <c r="DR61" s="451"/>
      <c r="DS61" s="122">
        <v>42514</v>
      </c>
      <c r="DT61" s="122">
        <v>43042</v>
      </c>
      <c r="DU61" s="122">
        <v>43088</v>
      </c>
      <c r="DV61" s="523">
        <f t="shared" si="203"/>
        <v>46</v>
      </c>
      <c r="DW61" s="122">
        <v>43115</v>
      </c>
      <c r="DX61" s="440">
        <v>43129</v>
      </c>
      <c r="DY61" s="441">
        <v>2018</v>
      </c>
      <c r="DZ61" s="447">
        <f t="shared" si="204"/>
        <v>25.833333333333332</v>
      </c>
      <c r="EA61" s="523">
        <f t="shared" si="205"/>
        <v>14</v>
      </c>
      <c r="EB61" s="254">
        <v>21</v>
      </c>
      <c r="EC61" s="116">
        <f t="shared" si="206"/>
        <v>21</v>
      </c>
      <c r="ED61" s="533">
        <v>43250</v>
      </c>
      <c r="EE61" s="533">
        <f ca="1">IF(ED61&lt;TODAY(),TODAY(),ED61)</f>
        <v>43423</v>
      </c>
      <c r="EF61" s="529">
        <f t="shared" ca="1" si="207"/>
        <v>173</v>
      </c>
      <c r="EG61" s="533">
        <v>43322</v>
      </c>
      <c r="EH61" s="551">
        <f ca="1">IF(EG61&lt;TODAY(),TODAY(),EG61)</f>
        <v>43423</v>
      </c>
      <c r="EI61" s="530">
        <f t="shared" ca="1" si="208"/>
        <v>101</v>
      </c>
      <c r="EJ61" s="533">
        <v>43529</v>
      </c>
      <c r="EK61" s="533">
        <f ca="1">IF(EJ61&lt;TODAY(),TODAY(),EJ61)</f>
        <v>43529</v>
      </c>
      <c r="EL61" s="529">
        <f t="shared" ca="1" si="209"/>
        <v>0</v>
      </c>
      <c r="EM61" s="527">
        <v>43615</v>
      </c>
      <c r="EN61" s="533">
        <f ca="1">IF(EM61&lt;TODAY(),TODAY(),EM61)</f>
        <v>43615</v>
      </c>
      <c r="EO61" s="529">
        <f t="shared" ca="1" si="210"/>
        <v>0</v>
      </c>
      <c r="EP61" s="533">
        <v>43622</v>
      </c>
      <c r="EQ61" s="533">
        <f ca="1">IF(EP61&lt;TODAY(),TODAY(),EP61)</f>
        <v>43622</v>
      </c>
      <c r="ER61" s="529">
        <f t="shared" ca="1" si="211"/>
        <v>0</v>
      </c>
      <c r="ES61" s="533">
        <v>43626</v>
      </c>
      <c r="ET61" s="533">
        <f ca="1">IF(ES61&lt;TODAY(),TODAY(),ES61)</f>
        <v>43626</v>
      </c>
      <c r="EU61" s="529">
        <f t="shared" ca="1" si="212"/>
        <v>0</v>
      </c>
      <c r="EV61" s="533">
        <v>43648</v>
      </c>
      <c r="EW61" s="533">
        <f t="shared" ca="1" si="242"/>
        <v>43648</v>
      </c>
      <c r="EX61" s="529">
        <f t="shared" ca="1" si="213"/>
        <v>0</v>
      </c>
      <c r="EY61" s="653">
        <v>43703</v>
      </c>
      <c r="EZ61" s="653">
        <v>43703</v>
      </c>
      <c r="FA61" s="653">
        <v>43657</v>
      </c>
      <c r="FB61" s="731">
        <f t="shared" si="214"/>
        <v>43767</v>
      </c>
      <c r="FC61" s="730">
        <f>DATE(YEAR(DX61),MONTH(DX61)+EB61,DAY(DX61))</f>
        <v>43767</v>
      </c>
      <c r="FD61" s="730">
        <f t="shared" si="215"/>
        <v>0</v>
      </c>
      <c r="FE61" s="730">
        <f t="shared" si="216"/>
        <v>731</v>
      </c>
      <c r="FF61" s="730"/>
      <c r="FG61" s="730"/>
      <c r="FH61" s="730">
        <f>DATE(YEAR(FC61),MONTH(FC61)+4,DAY(FC61)+2)</f>
        <v>43892</v>
      </c>
      <c r="FI61" s="730"/>
      <c r="FJ61" s="730">
        <f t="shared" si="252"/>
        <v>43798</v>
      </c>
      <c r="FK61" s="730">
        <v>43923</v>
      </c>
      <c r="FL61" s="574"/>
      <c r="FM61" s="723">
        <f>(DATEDIF(FJ61,FK61,"d"))/30</f>
        <v>4.166666666666667</v>
      </c>
      <c r="FN61" s="700">
        <v>12346</v>
      </c>
      <c r="FO61" s="246">
        <f t="shared" si="218"/>
        <v>51441.666666666672</v>
      </c>
      <c r="FP61" s="273"/>
      <c r="FQ61" s="556">
        <v>0</v>
      </c>
      <c r="FR61" s="556">
        <v>0</v>
      </c>
      <c r="FS61" s="556">
        <f>475800*1.021</f>
        <v>485791.79999999993</v>
      </c>
      <c r="FT61" s="556"/>
      <c r="FU61" s="748">
        <v>0</v>
      </c>
      <c r="FV61" s="749">
        <f t="shared" si="237"/>
        <v>0</v>
      </c>
      <c r="FW61" s="559" t="s">
        <v>701</v>
      </c>
      <c r="FX61" s="577" t="s">
        <v>741</v>
      </c>
      <c r="FY61" s="577" t="s">
        <v>746</v>
      </c>
      <c r="FZ61" s="577"/>
      <c r="GA61" s="121"/>
      <c r="GB61" s="121"/>
      <c r="GC61" s="121"/>
      <c r="GD61" s="121"/>
      <c r="GE61" s="121"/>
      <c r="GF61" s="53"/>
      <c r="GG61" s="280">
        <f t="shared" si="219"/>
        <v>44133</v>
      </c>
      <c r="GH61" s="280"/>
      <c r="GI61" s="53"/>
      <c r="GJ61" s="53"/>
      <c r="GK61" s="53"/>
      <c r="GL61" s="53"/>
      <c r="GM61" s="53"/>
      <c r="GN61" s="53"/>
      <c r="GO61" s="53"/>
      <c r="GP61" s="53"/>
      <c r="GQ61" s="53"/>
      <c r="GR61" s="53"/>
      <c r="GS61" s="53"/>
      <c r="GT61" s="53"/>
      <c r="GU61" s="53"/>
      <c r="GV61" s="112"/>
      <c r="GW61" s="112"/>
      <c r="GX61" s="93">
        <f>HI61+HN61+HU61</f>
        <v>3620927.386608588</v>
      </c>
      <c r="GY61" s="67">
        <f>HJ61+HO61+HV61+IO61+HW61+HZ61</f>
        <v>3410268</v>
      </c>
      <c r="GZ61" s="797">
        <f>GY61</f>
        <v>3410268</v>
      </c>
      <c r="HA61" s="94">
        <f>GY61-GX61</f>
        <v>-210659.38660858804</v>
      </c>
      <c r="HB61" s="49">
        <f>GY61/AL61</f>
        <v>1840.2348408402897</v>
      </c>
      <c r="HC61" s="49">
        <f>GY61/AE61</f>
        <v>170513.4</v>
      </c>
      <c r="HD61" s="93">
        <v>3320758.5701554646</v>
      </c>
      <c r="HE61" s="67">
        <v>3416358.2225748161</v>
      </c>
      <c r="HF61" s="12">
        <f>HE61-HD61</f>
        <v>95599.652419351507</v>
      </c>
      <c r="HG61" s="127">
        <f>HE61*1.021/GY61</f>
        <v>1.02282335149287</v>
      </c>
      <c r="HH61" s="129">
        <v>0.39</v>
      </c>
      <c r="HI61" s="93">
        <v>1232699.6352114086</v>
      </c>
      <c r="HJ61" s="638">
        <v>1114069</v>
      </c>
      <c r="HK61" s="642">
        <v>1114069</v>
      </c>
      <c r="HL61" s="23">
        <f>HJ61/AE61</f>
        <v>55703.45</v>
      </c>
      <c r="HM61" s="37">
        <f>HJ61-HI61</f>
        <v>-118630.6352114086</v>
      </c>
      <c r="HN61" s="93">
        <v>2188227.7513971794</v>
      </c>
      <c r="HO61" s="894">
        <f>HP61+HQ61</f>
        <v>2066681</v>
      </c>
      <c r="HP61" s="895">
        <v>309940</v>
      </c>
      <c r="HQ61" s="895">
        <v>1756741</v>
      </c>
      <c r="HR61" s="37">
        <f>HO61-HN61</f>
        <v>-121546.75139717944</v>
      </c>
      <c r="HS61" s="629">
        <f>HO61/AE61</f>
        <v>103334.05</v>
      </c>
      <c r="HT61" s="67"/>
      <c r="HU61" s="93">
        <v>200000</v>
      </c>
      <c r="HV61" s="67">
        <v>200000</v>
      </c>
      <c r="HW61" s="67"/>
      <c r="HX61" s="40">
        <f t="shared" si="228"/>
        <v>5.8646417231724896E-2</v>
      </c>
      <c r="HY61" s="303"/>
      <c r="HZ61" s="67">
        <v>29518</v>
      </c>
      <c r="IA61" s="24">
        <f t="shared" si="229"/>
        <v>0</v>
      </c>
      <c r="IB61" s="23">
        <f t="shared" si="230"/>
        <v>10000</v>
      </c>
      <c r="IC61" s="81">
        <f t="shared" si="231"/>
        <v>65703.45</v>
      </c>
      <c r="ID61" s="24">
        <f t="shared" si="247"/>
        <v>0</v>
      </c>
      <c r="IE61" s="90">
        <v>6.32</v>
      </c>
      <c r="IF61" s="90">
        <v>5.48</v>
      </c>
      <c r="IG61" s="91">
        <v>0</v>
      </c>
      <c r="IH61" s="91">
        <v>0</v>
      </c>
      <c r="II61" s="23">
        <f>(HJ61+HV61+IH61)/AE61</f>
        <v>65703.45</v>
      </c>
      <c r="IJ61" s="91">
        <v>0</v>
      </c>
      <c r="IK61" s="23">
        <f>(HJ61+HV61+IH61+IJ61)/AE61</f>
        <v>65703.45</v>
      </c>
      <c r="IL61" s="50">
        <f>(HJ61+HV61+IH61+IJ61)/(IG61+GY61-IM61)</f>
        <v>0.38532719422637751</v>
      </c>
      <c r="IM61" s="91">
        <v>0</v>
      </c>
      <c r="IN61" s="91"/>
      <c r="IO61" s="67">
        <v>0</v>
      </c>
      <c r="IP61" s="96">
        <f>GY61+IG61</f>
        <v>3410268</v>
      </c>
      <c r="IQ61" s="277">
        <v>685491</v>
      </c>
      <c r="IR61" s="277">
        <f t="shared" si="255"/>
        <v>445569</v>
      </c>
      <c r="IS61" s="113">
        <v>41936</v>
      </c>
      <c r="IT61" s="231">
        <v>67842</v>
      </c>
      <c r="IU61" s="231"/>
      <c r="IV61" s="113"/>
      <c r="IW61" s="113">
        <v>41992</v>
      </c>
      <c r="IX61" s="231">
        <v>33921</v>
      </c>
      <c r="IY61" s="113">
        <v>42065</v>
      </c>
      <c r="IZ61" s="231">
        <v>72217</v>
      </c>
      <c r="JA61" s="113">
        <v>42121</v>
      </c>
      <c r="JB61" s="231">
        <v>65293</v>
      </c>
      <c r="JC61" s="114"/>
      <c r="JD61" s="321">
        <v>103472</v>
      </c>
      <c r="JE61" s="313"/>
      <c r="JF61" s="313"/>
      <c r="JG61" s="122"/>
      <c r="JH61" s="435"/>
      <c r="JI61" s="122">
        <v>43083</v>
      </c>
      <c r="JJ61" s="231">
        <v>68549</v>
      </c>
      <c r="JK61" s="113">
        <v>43333</v>
      </c>
      <c r="JL61" s="114">
        <v>34275</v>
      </c>
      <c r="JM61" s="300"/>
      <c r="JN61" s="300"/>
      <c r="JO61" s="269"/>
      <c r="JP61" s="269"/>
      <c r="JQ61" s="269"/>
      <c r="JR61" s="269"/>
      <c r="JS61" s="269"/>
      <c r="JT61" s="269"/>
      <c r="JU61" s="231">
        <v>72217</v>
      </c>
      <c r="JV61" s="122"/>
      <c r="JW61" s="114"/>
      <c r="JX61" s="122"/>
      <c r="JY61" s="122"/>
      <c r="JZ61" s="114"/>
    </row>
    <row r="62" spans="1:286" ht="15" customHeight="1">
      <c r="A62" s="86" t="s">
        <v>356</v>
      </c>
      <c r="B62" s="86"/>
      <c r="C62" s="53" t="s">
        <v>35</v>
      </c>
      <c r="D62" s="53" t="s">
        <v>112</v>
      </c>
      <c r="E62" s="53">
        <v>2016</v>
      </c>
      <c r="F62" s="53" t="s">
        <v>253</v>
      </c>
      <c r="G62" s="53" t="s">
        <v>317</v>
      </c>
      <c r="H62" s="313"/>
      <c r="I62" s="53" t="s">
        <v>173</v>
      </c>
      <c r="J62" s="53"/>
      <c r="K62" s="53"/>
      <c r="L62" s="255" t="s">
        <v>599</v>
      </c>
      <c r="M62" s="166" t="s">
        <v>275</v>
      </c>
      <c r="N62" s="167" t="s">
        <v>149</v>
      </c>
      <c r="O62" s="168"/>
      <c r="P62" s="207">
        <v>8838</v>
      </c>
      <c r="Q62" s="207">
        <v>652080</v>
      </c>
      <c r="R62" s="207">
        <f>Q62</f>
        <v>652080</v>
      </c>
      <c r="S62" s="207">
        <f>Q62/89</f>
        <v>7326.7415730337079</v>
      </c>
      <c r="T62" s="207">
        <f>Q62/P62</f>
        <v>73.78139850644942</v>
      </c>
      <c r="U62" s="213">
        <f>R62/P62</f>
        <v>73.78139850644942</v>
      </c>
      <c r="V62" s="213">
        <f>R62/AN62</f>
        <v>130.36333321338179</v>
      </c>
      <c r="W62" s="213">
        <f>R62/AE62</f>
        <v>9450.434782608696</v>
      </c>
      <c r="X62" s="207">
        <f>P62/AE62</f>
        <v>128.08695652173913</v>
      </c>
      <c r="Y62" s="208"/>
      <c r="Z62" s="904">
        <f t="shared" si="51"/>
        <v>78.071961982348952</v>
      </c>
      <c r="AA62" s="208" t="s">
        <v>188</v>
      </c>
      <c r="AB62" s="208">
        <v>630</v>
      </c>
      <c r="AC62" s="209">
        <v>0</v>
      </c>
      <c r="AD62" s="54" t="s">
        <v>16</v>
      </c>
      <c r="AE62" s="771">
        <f t="shared" si="190"/>
        <v>69</v>
      </c>
      <c r="AF62" s="771">
        <f t="shared" si="191"/>
        <v>69</v>
      </c>
      <c r="AG62" s="64"/>
      <c r="AH62" s="53">
        <v>69</v>
      </c>
      <c r="AI62" s="53"/>
      <c r="AJ62" s="53"/>
      <c r="AK62" s="269"/>
      <c r="AL62" s="57">
        <v>4692.6549999999988</v>
      </c>
      <c r="AM62" s="57"/>
      <c r="AN62" s="408">
        <v>5002.0200000000004</v>
      </c>
      <c r="AO62" s="9">
        <f>AN62/AE62</f>
        <v>72.493043478260873</v>
      </c>
      <c r="AP62" s="78">
        <f>12/AE62</f>
        <v>0.17391304347826086</v>
      </c>
      <c r="AQ62" s="78">
        <f>29/AE62</f>
        <v>0.42028985507246375</v>
      </c>
      <c r="AR62" s="78">
        <f>28/AE62</f>
        <v>0.40579710144927539</v>
      </c>
      <c r="AS62" s="78">
        <v>0</v>
      </c>
      <c r="AT62" s="78">
        <v>0</v>
      </c>
      <c r="AU62" s="57"/>
      <c r="AV62" s="76" t="s">
        <v>168</v>
      </c>
      <c r="AW62" s="78">
        <v>0</v>
      </c>
      <c r="AX62" s="57">
        <v>4</v>
      </c>
      <c r="AY62" s="56" t="s">
        <v>549</v>
      </c>
      <c r="AZ62" s="53" t="s">
        <v>120</v>
      </c>
      <c r="BA62" s="53"/>
      <c r="BB62" s="53"/>
      <c r="BC62" s="53"/>
      <c r="BD62" s="236">
        <v>42031</v>
      </c>
      <c r="BE62" s="236">
        <v>42475</v>
      </c>
      <c r="BF62" s="110" t="s">
        <v>168</v>
      </c>
      <c r="BG62" s="110" t="s">
        <v>283</v>
      </c>
      <c r="BH62" s="97"/>
      <c r="BI62" s="204">
        <v>42462</v>
      </c>
      <c r="BJ62" s="99"/>
      <c r="BK62" s="99"/>
      <c r="BL62" s="204"/>
      <c r="BM62" s="99"/>
      <c r="BN62" s="161">
        <v>42899</v>
      </c>
      <c r="BO62" s="202">
        <v>42929</v>
      </c>
      <c r="BP62" s="161">
        <v>43013</v>
      </c>
      <c r="BQ62" s="161">
        <v>42943</v>
      </c>
      <c r="BR62" s="299">
        <f t="shared" si="248"/>
        <v>42929</v>
      </c>
      <c r="BS62" s="298">
        <f t="shared" si="249"/>
        <v>43659</v>
      </c>
      <c r="BT62" s="298">
        <f t="shared" si="250"/>
        <v>44025</v>
      </c>
      <c r="BU62" s="738">
        <f>17610.41+217516</f>
        <v>235126.41</v>
      </c>
      <c r="BV62" s="298" t="str">
        <f>IF(FK62&gt;BT62,"oui","non")</f>
        <v>non</v>
      </c>
      <c r="BW62" s="672">
        <f t="shared" si="195"/>
        <v>3</v>
      </c>
      <c r="BX62" s="672">
        <f t="shared" si="196"/>
        <v>76177.880569269342</v>
      </c>
      <c r="BY62" s="672">
        <f t="shared" si="197"/>
        <v>-158948.52943073068</v>
      </c>
      <c r="BZ62" s="824">
        <v>42920</v>
      </c>
      <c r="CA62" s="816" t="s">
        <v>603</v>
      </c>
      <c r="CB62" s="826">
        <v>43025</v>
      </c>
      <c r="CC62" s="826"/>
      <c r="CD62" s="826"/>
      <c r="CE62" s="826"/>
      <c r="CF62" s="819"/>
      <c r="CG62" s="819"/>
      <c r="CH62" s="819"/>
      <c r="CI62" s="819"/>
      <c r="CJ62" s="819"/>
      <c r="CK62" s="819"/>
      <c r="CL62" s="819"/>
      <c r="CM62" s="819"/>
      <c r="CN62" s="819"/>
      <c r="CO62" s="819"/>
      <c r="CP62" s="819"/>
      <c r="CQ62" s="819"/>
      <c r="CR62" s="819"/>
      <c r="CS62" s="159" t="s">
        <v>68</v>
      </c>
      <c r="CT62" s="250"/>
      <c r="CU62" s="250"/>
      <c r="CV62" s="158"/>
      <c r="CW62" s="250"/>
      <c r="CX62" s="250"/>
      <c r="CY62" s="250"/>
      <c r="CZ62" s="250" t="s">
        <v>168</v>
      </c>
      <c r="DA62" s="598"/>
      <c r="DB62" s="122"/>
      <c r="DC62" s="114"/>
      <c r="DD62" s="114"/>
      <c r="DE62" s="523" t="str">
        <f t="shared" si="198"/>
        <v>0</v>
      </c>
      <c r="DF62" s="122"/>
      <c r="DG62" s="122"/>
      <c r="DH62" s="523" t="str">
        <f t="shared" si="199"/>
        <v>0</v>
      </c>
      <c r="DI62" s="125"/>
      <c r="DJ62" s="122"/>
      <c r="DK62" s="523" t="str">
        <f t="shared" si="200"/>
        <v>0</v>
      </c>
      <c r="DL62" s="125"/>
      <c r="DM62" s="122"/>
      <c r="DN62" s="523" t="str">
        <f t="shared" si="201"/>
        <v>0</v>
      </c>
      <c r="DO62" s="125"/>
      <c r="DP62" s="569"/>
      <c r="DQ62" s="523" t="str">
        <f t="shared" si="202"/>
        <v>0</v>
      </c>
      <c r="DR62" s="451"/>
      <c r="DS62" s="231"/>
      <c r="DT62" s="122"/>
      <c r="DU62" s="231"/>
      <c r="DV62" s="523" t="str">
        <f t="shared" si="203"/>
        <v>0</v>
      </c>
      <c r="DW62" s="122"/>
      <c r="DX62" s="440">
        <v>43129</v>
      </c>
      <c r="DY62" s="441">
        <v>2018</v>
      </c>
      <c r="DZ62" s="447">
        <f t="shared" si="204"/>
        <v>22.233333333333334</v>
      </c>
      <c r="EA62" s="523" t="str">
        <f t="shared" si="205"/>
        <v>0</v>
      </c>
      <c r="EB62" s="254">
        <v>21</v>
      </c>
      <c r="EC62" s="116">
        <f t="shared" si="206"/>
        <v>21</v>
      </c>
      <c r="ED62" s="533"/>
      <c r="EE62" s="533">
        <f ca="1">IF(ED62&lt;TODAY(),TODAY(),ED62)</f>
        <v>43423</v>
      </c>
      <c r="EF62" s="529" t="str">
        <f t="shared" ca="1" si="207"/>
        <v>0</v>
      </c>
      <c r="EG62" s="533"/>
      <c r="EH62" s="551"/>
      <c r="EI62" s="530" t="str">
        <f t="shared" si="208"/>
        <v>0</v>
      </c>
      <c r="EJ62" s="531"/>
      <c r="EK62" s="532"/>
      <c r="EL62" s="529" t="str">
        <f t="shared" si="209"/>
        <v>0</v>
      </c>
      <c r="EM62" s="528"/>
      <c r="EN62" s="533"/>
      <c r="EO62" s="529" t="str">
        <f t="shared" si="210"/>
        <v>0</v>
      </c>
      <c r="EP62" s="536"/>
      <c r="EQ62" s="536"/>
      <c r="ER62" s="529" t="str">
        <f t="shared" si="211"/>
        <v>0</v>
      </c>
      <c r="ES62" s="536"/>
      <c r="ET62" s="535"/>
      <c r="EU62" s="529" t="str">
        <f t="shared" si="212"/>
        <v>0</v>
      </c>
      <c r="EV62" s="535"/>
      <c r="EW62" s="533">
        <f t="shared" ca="1" si="242"/>
        <v>43423</v>
      </c>
      <c r="EX62" s="529" t="str">
        <f t="shared" ca="1" si="213"/>
        <v>0</v>
      </c>
      <c r="EY62" s="535"/>
      <c r="EZ62" s="535"/>
      <c r="FA62" s="535"/>
      <c r="FB62" s="731">
        <f t="shared" si="214"/>
        <v>43767</v>
      </c>
      <c r="FC62" s="730">
        <f>DATE(YEAR(DX62),MONTH(DX62)+EB62,DAY(DX62))</f>
        <v>43767</v>
      </c>
      <c r="FD62" s="730">
        <f t="shared" si="215"/>
        <v>0</v>
      </c>
      <c r="FE62" s="730">
        <f t="shared" si="216"/>
        <v>731</v>
      </c>
      <c r="FF62" s="730"/>
      <c r="FG62" s="730"/>
      <c r="FH62" s="730">
        <f>DATE(YEAR(FC62),MONTH(FC62)+4,DAY(FC62)+2)</f>
        <v>43892</v>
      </c>
      <c r="FI62" s="730"/>
      <c r="FJ62" s="730">
        <f t="shared" si="252"/>
        <v>43798</v>
      </c>
      <c r="FK62" s="730">
        <v>43923</v>
      </c>
      <c r="FL62" s="574"/>
      <c r="FM62" s="723">
        <f>(DATEDIF(FJ62,FK62,"d"))/30</f>
        <v>4.166666666666667</v>
      </c>
      <c r="FN62" s="700">
        <v>25392.626856423114</v>
      </c>
      <c r="FO62" s="246">
        <f t="shared" si="218"/>
        <v>105802.61190176298</v>
      </c>
      <c r="FP62" s="273"/>
      <c r="FQ62" s="556">
        <v>0</v>
      </c>
      <c r="FR62" s="556">
        <v>0</v>
      </c>
      <c r="FS62" s="556"/>
      <c r="FT62" s="556"/>
      <c r="FU62" s="556">
        <v>0</v>
      </c>
      <c r="FV62" s="749">
        <f t="shared" si="237"/>
        <v>0</v>
      </c>
      <c r="FW62" s="553"/>
      <c r="FX62" s="566"/>
      <c r="FY62" s="566"/>
      <c r="FZ62" s="553"/>
      <c r="GA62" s="121"/>
      <c r="GB62" s="121"/>
      <c r="GC62" s="121"/>
      <c r="GD62" s="121"/>
      <c r="GE62" s="121"/>
      <c r="GF62" s="53"/>
      <c r="GG62" s="280">
        <f t="shared" si="219"/>
        <v>44133</v>
      </c>
      <c r="GH62" s="280"/>
      <c r="GI62" s="53"/>
      <c r="GJ62" s="53"/>
      <c r="GK62" s="53"/>
      <c r="GL62" s="53"/>
      <c r="GM62" s="53"/>
      <c r="GN62" s="53"/>
      <c r="GO62" s="53"/>
      <c r="GP62" s="53"/>
      <c r="GQ62" s="53"/>
      <c r="GR62" s="53"/>
      <c r="GS62" s="53"/>
      <c r="GT62" s="53"/>
      <c r="GU62" s="53"/>
      <c r="GV62" s="112"/>
      <c r="GW62" s="112"/>
      <c r="GX62" s="93">
        <f>GY62</f>
        <v>9081364</v>
      </c>
      <c r="GY62" s="67">
        <f>HJ62+HO62+HV62+IO62+HW62+HZ62</f>
        <v>9081364</v>
      </c>
      <c r="GZ62" s="797">
        <f>GY62</f>
        <v>9081364</v>
      </c>
      <c r="HA62" s="94">
        <f>GY62-GX62</f>
        <v>0</v>
      </c>
      <c r="HB62" s="49">
        <f>GY62/AL62</f>
        <v>1935.2294170357723</v>
      </c>
      <c r="HC62" s="49">
        <f>GY62/AE62</f>
        <v>131613.97101449277</v>
      </c>
      <c r="HD62" s="93">
        <f>HE62</f>
        <v>8791836.2692203913</v>
      </c>
      <c r="HE62" s="67">
        <v>8791836.2692203913</v>
      </c>
      <c r="HF62" s="12">
        <f>HE62-HD62</f>
        <v>0</v>
      </c>
      <c r="HG62" s="128">
        <f>HE62*1.021/GY62</f>
        <v>0.98844896326961662</v>
      </c>
      <c r="HH62" s="129">
        <v>0.39500000000000002</v>
      </c>
      <c r="HI62" s="93">
        <f>HJ62</f>
        <v>2943082</v>
      </c>
      <c r="HJ62" s="889">
        <v>2943082</v>
      </c>
      <c r="HK62" s="642">
        <v>2943082</v>
      </c>
      <c r="HL62" s="23">
        <f>HJ62/AE62</f>
        <v>42653.362318840576</v>
      </c>
      <c r="HM62" s="37">
        <f>HJ62-HI62</f>
        <v>0</v>
      </c>
      <c r="HN62" s="93">
        <f>HO62</f>
        <v>5336445</v>
      </c>
      <c r="HO62" s="860">
        <f>HP62+HQ62</f>
        <v>5336445</v>
      </c>
      <c r="HP62" s="754">
        <v>746372</v>
      </c>
      <c r="HQ62" s="754">
        <v>4590073</v>
      </c>
      <c r="HR62" s="37">
        <f>HO62-HN62</f>
        <v>0</v>
      </c>
      <c r="HS62" s="629">
        <f>HO62/AE62</f>
        <v>77339.782608695648</v>
      </c>
      <c r="HT62" s="67"/>
      <c r="HU62" s="93">
        <v>700000</v>
      </c>
      <c r="HV62" s="67">
        <v>700000</v>
      </c>
      <c r="HW62" s="67"/>
      <c r="HX62" s="40">
        <f t="shared" si="228"/>
        <v>7.7080931895252738E-2</v>
      </c>
      <c r="HY62" s="303"/>
      <c r="HZ62" s="67">
        <v>101837</v>
      </c>
      <c r="IA62" s="24">
        <f t="shared" si="229"/>
        <v>0</v>
      </c>
      <c r="IB62" s="23">
        <f t="shared" si="230"/>
        <v>10144.927536231884</v>
      </c>
      <c r="IC62" s="81">
        <f t="shared" si="231"/>
        <v>52798.289855072464</v>
      </c>
      <c r="ID62" s="24">
        <f t="shared" si="247"/>
        <v>0</v>
      </c>
      <c r="IE62" s="90">
        <v>5.51</v>
      </c>
      <c r="IF62" s="90">
        <v>5.48</v>
      </c>
      <c r="IG62" s="91">
        <v>0</v>
      </c>
      <c r="IH62" s="91">
        <v>0</v>
      </c>
      <c r="II62" s="23">
        <f>(HJ62+HV62+IH62)/AE62</f>
        <v>52798.289855072464</v>
      </c>
      <c r="IJ62" s="91">
        <v>0</v>
      </c>
      <c r="IK62" s="23">
        <f>(HJ62+HV62+IH62+IJ62)/AE62</f>
        <v>52798.289855072464</v>
      </c>
      <c r="IL62" s="50">
        <f>(HJ62+HV62+IH62+IJ62)/(IG62+GY62-IM62)</f>
        <v>0.40116022218688735</v>
      </c>
      <c r="IM62" s="91">
        <v>0</v>
      </c>
      <c r="IN62" s="91"/>
      <c r="IO62" s="67">
        <f>FR62</f>
        <v>0</v>
      </c>
      <c r="IP62" s="96">
        <f>GY62+IG62</f>
        <v>9081364</v>
      </c>
      <c r="IQ62" s="277"/>
      <c r="IR62" s="277">
        <f t="shared" si="255"/>
        <v>0</v>
      </c>
      <c r="IS62" s="113"/>
      <c r="IT62" s="231"/>
      <c r="IU62" s="231"/>
      <c r="IV62" s="113"/>
      <c r="IW62" s="113"/>
      <c r="IX62" s="231"/>
      <c r="IY62" s="113"/>
      <c r="IZ62" s="231"/>
      <c r="JA62" s="113"/>
      <c r="JB62" s="231"/>
      <c r="JC62" s="114"/>
      <c r="JD62" s="321"/>
      <c r="JE62" s="313"/>
      <c r="JF62" s="313"/>
      <c r="JG62" s="276"/>
      <c r="JH62" s="277"/>
      <c r="JI62" s="276"/>
      <c r="JJ62" s="277"/>
      <c r="JK62" s="275"/>
      <c r="JL62" s="275"/>
      <c r="JM62" s="275"/>
      <c r="JN62" s="275"/>
      <c r="JO62" s="269"/>
      <c r="JP62" s="269"/>
      <c r="JQ62" s="269"/>
      <c r="JR62" s="269"/>
      <c r="JS62" s="269"/>
      <c r="JT62" s="269"/>
      <c r="JU62" s="231"/>
      <c r="JV62" s="122"/>
      <c r="JW62" s="114"/>
      <c r="JX62" s="122"/>
      <c r="JY62" s="122"/>
      <c r="JZ62" s="114"/>
    </row>
    <row r="63" spans="1:286" ht="15" customHeight="1">
      <c r="A63" s="840" t="s">
        <v>431</v>
      </c>
      <c r="B63" s="840"/>
      <c r="C63" s="53" t="s">
        <v>28</v>
      </c>
      <c r="D63" s="53" t="s">
        <v>112</v>
      </c>
      <c r="E63" s="53">
        <v>2017</v>
      </c>
      <c r="F63" s="53"/>
      <c r="G63" s="53" t="s">
        <v>433</v>
      </c>
      <c r="H63" s="53" t="s">
        <v>838</v>
      </c>
      <c r="I63" s="53" t="s">
        <v>173</v>
      </c>
      <c r="J63" s="53"/>
      <c r="K63" s="53" t="s">
        <v>434</v>
      </c>
      <c r="L63" s="255" t="s">
        <v>495</v>
      </c>
      <c r="M63" s="166" t="s">
        <v>60</v>
      </c>
      <c r="N63" s="167" t="s">
        <v>469</v>
      </c>
      <c r="O63" s="168">
        <v>34914</v>
      </c>
      <c r="P63" s="231"/>
      <c r="Q63" s="231"/>
      <c r="R63" s="231"/>
      <c r="S63" s="231"/>
      <c r="T63" s="231"/>
      <c r="U63" s="604"/>
      <c r="V63" s="604"/>
      <c r="W63" s="604"/>
      <c r="X63" s="231"/>
      <c r="Y63" s="208"/>
      <c r="Z63" s="907" t="e">
        <f t="shared" si="51"/>
        <v>#DIV/0!</v>
      </c>
      <c r="AA63" s="208"/>
      <c r="AB63" s="208"/>
      <c r="AC63" s="209"/>
      <c r="AD63" s="53" t="s">
        <v>432</v>
      </c>
      <c r="AE63" s="771">
        <f t="shared" si="130"/>
        <v>26</v>
      </c>
      <c r="AF63" s="771">
        <f t="shared" si="131"/>
        <v>0</v>
      </c>
      <c r="AG63" s="64"/>
      <c r="AH63" s="114"/>
      <c r="AI63" s="114"/>
      <c r="AJ63" s="193">
        <v>26</v>
      </c>
      <c r="AK63" s="269"/>
      <c r="AL63" s="57"/>
      <c r="AM63" s="57"/>
      <c r="AN63" s="225"/>
      <c r="AO63" s="9"/>
      <c r="AP63" s="78"/>
      <c r="AQ63" s="78"/>
      <c r="AR63" s="78"/>
      <c r="AS63" s="78"/>
      <c r="AT63" s="78"/>
      <c r="AU63" s="57"/>
      <c r="AV63" s="76"/>
      <c r="AW63" s="78"/>
      <c r="AX63" s="57"/>
      <c r="AY63" s="53"/>
      <c r="AZ63" s="53"/>
      <c r="BA63" s="53"/>
      <c r="BB63" s="53"/>
      <c r="BC63" s="53"/>
      <c r="BD63" s="53"/>
      <c r="BE63" s="53"/>
      <c r="BF63" s="110"/>
      <c r="BG63" s="110"/>
      <c r="BH63" s="97"/>
      <c r="BI63" s="204">
        <v>43005</v>
      </c>
      <c r="BJ63" s="99"/>
      <c r="BK63" s="99"/>
      <c r="BL63" s="204"/>
      <c r="BM63" s="99"/>
      <c r="BN63" s="161">
        <v>43081</v>
      </c>
      <c r="BO63" s="202">
        <v>43235</v>
      </c>
      <c r="BP63" s="161">
        <f t="shared" ref="BP63:BP79" si="256">DATE(YEAR(BO63),MONTH(BO63)+3,DAY(BO63))</f>
        <v>43327</v>
      </c>
      <c r="BQ63" s="161"/>
      <c r="BR63" s="299">
        <f t="shared" ref="BR63:BR79" si="257">BO63</f>
        <v>43235</v>
      </c>
      <c r="BS63" s="298">
        <f t="shared" ref="BS63:BS79" si="258">DATE(YEAR(BR63),MONTH(BR63)+24,DAY(BR63))</f>
        <v>43966</v>
      </c>
      <c r="BT63" s="298">
        <f t="shared" ref="BT63:BT79" si="259">DATE(YEAR(BR63),MONTH(BR63)+36,DAY(BR63))</f>
        <v>44331</v>
      </c>
      <c r="BU63" s="298"/>
      <c r="BV63" s="298" t="str">
        <f>IF(FK63&gt;BS63,"oui","non")</f>
        <v>non</v>
      </c>
      <c r="BW63" s="672">
        <f t="shared" si="136"/>
        <v>14</v>
      </c>
      <c r="BX63" s="672">
        <f t="shared" si="137"/>
        <v>0</v>
      </c>
      <c r="BY63" s="672">
        <f t="shared" si="138"/>
        <v>0</v>
      </c>
      <c r="BZ63" s="824"/>
      <c r="CA63" s="834"/>
      <c r="CB63" s="826"/>
      <c r="CC63" s="826"/>
      <c r="CD63" s="826"/>
      <c r="CE63" s="826"/>
      <c r="CF63" s="819"/>
      <c r="CG63" s="819"/>
      <c r="CH63" s="819"/>
      <c r="CI63" s="819"/>
      <c r="CJ63" s="819"/>
      <c r="CK63" s="819"/>
      <c r="CL63" s="819"/>
      <c r="CM63" s="819"/>
      <c r="CN63" s="819"/>
      <c r="CO63" s="819"/>
      <c r="CP63" s="819"/>
      <c r="CQ63" s="819"/>
      <c r="CR63" s="819"/>
      <c r="CS63" s="159"/>
      <c r="CT63" s="163"/>
      <c r="CU63" s="250"/>
      <c r="CV63" s="158"/>
      <c r="CW63" s="163"/>
      <c r="CX63" s="250"/>
      <c r="CY63" s="250"/>
      <c r="CZ63" s="405"/>
      <c r="DA63" s="598"/>
      <c r="DB63" s="315">
        <v>42649</v>
      </c>
      <c r="DC63" s="122"/>
      <c r="DD63" s="122"/>
      <c r="DE63" s="523" t="str">
        <f t="shared" si="139"/>
        <v>0</v>
      </c>
      <c r="DF63" s="122">
        <v>42839</v>
      </c>
      <c r="DG63" s="122">
        <v>42879</v>
      </c>
      <c r="DH63" s="523">
        <f t="shared" si="140"/>
        <v>40</v>
      </c>
      <c r="DI63" s="315">
        <v>42814</v>
      </c>
      <c r="DJ63" s="315">
        <v>42793</v>
      </c>
      <c r="DK63" s="523">
        <f t="shared" si="141"/>
        <v>-21</v>
      </c>
      <c r="DL63" s="543">
        <v>42844</v>
      </c>
      <c r="DM63" s="540">
        <f ca="1">IF(DL63&lt;TODAY(),TODAY(),DL63)</f>
        <v>43423</v>
      </c>
      <c r="DN63" s="545">
        <f t="shared" ca="1" si="142"/>
        <v>579</v>
      </c>
      <c r="DO63" s="543">
        <v>42965</v>
      </c>
      <c r="DP63" s="543">
        <f ca="1">IF(DO63&lt;TODAY(),TODAY(),DO63)</f>
        <v>43423</v>
      </c>
      <c r="DQ63" s="545">
        <f t="shared" ca="1" si="143"/>
        <v>458</v>
      </c>
      <c r="DR63" s="451"/>
      <c r="DS63" s="549">
        <v>43249</v>
      </c>
      <c r="DT63" s="537">
        <v>43083</v>
      </c>
      <c r="DU63" s="533">
        <f t="shared" ref="DU63:DU78" ca="1" si="260">IF(DT63&lt;TODAY(),TODAY(),DT63)</f>
        <v>43423</v>
      </c>
      <c r="DV63" s="529">
        <f t="shared" ca="1" si="144"/>
        <v>340</v>
      </c>
      <c r="DW63" s="537">
        <v>43090</v>
      </c>
      <c r="DX63" s="348">
        <v>43363</v>
      </c>
      <c r="DY63" s="341">
        <v>2018</v>
      </c>
      <c r="DZ63" s="442">
        <f t="shared" si="145"/>
        <v>11.933333333333334</v>
      </c>
      <c r="EA63" s="529">
        <f t="shared" si="146"/>
        <v>273</v>
      </c>
      <c r="EB63" s="687">
        <v>12</v>
      </c>
      <c r="EC63" s="241">
        <f t="shared" si="147"/>
        <v>16</v>
      </c>
      <c r="ED63" s="527"/>
      <c r="EE63" s="533">
        <f t="shared" ref="EE63:EE85" ca="1" si="261">IF(ED63&lt;TODAY(),TODAY(),ED63)</f>
        <v>43423</v>
      </c>
      <c r="EF63" s="529" t="str">
        <f t="shared" ca="1" si="148"/>
        <v>0</v>
      </c>
      <c r="EG63" s="527"/>
      <c r="EH63" s="551">
        <f t="shared" ref="EH63:EH85" ca="1" si="262">IF(EG63&lt;TODAY(),TODAY(),EG63)</f>
        <v>43423</v>
      </c>
      <c r="EI63" s="530" t="str">
        <f t="shared" ca="1" si="149"/>
        <v>0</v>
      </c>
      <c r="EJ63" s="533"/>
      <c r="EK63" s="533">
        <f t="shared" ref="EK63:EK78" ca="1" si="263">IF(EJ63&lt;TODAY(),TODAY(),EJ63)</f>
        <v>43423</v>
      </c>
      <c r="EL63" s="529" t="str">
        <f t="shared" ca="1" si="150"/>
        <v>0</v>
      </c>
      <c r="EM63" s="533"/>
      <c r="EN63" s="533">
        <f t="shared" ref="EN63:EN78" ca="1" si="264">IF(EM63&lt;TODAY(),TODAY(),EM63)</f>
        <v>43423</v>
      </c>
      <c r="EO63" s="529" t="str">
        <f t="shared" ca="1" si="151"/>
        <v>0</v>
      </c>
      <c r="EP63" s="533"/>
      <c r="EQ63" s="533">
        <f ca="1">IF(EP63&lt;TODAY(),TODAY(),EP63)</f>
        <v>43423</v>
      </c>
      <c r="ER63" s="529" t="str">
        <f t="shared" ca="1" si="152"/>
        <v>0</v>
      </c>
      <c r="ES63" s="533"/>
      <c r="ET63" s="533">
        <f ca="1">IF(ES63&lt;TODAY(),TODAY(),ES63)</f>
        <v>43423</v>
      </c>
      <c r="EU63" s="529" t="str">
        <f t="shared" ca="1" si="153"/>
        <v>0</v>
      </c>
      <c r="EV63" s="533"/>
      <c r="EW63" s="533">
        <f t="shared" ref="EW63:EW78" ca="1" si="265">IF(EV63&lt;TODAY(),TODAY(),EV63)</f>
        <v>43423</v>
      </c>
      <c r="EX63" s="529" t="str">
        <f t="shared" ca="1" si="154"/>
        <v>0</v>
      </c>
      <c r="EY63" s="533"/>
      <c r="EZ63" s="533"/>
      <c r="FA63" s="533"/>
      <c r="FB63" s="616">
        <f t="shared" si="155"/>
        <v>43728</v>
      </c>
      <c r="FC63" s="730">
        <f>DATE(YEAR(DX63),MONTH(DX63)+16,DAY(DX63))</f>
        <v>43850</v>
      </c>
      <c r="FD63" s="908">
        <f t="shared" si="156"/>
        <v>4.0666666666666664</v>
      </c>
      <c r="FE63" s="730"/>
      <c r="FF63" s="730"/>
      <c r="FG63" s="730"/>
      <c r="FH63" s="730">
        <f>DATE(YEAR(FC63),MONTH(FC63)+1,DAY(FC63))</f>
        <v>43881</v>
      </c>
      <c r="FI63" s="730"/>
      <c r="FJ63" s="730">
        <f t="shared" ref="FJ63:FJ79" si="266">DATE(YEAR(FB63),MONTH(FB63)+1,DAY(FB63))</f>
        <v>43758</v>
      </c>
      <c r="FK63" s="730">
        <f>FH63</f>
        <v>43881</v>
      </c>
      <c r="FL63" s="574"/>
      <c r="FM63" s="724">
        <f t="shared" ref="FM63:FM92" si="267">(DATEDIF(FJ63,FK63,"d"))/30</f>
        <v>4.0999999999999996</v>
      </c>
      <c r="FN63" s="700"/>
      <c r="FO63" s="246">
        <f t="shared" si="159"/>
        <v>0</v>
      </c>
      <c r="FP63" s="117"/>
      <c r="FQ63" s="556">
        <v>0</v>
      </c>
      <c r="FR63" s="556">
        <v>0</v>
      </c>
      <c r="FS63" s="556"/>
      <c r="FT63" s="556"/>
      <c r="FU63" s="556"/>
      <c r="FV63" s="749">
        <f t="shared" ref="FV63:FV66" si="268">FU63/GY63</f>
        <v>0</v>
      </c>
      <c r="FW63" s="553"/>
      <c r="FX63" s="566"/>
      <c r="FY63" s="566"/>
      <c r="FZ63" s="553"/>
      <c r="GA63" s="121"/>
      <c r="GB63" s="121"/>
      <c r="GC63" s="121"/>
      <c r="GD63" s="121"/>
      <c r="GE63" s="121"/>
      <c r="GF63" s="53"/>
      <c r="GG63" s="280">
        <f t="shared" si="161"/>
        <v>44216</v>
      </c>
      <c r="GH63" s="280"/>
      <c r="GI63" s="53"/>
      <c r="GJ63" s="53"/>
      <c r="GK63" s="53"/>
      <c r="GL63" s="53"/>
      <c r="GM63" s="53"/>
      <c r="GN63" s="53"/>
      <c r="GO63" s="53"/>
      <c r="GP63" s="53"/>
      <c r="GQ63" s="53"/>
      <c r="GR63" s="53"/>
      <c r="GS63" s="53"/>
      <c r="GT63" s="53"/>
      <c r="GU63" s="53"/>
      <c r="GV63" s="112"/>
      <c r="GW63" s="112"/>
      <c r="GX63" s="387">
        <f>+HI63+HN63+HU63+IO63+HZ63+HY63</f>
        <v>0</v>
      </c>
      <c r="GY63" s="387">
        <f>HJ63+HO63+HT63+HV63+HZ63</f>
        <v>187500</v>
      </c>
      <c r="GZ63" s="387"/>
      <c r="HA63" s="11"/>
      <c r="HB63" s="67"/>
      <c r="HC63" s="87"/>
      <c r="HD63" s="87"/>
      <c r="HE63" s="67"/>
      <c r="HF63" s="40"/>
      <c r="HG63" s="67"/>
      <c r="HH63" s="67"/>
      <c r="HI63" s="67"/>
      <c r="HJ63" s="848"/>
      <c r="HK63" s="719"/>
      <c r="HL63" s="11">
        <f>HI63/AE63</f>
        <v>0</v>
      </c>
      <c r="HM63" s="88">
        <f t="shared" ref="HM63" si="269">HJ63-HI63</f>
        <v>0</v>
      </c>
      <c r="HN63" s="67"/>
      <c r="HO63" s="67"/>
      <c r="HP63" s="67"/>
      <c r="HQ63" s="87"/>
      <c r="HR63" s="13"/>
      <c r="HS63" s="11">
        <f>HN63/AE63</f>
        <v>0</v>
      </c>
      <c r="HT63" s="88"/>
      <c r="HU63" s="93"/>
      <c r="HV63" s="11">
        <v>187500</v>
      </c>
      <c r="HW63" s="67"/>
      <c r="HX63" s="13">
        <f t="shared" si="172"/>
        <v>1</v>
      </c>
      <c r="HY63" s="87"/>
      <c r="HZ63" s="67"/>
      <c r="IA63" s="40">
        <f t="shared" si="173"/>
        <v>187500</v>
      </c>
      <c r="IB63" s="388">
        <f t="shared" si="174"/>
        <v>7211.5384615384619</v>
      </c>
      <c r="IC63" s="390">
        <f t="shared" si="175"/>
        <v>7211.5384615384619</v>
      </c>
      <c r="ID63" s="388">
        <f t="shared" ref="ID63:ID70" si="270">IA63/AE63</f>
        <v>7211.5384615384619</v>
      </c>
      <c r="IE63" s="391"/>
      <c r="IF63" s="391"/>
      <c r="IG63" s="387"/>
      <c r="IH63" s="387"/>
      <c r="II63" s="388">
        <f t="shared" ref="II63:II70" si="271">(HI63+HU63+IH63)/AE63</f>
        <v>0</v>
      </c>
      <c r="IJ63" s="387"/>
      <c r="IK63" s="388">
        <f>(HJ63+HU63+IH63+IJ63)/AE63</f>
        <v>0</v>
      </c>
      <c r="IL63" s="107" t="e">
        <f t="shared" ref="IL63:IL79" si="272">(HI63+HU63+IH63+IJ63)/(IG63+GX63-IM63)</f>
        <v>#DIV/0!</v>
      </c>
      <c r="IM63" s="387"/>
      <c r="IN63" s="387"/>
      <c r="IO63" s="387">
        <f t="shared" ref="IO63:IO79" si="273">FR63</f>
        <v>0</v>
      </c>
      <c r="IP63" s="392">
        <f t="shared" ref="IP63:IP72" si="274">GX63+IG63</f>
        <v>0</v>
      </c>
      <c r="IQ63" s="277"/>
      <c r="IR63" s="277">
        <f t="shared" ref="IR63:IR79" si="275">IT63+IV63+IX63+IZ63+JB63+JD63+JF63+JH63+JJ63+JL63+JN63+JP63+JR63+JT63+JV63+JX63+JZ63</f>
        <v>0</v>
      </c>
      <c r="IS63" s="278"/>
      <c r="IT63" s="281">
        <v>0</v>
      </c>
      <c r="IU63" s="281"/>
      <c r="IV63" s="268"/>
      <c r="IW63" s="268"/>
      <c r="IX63" s="457">
        <v>0</v>
      </c>
      <c r="IY63" s="268"/>
      <c r="IZ63" s="274">
        <v>0</v>
      </c>
      <c r="JA63" s="268"/>
      <c r="JB63" s="460"/>
      <c r="JC63" s="279"/>
      <c r="JD63" s="284"/>
      <c r="JE63" s="282"/>
      <c r="JF63" s="282"/>
      <c r="JG63" s="276"/>
      <c r="JH63" s="277"/>
      <c r="JI63" s="276"/>
      <c r="JJ63" s="277"/>
      <c r="JK63" s="300"/>
      <c r="JL63" s="300"/>
      <c r="JM63" s="300"/>
      <c r="JN63" s="300"/>
      <c r="JO63" s="269"/>
      <c r="JP63" s="269"/>
      <c r="JQ63" s="269"/>
      <c r="JR63" s="269"/>
      <c r="JS63" s="269"/>
      <c r="JT63" s="269"/>
      <c r="JU63" s="281" t="e">
        <f>$JU$1*IQ63</f>
        <v>#VALUE!</v>
      </c>
      <c r="JV63" s="117"/>
      <c r="JW63" s="279"/>
      <c r="JX63" s="117"/>
      <c r="JY63" s="117"/>
      <c r="JZ63" s="279"/>
    </row>
    <row r="64" spans="1:286" ht="15" customHeight="1">
      <c r="A64" s="86" t="s">
        <v>402</v>
      </c>
      <c r="B64" s="86" t="s">
        <v>967</v>
      </c>
      <c r="C64" s="53" t="s">
        <v>35</v>
      </c>
      <c r="D64" s="53" t="s">
        <v>112</v>
      </c>
      <c r="E64" s="53">
        <v>2017</v>
      </c>
      <c r="F64" s="53" t="s">
        <v>408</v>
      </c>
      <c r="G64" s="53" t="s">
        <v>379</v>
      </c>
      <c r="H64" s="53" t="s">
        <v>837</v>
      </c>
      <c r="I64" s="53" t="s">
        <v>175</v>
      </c>
      <c r="J64" s="53"/>
      <c r="K64" s="53" t="s">
        <v>403</v>
      </c>
      <c r="L64" s="255" t="s">
        <v>622</v>
      </c>
      <c r="M64" s="166"/>
      <c r="N64" s="167"/>
      <c r="O64" s="168"/>
      <c r="P64" s="207">
        <v>1976</v>
      </c>
      <c r="Q64" s="207">
        <v>300000</v>
      </c>
      <c r="R64" s="207"/>
      <c r="S64" s="207">
        <f>Q64/AE64</f>
        <v>12500</v>
      </c>
      <c r="T64" s="207">
        <f>Q64/P64</f>
        <v>151.82186234817814</v>
      </c>
      <c r="U64" s="213">
        <f>R64/P64</f>
        <v>0</v>
      </c>
      <c r="V64" s="213">
        <f>R64/AN64</f>
        <v>0</v>
      </c>
      <c r="W64" s="213">
        <f>R64/AE64</f>
        <v>0</v>
      </c>
      <c r="X64" s="207">
        <f>P64/AE64</f>
        <v>82.333333333333329</v>
      </c>
      <c r="Y64" s="208"/>
      <c r="Z64" s="904">
        <f t="shared" si="51"/>
        <v>121.4574898785425</v>
      </c>
      <c r="AA64" s="208" t="s">
        <v>188</v>
      </c>
      <c r="AB64" s="208">
        <v>590</v>
      </c>
      <c r="AC64" s="209"/>
      <c r="AD64" s="53" t="s">
        <v>16</v>
      </c>
      <c r="AE64" s="771">
        <f t="shared" si="130"/>
        <v>24</v>
      </c>
      <c r="AF64" s="771">
        <f t="shared" si="131"/>
        <v>24</v>
      </c>
      <c r="AG64" s="64"/>
      <c r="AH64" s="53">
        <v>24</v>
      </c>
      <c r="AI64" s="53"/>
      <c r="AJ64" s="53"/>
      <c r="AK64" s="269"/>
      <c r="AL64" s="57">
        <v>1779.08</v>
      </c>
      <c r="AM64" s="57"/>
      <c r="AN64" s="92">
        <v>1795.44</v>
      </c>
      <c r="AO64" s="57">
        <f>AN64/AE64</f>
        <v>74.81</v>
      </c>
      <c r="AP64" s="78">
        <f>3/AH64</f>
        <v>0.125</v>
      </c>
      <c r="AQ64" s="78">
        <f>9/AH64</f>
        <v>0.375</v>
      </c>
      <c r="AR64" s="78">
        <f>6/AH64</f>
        <v>0.25</v>
      </c>
      <c r="AS64" s="78">
        <f>3/AH64</f>
        <v>0.125</v>
      </c>
      <c r="AT64" s="78">
        <f>3/AH64</f>
        <v>0.125</v>
      </c>
      <c r="AU64" s="57"/>
      <c r="AV64" s="57" t="s">
        <v>168</v>
      </c>
      <c r="AW64" s="57"/>
      <c r="AX64" s="57">
        <v>4</v>
      </c>
      <c r="AY64" s="56" t="s">
        <v>549</v>
      </c>
      <c r="AZ64" s="53" t="s">
        <v>120</v>
      </c>
      <c r="BA64" s="53"/>
      <c r="BB64" s="53"/>
      <c r="BC64" s="53"/>
      <c r="BD64" s="236">
        <v>42761</v>
      </c>
      <c r="BE64" s="53"/>
      <c r="BF64" s="110" t="s">
        <v>168</v>
      </c>
      <c r="BG64" s="110"/>
      <c r="BH64" s="97"/>
      <c r="BI64" s="204">
        <v>42916</v>
      </c>
      <c r="BJ64" s="99">
        <v>43010</v>
      </c>
      <c r="BK64" s="99"/>
      <c r="BL64" s="204"/>
      <c r="BM64" s="99"/>
      <c r="BN64" s="161">
        <v>43279</v>
      </c>
      <c r="BO64" s="202">
        <v>43356</v>
      </c>
      <c r="BP64" s="690">
        <f t="shared" si="256"/>
        <v>43447</v>
      </c>
      <c r="BQ64" s="161">
        <v>43385</v>
      </c>
      <c r="BR64" s="299">
        <f t="shared" si="257"/>
        <v>43356</v>
      </c>
      <c r="BS64" s="298">
        <f t="shared" si="258"/>
        <v>44087</v>
      </c>
      <c r="BT64" s="298">
        <f t="shared" si="259"/>
        <v>44452</v>
      </c>
      <c r="BU64" s="672">
        <f>10589+49826</f>
        <v>60415</v>
      </c>
      <c r="BV64" s="298" t="str">
        <f>IF(FK64&gt;BT64,"oui","non")</f>
        <v>non</v>
      </c>
      <c r="BW64" s="672">
        <f t="shared" si="136"/>
        <v>14</v>
      </c>
      <c r="BX64" s="672">
        <f t="shared" si="137"/>
        <v>135912</v>
      </c>
      <c r="BY64" s="672">
        <f t="shared" si="138"/>
        <v>0</v>
      </c>
      <c r="BZ64" s="824"/>
      <c r="CA64" s="832"/>
      <c r="CB64" s="826"/>
      <c r="CC64" s="826"/>
      <c r="CD64" s="826"/>
      <c r="CE64" s="826"/>
      <c r="CF64" s="819"/>
      <c r="CG64" s="819"/>
      <c r="CH64" s="819"/>
      <c r="CI64" s="819"/>
      <c r="CJ64" s="819"/>
      <c r="CK64" s="819"/>
      <c r="CL64" s="819"/>
      <c r="CM64" s="819"/>
      <c r="CN64" s="819"/>
      <c r="CO64" s="819"/>
      <c r="CP64" s="819"/>
      <c r="CQ64" s="819"/>
      <c r="CR64" s="819"/>
      <c r="CS64" s="159"/>
      <c r="CT64" s="250"/>
      <c r="CU64" s="250"/>
      <c r="CV64" s="158"/>
      <c r="CW64" s="250"/>
      <c r="CX64" s="250"/>
      <c r="CY64" s="250"/>
      <c r="CZ64" s="250" t="s">
        <v>168</v>
      </c>
      <c r="DA64" s="598"/>
      <c r="DB64" s="315">
        <v>42583</v>
      </c>
      <c r="DC64" s="122">
        <v>42598</v>
      </c>
      <c r="DD64" s="122">
        <v>42583</v>
      </c>
      <c r="DE64" s="523">
        <f t="shared" si="139"/>
        <v>-15</v>
      </c>
      <c r="DF64" s="122">
        <v>42692</v>
      </c>
      <c r="DG64" s="315">
        <v>42695</v>
      </c>
      <c r="DH64" s="523">
        <f t="shared" si="140"/>
        <v>3</v>
      </c>
      <c r="DI64" s="315">
        <v>42753</v>
      </c>
      <c r="DJ64" s="315">
        <v>42751</v>
      </c>
      <c r="DK64" s="523">
        <f t="shared" si="141"/>
        <v>-2</v>
      </c>
      <c r="DL64" s="122">
        <v>42829</v>
      </c>
      <c r="DM64" s="315">
        <v>43083</v>
      </c>
      <c r="DN64" s="523">
        <f t="shared" si="142"/>
        <v>254</v>
      </c>
      <c r="DO64" s="122">
        <v>42905</v>
      </c>
      <c r="DP64" s="122">
        <v>43189</v>
      </c>
      <c r="DQ64" s="523">
        <f t="shared" si="143"/>
        <v>284</v>
      </c>
      <c r="DR64" s="451"/>
      <c r="DS64" s="540">
        <v>43344</v>
      </c>
      <c r="DT64" s="537">
        <v>43154</v>
      </c>
      <c r="DU64" s="533">
        <f t="shared" ca="1" si="260"/>
        <v>43423</v>
      </c>
      <c r="DV64" s="529">
        <f t="shared" ca="1" si="144"/>
        <v>269</v>
      </c>
      <c r="DW64" s="537">
        <v>43167</v>
      </c>
      <c r="DX64" s="686">
        <v>43419</v>
      </c>
      <c r="DY64" s="344"/>
      <c r="DZ64" s="442">
        <f t="shared" si="145"/>
        <v>16.766666666666666</v>
      </c>
      <c r="EA64" s="529">
        <f t="shared" si="146"/>
        <v>252</v>
      </c>
      <c r="EB64" s="687">
        <v>16</v>
      </c>
      <c r="EC64" s="241">
        <f t="shared" si="147"/>
        <v>17</v>
      </c>
      <c r="ED64" s="527"/>
      <c r="EE64" s="533">
        <f t="shared" ca="1" si="261"/>
        <v>43423</v>
      </c>
      <c r="EF64" s="529" t="str">
        <f t="shared" ca="1" si="148"/>
        <v>0</v>
      </c>
      <c r="EG64" s="527"/>
      <c r="EH64" s="551">
        <f t="shared" ca="1" si="262"/>
        <v>43423</v>
      </c>
      <c r="EI64" s="530" t="str">
        <f t="shared" ca="1" si="149"/>
        <v>0</v>
      </c>
      <c r="EJ64" s="533"/>
      <c r="EK64" s="533">
        <f t="shared" ca="1" si="263"/>
        <v>43423</v>
      </c>
      <c r="EL64" s="529" t="str">
        <f t="shared" ca="1" si="150"/>
        <v>0</v>
      </c>
      <c r="EM64" s="533"/>
      <c r="EN64" s="533">
        <f t="shared" ca="1" si="264"/>
        <v>43423</v>
      </c>
      <c r="EO64" s="529" t="str">
        <f t="shared" ca="1" si="151"/>
        <v>0</v>
      </c>
      <c r="EP64" s="533"/>
      <c r="EQ64" s="533">
        <f ca="1">IF(EP64&lt;TODAY(),TODAY(),EP64)</f>
        <v>43423</v>
      </c>
      <c r="ER64" s="529" t="str">
        <f t="shared" ca="1" si="152"/>
        <v>0</v>
      </c>
      <c r="ES64" s="533"/>
      <c r="ET64" s="533">
        <f ca="1">IF(ES64&lt;TODAY(),TODAY(),ES64)</f>
        <v>43423</v>
      </c>
      <c r="EU64" s="529" t="str">
        <f t="shared" ca="1" si="153"/>
        <v>0</v>
      </c>
      <c r="EV64" s="533"/>
      <c r="EW64" s="533">
        <f t="shared" ca="1" si="265"/>
        <v>43423</v>
      </c>
      <c r="EX64" s="529" t="str">
        <f t="shared" ca="1" si="154"/>
        <v>0</v>
      </c>
      <c r="EY64" s="533"/>
      <c r="EZ64" s="533"/>
      <c r="FA64" s="533"/>
      <c r="FB64" s="616">
        <f t="shared" si="155"/>
        <v>43905</v>
      </c>
      <c r="FC64" s="730">
        <f>DATE(YEAR(FB64),MONTH(FB64)+1,DAY(FB64))</f>
        <v>43936</v>
      </c>
      <c r="FD64" s="730">
        <f t="shared" si="156"/>
        <v>1.0333333333333334</v>
      </c>
      <c r="FE64" s="730">
        <f t="shared" si="157"/>
        <v>731</v>
      </c>
      <c r="FF64" s="730"/>
      <c r="FG64" s="730"/>
      <c r="FH64" s="730">
        <f>DATE(YEAR(FC64),MONTH(FC64)+1,DAY(FC64))</f>
        <v>43966</v>
      </c>
      <c r="FI64" s="730"/>
      <c r="FJ64" s="730">
        <f t="shared" si="266"/>
        <v>43936</v>
      </c>
      <c r="FK64" s="730">
        <f>DATE(YEAR(FH64),MONTH(FH64)+1,DAY(FH64))</f>
        <v>43997</v>
      </c>
      <c r="FL64" s="574"/>
      <c r="FM64" s="724">
        <f t="shared" si="267"/>
        <v>2.0333333333333332</v>
      </c>
      <c r="FN64" s="700">
        <v>9708</v>
      </c>
      <c r="FO64" s="246">
        <f t="shared" si="159"/>
        <v>19739.599999999999</v>
      </c>
      <c r="FP64" s="117"/>
      <c r="FQ64" s="556">
        <v>0</v>
      </c>
      <c r="FR64" s="556">
        <v>0</v>
      </c>
      <c r="FS64" s="556">
        <f>35000*1.021</f>
        <v>35735</v>
      </c>
      <c r="FT64" s="556"/>
      <c r="FU64" s="556"/>
      <c r="FV64" s="749">
        <f t="shared" si="268"/>
        <v>0</v>
      </c>
      <c r="FW64" s="553"/>
      <c r="FX64" s="566"/>
      <c r="FY64" s="566" t="s">
        <v>753</v>
      </c>
      <c r="FZ64" s="553"/>
      <c r="GA64" s="121"/>
      <c r="GB64" s="121"/>
      <c r="GC64" s="121"/>
      <c r="GD64" s="121"/>
      <c r="GE64" s="121"/>
      <c r="GF64" s="53"/>
      <c r="GG64" s="280">
        <f t="shared" si="161"/>
        <v>44301</v>
      </c>
      <c r="GH64" s="280"/>
      <c r="GI64" s="53"/>
      <c r="GJ64" s="53"/>
      <c r="GK64" s="53"/>
      <c r="GL64" s="53"/>
      <c r="GM64" s="53"/>
      <c r="GN64" s="53"/>
      <c r="GO64" s="53"/>
      <c r="GP64" s="53"/>
      <c r="GQ64" s="53"/>
      <c r="GR64" s="53"/>
      <c r="GS64" s="53"/>
      <c r="GT64" s="53"/>
      <c r="GU64" s="53"/>
      <c r="GV64" s="112"/>
      <c r="GW64" s="112"/>
      <c r="GX64" s="93">
        <f>+HI64+HN64+HU64+IO64+HZ64</f>
        <v>3909760.6767742028</v>
      </c>
      <c r="GY64" s="67">
        <f>HJ64+HO64+HV64+IO64+HW64+HZ64</f>
        <v>3959173</v>
      </c>
      <c r="GZ64" s="67">
        <f>GY64</f>
        <v>3959173</v>
      </c>
      <c r="HA64" s="94">
        <f t="shared" ref="HA64:HA79" si="276">GY64-GX64</f>
        <v>49412.323225797154</v>
      </c>
      <c r="HB64" s="49">
        <f>GY64/AL64</f>
        <v>2225.4047035546464</v>
      </c>
      <c r="HC64" s="49">
        <f>GY64/AE64</f>
        <v>164965.54166666666</v>
      </c>
      <c r="HD64" s="93">
        <v>3537549.5398594467</v>
      </c>
      <c r="HE64" s="67">
        <v>3653732</v>
      </c>
      <c r="HF64" s="94">
        <f t="shared" ref="HF64:HF79" si="277">HE64-HD64</f>
        <v>116182.4601405533</v>
      </c>
      <c r="HG64" s="128">
        <f t="shared" ref="HG64:HG79" si="278">HE64*1.021/GY64</f>
        <v>0.94223222172913368</v>
      </c>
      <c r="HH64" s="128">
        <v>0.4</v>
      </c>
      <c r="HI64" s="93">
        <v>1224437.8025662941</v>
      </c>
      <c r="HJ64" s="638">
        <v>1198439</v>
      </c>
      <c r="HK64" s="642">
        <v>1306948</v>
      </c>
      <c r="HL64" s="49">
        <f t="shared" ref="HL64:HL79" si="279">HJ64/AE64</f>
        <v>49934.958333333336</v>
      </c>
      <c r="HM64" s="95"/>
      <c r="HN64" s="813">
        <v>2131692.8742079088</v>
      </c>
      <c r="HO64" s="67">
        <f>HP64+HQ64</f>
        <v>2207104</v>
      </c>
      <c r="HP64" s="87">
        <v>444360</v>
      </c>
      <c r="HQ64" s="87">
        <v>1762744</v>
      </c>
      <c r="HR64" s="95">
        <f t="shared" ref="HR64:HR79" si="280">HO64-HN64</f>
        <v>75411.125792091247</v>
      </c>
      <c r="HS64" s="630">
        <f>HO64/AE64</f>
        <v>91962.666666666672</v>
      </c>
      <c r="HT64" s="387"/>
      <c r="HU64" s="93">
        <v>480000</v>
      </c>
      <c r="HV64" s="67">
        <v>480000</v>
      </c>
      <c r="HW64" s="67"/>
      <c r="HX64" s="88">
        <f t="shared" si="172"/>
        <v>0.12123744024320231</v>
      </c>
      <c r="HY64" s="393"/>
      <c r="HZ64" s="67">
        <f>30000+43630</f>
        <v>73630</v>
      </c>
      <c r="IA64" s="89">
        <f t="shared" si="173"/>
        <v>0</v>
      </c>
      <c r="IB64" s="49">
        <f t="shared" si="174"/>
        <v>20000</v>
      </c>
      <c r="IC64" s="81">
        <f t="shared" si="175"/>
        <v>69934.958333333328</v>
      </c>
      <c r="ID64" s="89">
        <f t="shared" si="270"/>
        <v>0</v>
      </c>
      <c r="IE64" s="90">
        <v>5.38</v>
      </c>
      <c r="IF64" s="90">
        <v>5.38</v>
      </c>
      <c r="IG64" s="91"/>
      <c r="IH64" s="91"/>
      <c r="II64" s="49">
        <f t="shared" si="271"/>
        <v>71018.241773595582</v>
      </c>
      <c r="IJ64" s="91"/>
      <c r="IK64" s="49">
        <f t="shared" ref="IK64:IK70" si="281">(HJ64+HV64+IH64+IJ64)/AE64</f>
        <v>69934.958333333328</v>
      </c>
      <c r="IL64" s="50">
        <f t="shared" si="272"/>
        <v>0.43594427983570644</v>
      </c>
      <c r="IM64" s="91"/>
      <c r="IN64" s="91"/>
      <c r="IO64" s="67">
        <f t="shared" si="273"/>
        <v>0</v>
      </c>
      <c r="IP64" s="96">
        <f t="shared" si="274"/>
        <v>3909760.6767742028</v>
      </c>
      <c r="IQ64" s="277">
        <v>195504</v>
      </c>
      <c r="IR64" s="277">
        <f t="shared" si="275"/>
        <v>107527</v>
      </c>
      <c r="IS64" s="113">
        <v>42562</v>
      </c>
      <c r="IT64" s="314">
        <v>19202</v>
      </c>
      <c r="IU64" s="314"/>
      <c r="IV64" s="316"/>
      <c r="IW64" s="316" t="s">
        <v>525</v>
      </c>
      <c r="IX64" s="314">
        <v>9745</v>
      </c>
      <c r="IY64" s="316">
        <v>42696</v>
      </c>
      <c r="IZ64" s="231">
        <v>18750</v>
      </c>
      <c r="JA64" s="113">
        <v>42837</v>
      </c>
      <c r="JB64" s="231">
        <v>29816</v>
      </c>
      <c r="JC64" s="113">
        <v>43181</v>
      </c>
      <c r="JD64" s="321">
        <v>20397</v>
      </c>
      <c r="JE64" s="437">
        <v>43409</v>
      </c>
      <c r="JF64" s="313">
        <v>9617</v>
      </c>
      <c r="JG64" s="276"/>
      <c r="JH64" s="277"/>
      <c r="JI64" s="276"/>
      <c r="JJ64" s="277"/>
      <c r="JK64" s="300"/>
      <c r="JL64" s="300"/>
      <c r="JM64" s="300"/>
      <c r="JN64" s="300"/>
      <c r="JO64" s="269"/>
      <c r="JP64" s="269"/>
      <c r="JQ64" s="269"/>
      <c r="JR64" s="269"/>
      <c r="JS64" s="269"/>
      <c r="JT64" s="269"/>
      <c r="JU64" s="314">
        <v>18750</v>
      </c>
      <c r="JV64" s="122"/>
      <c r="JW64" s="114"/>
      <c r="JX64" s="122"/>
      <c r="JY64" s="122"/>
      <c r="JZ64" s="114"/>
    </row>
    <row r="65" spans="1:286" ht="15" customHeight="1">
      <c r="A65" s="86" t="s">
        <v>709</v>
      </c>
      <c r="B65" s="86" t="s">
        <v>965</v>
      </c>
      <c r="C65" s="53" t="s">
        <v>261</v>
      </c>
      <c r="D65" s="53" t="s">
        <v>114</v>
      </c>
      <c r="E65" s="53">
        <v>2017</v>
      </c>
      <c r="F65" s="53" t="s">
        <v>405</v>
      </c>
      <c r="G65" s="53" t="s">
        <v>378</v>
      </c>
      <c r="H65" s="53" t="s">
        <v>610</v>
      </c>
      <c r="I65" s="53" t="s">
        <v>175</v>
      </c>
      <c r="J65" s="53"/>
      <c r="K65" s="53" t="s">
        <v>846</v>
      </c>
      <c r="L65" s="255" t="s">
        <v>623</v>
      </c>
      <c r="M65" s="166"/>
      <c r="N65" s="167"/>
      <c r="O65" s="168"/>
      <c r="P65" s="207">
        <v>5443</v>
      </c>
      <c r="Q65" s="207">
        <v>381010</v>
      </c>
      <c r="R65" s="217">
        <v>381010</v>
      </c>
      <c r="S65" s="207">
        <f>Q65/AE65</f>
        <v>18143.333333333332</v>
      </c>
      <c r="T65" s="213">
        <f>Q65/P65</f>
        <v>70</v>
      </c>
      <c r="U65" s="217">
        <f>R65/P65</f>
        <v>70</v>
      </c>
      <c r="V65" s="217">
        <f>R65/AN65</f>
        <v>238.72208716573519</v>
      </c>
      <c r="W65" s="217">
        <f>R65/AE65</f>
        <v>18143.333333333332</v>
      </c>
      <c r="X65" s="207">
        <f>P65/AE65</f>
        <v>259.1904761904762</v>
      </c>
      <c r="Y65" s="208"/>
      <c r="Z65" s="904">
        <f t="shared" si="51"/>
        <v>38.58166452324086</v>
      </c>
      <c r="AA65" s="208" t="s">
        <v>193</v>
      </c>
      <c r="AB65" s="208">
        <v>900</v>
      </c>
      <c r="AC65" s="209"/>
      <c r="AD65" s="53" t="s">
        <v>16</v>
      </c>
      <c r="AE65" s="771">
        <f t="shared" si="130"/>
        <v>21</v>
      </c>
      <c r="AF65" s="771">
        <f t="shared" si="131"/>
        <v>21</v>
      </c>
      <c r="AG65" s="64"/>
      <c r="AH65" s="53">
        <v>21</v>
      </c>
      <c r="AI65" s="53"/>
      <c r="AJ65" s="53"/>
      <c r="AK65" s="269"/>
      <c r="AL65" s="57">
        <v>1580.35</v>
      </c>
      <c r="AM65" s="57"/>
      <c r="AN65" s="92">
        <v>1596.04</v>
      </c>
      <c r="AO65" s="57">
        <f>AN65/AE65</f>
        <v>76.001904761904754</v>
      </c>
      <c r="AP65" s="78"/>
      <c r="AQ65" s="78"/>
      <c r="AR65" s="78"/>
      <c r="AS65" s="78"/>
      <c r="AT65" s="78"/>
      <c r="AU65" s="57"/>
      <c r="AV65" s="76"/>
      <c r="AW65" s="78"/>
      <c r="AX65" s="57"/>
      <c r="AY65" s="53" t="s">
        <v>548</v>
      </c>
      <c r="AZ65" s="53" t="s">
        <v>121</v>
      </c>
      <c r="BA65" s="53"/>
      <c r="BB65" s="53"/>
      <c r="BC65" s="53"/>
      <c r="BD65" s="236">
        <v>42761</v>
      </c>
      <c r="BE65" s="53"/>
      <c r="BF65" s="110" t="s">
        <v>168</v>
      </c>
      <c r="BG65" s="110"/>
      <c r="BH65" s="97"/>
      <c r="BI65" s="204">
        <v>43017</v>
      </c>
      <c r="BJ65" s="99">
        <v>43045</v>
      </c>
      <c r="BK65" s="99"/>
      <c r="BL65" s="204"/>
      <c r="BM65" s="99"/>
      <c r="BN65" s="161">
        <v>43168</v>
      </c>
      <c r="BO65" s="202">
        <v>43249</v>
      </c>
      <c r="BP65" s="161">
        <f t="shared" si="256"/>
        <v>43341</v>
      </c>
      <c r="BQ65" s="161">
        <v>43263</v>
      </c>
      <c r="BR65" s="299">
        <f t="shared" si="257"/>
        <v>43249</v>
      </c>
      <c r="BS65" s="298">
        <f t="shared" si="258"/>
        <v>43980</v>
      </c>
      <c r="BT65" s="298">
        <f t="shared" si="259"/>
        <v>44345</v>
      </c>
      <c r="BU65" s="672">
        <f>13884+73092</f>
        <v>86976</v>
      </c>
      <c r="BV65" s="298" t="str">
        <f>IF(FK65&gt;BT65,"oui","non")</f>
        <v>non</v>
      </c>
      <c r="BW65" s="672">
        <f t="shared" si="136"/>
        <v>10</v>
      </c>
      <c r="BX65" s="672">
        <f t="shared" si="137"/>
        <v>85230</v>
      </c>
      <c r="BY65" s="672">
        <f t="shared" si="138"/>
        <v>-1746</v>
      </c>
      <c r="BZ65" s="824"/>
      <c r="CA65" s="832"/>
      <c r="CB65" s="826"/>
      <c r="CC65" s="826"/>
      <c r="CD65" s="826"/>
      <c r="CE65" s="826"/>
      <c r="CF65" s="819"/>
      <c r="CG65" s="819"/>
      <c r="CH65" s="819"/>
      <c r="CI65" s="819"/>
      <c r="CJ65" s="819"/>
      <c r="CK65" s="819"/>
      <c r="CL65" s="819"/>
      <c r="CM65" s="819"/>
      <c r="CN65" s="819"/>
      <c r="CO65" s="819"/>
      <c r="CP65" s="819"/>
      <c r="CQ65" s="819"/>
      <c r="CR65" s="819"/>
      <c r="CS65" s="159"/>
      <c r="CT65" s="250"/>
      <c r="CU65" s="250"/>
      <c r="CV65" s="158"/>
      <c r="CW65" s="250"/>
      <c r="CX65" s="250"/>
      <c r="CY65" s="250"/>
      <c r="CZ65" s="250" t="s">
        <v>168</v>
      </c>
      <c r="DA65" s="598"/>
      <c r="DB65" s="315">
        <v>42585</v>
      </c>
      <c r="DC65" s="122">
        <v>42600</v>
      </c>
      <c r="DD65" s="122">
        <v>42585</v>
      </c>
      <c r="DE65" s="523">
        <f t="shared" si="139"/>
        <v>-15</v>
      </c>
      <c r="DF65" s="122">
        <v>42740</v>
      </c>
      <c r="DG65" s="122">
        <v>42751</v>
      </c>
      <c r="DH65" s="523">
        <f t="shared" si="140"/>
        <v>11</v>
      </c>
      <c r="DI65" s="315">
        <v>42751</v>
      </c>
      <c r="DJ65" s="315">
        <v>42744</v>
      </c>
      <c r="DK65" s="523">
        <f t="shared" si="141"/>
        <v>-7</v>
      </c>
      <c r="DL65" s="122">
        <v>42803</v>
      </c>
      <c r="DM65" s="122">
        <v>42837</v>
      </c>
      <c r="DN65" s="523">
        <f t="shared" si="142"/>
        <v>34</v>
      </c>
      <c r="DO65" s="122">
        <v>42895</v>
      </c>
      <c r="DP65" s="122">
        <v>42947</v>
      </c>
      <c r="DQ65" s="523">
        <f t="shared" si="143"/>
        <v>52</v>
      </c>
      <c r="DR65" s="451"/>
      <c r="DS65" s="540">
        <v>43326</v>
      </c>
      <c r="DT65" s="537">
        <v>43144</v>
      </c>
      <c r="DU65" s="533">
        <f t="shared" ca="1" si="260"/>
        <v>43423</v>
      </c>
      <c r="DV65" s="529">
        <f t="shared" ca="1" si="144"/>
        <v>279</v>
      </c>
      <c r="DW65" s="537">
        <v>43159</v>
      </c>
      <c r="DX65" s="686">
        <v>43497</v>
      </c>
      <c r="DY65" s="344"/>
      <c r="DZ65" s="442">
        <f t="shared" si="145"/>
        <v>16</v>
      </c>
      <c r="EA65" s="529">
        <f t="shared" si="146"/>
        <v>338</v>
      </c>
      <c r="EB65" s="687">
        <v>16</v>
      </c>
      <c r="EC65" s="241">
        <f t="shared" si="147"/>
        <v>17</v>
      </c>
      <c r="ED65" s="527"/>
      <c r="EE65" s="533">
        <f t="shared" ca="1" si="261"/>
        <v>43423</v>
      </c>
      <c r="EF65" s="529" t="str">
        <f t="shared" ca="1" si="148"/>
        <v>0</v>
      </c>
      <c r="EG65" s="527"/>
      <c r="EH65" s="551">
        <f t="shared" ca="1" si="262"/>
        <v>43423</v>
      </c>
      <c r="EI65" s="530" t="str">
        <f t="shared" ca="1" si="149"/>
        <v>0</v>
      </c>
      <c r="EJ65" s="533"/>
      <c r="EK65" s="533">
        <f t="shared" ca="1" si="263"/>
        <v>43423</v>
      </c>
      <c r="EL65" s="529" t="str">
        <f t="shared" ca="1" si="150"/>
        <v>0</v>
      </c>
      <c r="EM65" s="537"/>
      <c r="EN65" s="533">
        <f t="shared" ca="1" si="264"/>
        <v>43423</v>
      </c>
      <c r="EO65" s="529" t="str">
        <f t="shared" ca="1" si="151"/>
        <v>0</v>
      </c>
      <c r="EP65" s="533"/>
      <c r="EQ65" s="533">
        <f ca="1">IF(EP65&lt;TODAY(),TODAY(),EP65)</f>
        <v>43423</v>
      </c>
      <c r="ER65" s="529" t="str">
        <f t="shared" ca="1" si="152"/>
        <v>0</v>
      </c>
      <c r="ES65" s="533"/>
      <c r="ET65" s="533">
        <f ca="1">IF(ES65&lt;TODAY(),TODAY(),ES65)</f>
        <v>43423</v>
      </c>
      <c r="EU65" s="529" t="str">
        <f t="shared" ca="1" si="153"/>
        <v>0</v>
      </c>
      <c r="EV65" s="533"/>
      <c r="EW65" s="533">
        <f t="shared" ca="1" si="265"/>
        <v>43423</v>
      </c>
      <c r="EX65" s="529" t="str">
        <f t="shared" ca="1" si="154"/>
        <v>0</v>
      </c>
      <c r="EY65" s="533"/>
      <c r="EZ65" s="533"/>
      <c r="FA65" s="533"/>
      <c r="FB65" s="616">
        <f t="shared" si="155"/>
        <v>43983</v>
      </c>
      <c r="FC65" s="730">
        <f>DATE(YEAR(FB65),MONTH(FB65)+1,DAY(FB65))</f>
        <v>44013</v>
      </c>
      <c r="FD65" s="730">
        <f t="shared" si="156"/>
        <v>1</v>
      </c>
      <c r="FE65" s="730">
        <f t="shared" si="157"/>
        <v>731</v>
      </c>
      <c r="FF65" s="730"/>
      <c r="FG65" s="730"/>
      <c r="FH65" s="730">
        <f>DATE(YEAR(FC65),MONTH(FC65),DAY(FC65))</f>
        <v>44013</v>
      </c>
      <c r="FI65" s="730"/>
      <c r="FJ65" s="730">
        <f t="shared" si="266"/>
        <v>44013</v>
      </c>
      <c r="FK65" s="730">
        <f>DATE(YEAR(FH65),MONTH(FH65),DAY(FH65))</f>
        <v>44013</v>
      </c>
      <c r="FL65" s="574"/>
      <c r="FM65" s="724">
        <f t="shared" si="267"/>
        <v>0</v>
      </c>
      <c r="FN65" s="700">
        <v>8523</v>
      </c>
      <c r="FO65" s="246">
        <f t="shared" si="159"/>
        <v>0</v>
      </c>
      <c r="FP65" s="117"/>
      <c r="FQ65" s="556">
        <v>200000</v>
      </c>
      <c r="FR65" s="556">
        <v>0</v>
      </c>
      <c r="FS65" s="556"/>
      <c r="FT65" s="556"/>
      <c r="FU65" s="556"/>
      <c r="FV65" s="749">
        <f t="shared" si="268"/>
        <v>0</v>
      </c>
      <c r="FW65" s="553"/>
      <c r="FX65" s="566"/>
      <c r="FY65" s="566"/>
      <c r="FZ65" s="566" t="s">
        <v>750</v>
      </c>
      <c r="GA65" s="121"/>
      <c r="GB65" s="121"/>
      <c r="GC65" s="121"/>
      <c r="GD65" s="121"/>
      <c r="GE65" s="121"/>
      <c r="GF65" s="53"/>
      <c r="GG65" s="280">
        <f t="shared" si="161"/>
        <v>44378</v>
      </c>
      <c r="GH65" s="280"/>
      <c r="GI65" s="53"/>
      <c r="GJ65" s="53"/>
      <c r="GK65" s="53"/>
      <c r="GL65" s="53"/>
      <c r="GM65" s="53"/>
      <c r="GN65" s="53"/>
      <c r="GO65" s="53"/>
      <c r="GP65" s="53"/>
      <c r="GQ65" s="53"/>
      <c r="GR65" s="53"/>
      <c r="GS65" s="53"/>
      <c r="GT65" s="53"/>
      <c r="GU65" s="53"/>
      <c r="GV65" s="112"/>
      <c r="GW65" s="112"/>
      <c r="GX65" s="93">
        <f>+HI65+HN65+HU65+IO65+HZ65</f>
        <v>3723712.87</v>
      </c>
      <c r="GY65" s="67">
        <f>HJ65+HO65+HV65+IO65+HW65+HZ65</f>
        <v>3855417</v>
      </c>
      <c r="GZ65" s="67">
        <f>GY65</f>
        <v>3855417</v>
      </c>
      <c r="HA65" s="93">
        <f t="shared" si="276"/>
        <v>131704.12999999989</v>
      </c>
      <c r="HB65" s="49">
        <f>GY65/AL65</f>
        <v>2439.5969247318635</v>
      </c>
      <c r="HC65" s="49">
        <f>GY65/AE65</f>
        <v>183591.28571428571</v>
      </c>
      <c r="HD65" s="93"/>
      <c r="HE65" s="93">
        <v>3634508</v>
      </c>
      <c r="HF65" s="93">
        <f t="shared" si="277"/>
        <v>3634508</v>
      </c>
      <c r="HG65" s="93">
        <f t="shared" si="278"/>
        <v>0.96249839329960929</v>
      </c>
      <c r="HH65" s="303"/>
      <c r="HI65" s="93">
        <v>1246192.3500000001</v>
      </c>
      <c r="HJ65" s="638">
        <v>1158434</v>
      </c>
      <c r="HK65" s="642">
        <v>1158434</v>
      </c>
      <c r="HL65" s="93">
        <f t="shared" si="279"/>
        <v>55163.523809523809</v>
      </c>
      <c r="HM65" s="93">
        <f>HJ65-HI65</f>
        <v>-87758.350000000093</v>
      </c>
      <c r="HN65" s="403">
        <v>1810436.52</v>
      </c>
      <c r="HO65" s="67">
        <f>HP65+HQ65</f>
        <v>2029899</v>
      </c>
      <c r="HP65" s="87">
        <v>598878</v>
      </c>
      <c r="HQ65" s="87">
        <v>1431021</v>
      </c>
      <c r="HR65" s="93">
        <f t="shared" si="280"/>
        <v>219462.47999999998</v>
      </c>
      <c r="HS65" s="631">
        <f>HO65/AE65</f>
        <v>96661.857142857145</v>
      </c>
      <c r="HT65" s="387"/>
      <c r="HU65" s="93">
        <v>504000</v>
      </c>
      <c r="HV65" s="67">
        <v>504000</v>
      </c>
      <c r="HW65" s="93"/>
      <c r="HX65" s="303">
        <f t="shared" si="172"/>
        <v>0.13072515891277131</v>
      </c>
      <c r="HY65" s="387"/>
      <c r="HZ65" s="67">
        <f>114303+48781</f>
        <v>163084</v>
      </c>
      <c r="IA65" s="89">
        <f t="shared" si="173"/>
        <v>0</v>
      </c>
      <c r="IB65" s="23">
        <f t="shared" si="174"/>
        <v>24000</v>
      </c>
      <c r="IC65" s="81">
        <f t="shared" si="175"/>
        <v>79163.523809523816</v>
      </c>
      <c r="ID65" s="89">
        <f t="shared" si="270"/>
        <v>0</v>
      </c>
      <c r="IE65" s="90">
        <v>5.35</v>
      </c>
      <c r="IF65" s="90">
        <v>5.34</v>
      </c>
      <c r="IG65" s="91"/>
      <c r="IH65" s="91"/>
      <c r="II65" s="49">
        <f t="shared" si="271"/>
        <v>83342.492857142861</v>
      </c>
      <c r="IJ65" s="91"/>
      <c r="IK65" s="49">
        <f t="shared" si="281"/>
        <v>79163.523809523816</v>
      </c>
      <c r="IL65" s="50">
        <f t="shared" si="272"/>
        <v>0.47001270267113804</v>
      </c>
      <c r="IM65" s="91"/>
      <c r="IN65" s="91"/>
      <c r="IO65" s="67">
        <f t="shared" si="273"/>
        <v>0</v>
      </c>
      <c r="IP65" s="96">
        <f t="shared" si="274"/>
        <v>3723712.87</v>
      </c>
      <c r="IQ65" s="277">
        <v>191612</v>
      </c>
      <c r="IR65" s="277">
        <f t="shared" si="275"/>
        <v>105386</v>
      </c>
      <c r="IS65" s="113">
        <v>42579</v>
      </c>
      <c r="IT65" s="231">
        <v>17147</v>
      </c>
      <c r="IU65" s="231"/>
      <c r="IV65" s="316"/>
      <c r="IW65" s="316">
        <v>42716</v>
      </c>
      <c r="IX65" s="314">
        <v>0</v>
      </c>
      <c r="IY65" s="316">
        <v>42716</v>
      </c>
      <c r="IZ65" s="231">
        <v>28305</v>
      </c>
      <c r="JA65" s="113">
        <v>42818</v>
      </c>
      <c r="JB65" s="231">
        <v>21612</v>
      </c>
      <c r="JC65" s="114">
        <v>42915</v>
      </c>
      <c r="JD65" s="321">
        <v>28742</v>
      </c>
      <c r="JE65" s="313"/>
      <c r="JF65" s="313"/>
      <c r="JG65" s="276">
        <v>42989</v>
      </c>
      <c r="JH65" s="285">
        <v>9580</v>
      </c>
      <c r="JI65" s="276"/>
      <c r="JJ65" s="281"/>
      <c r="JK65" s="300"/>
      <c r="JL65" s="300"/>
      <c r="JM65" s="300"/>
      <c r="JN65" s="300"/>
      <c r="JO65" s="269"/>
      <c r="JP65" s="269"/>
      <c r="JQ65" s="269"/>
      <c r="JR65" s="269"/>
      <c r="JS65" s="269"/>
      <c r="JT65" s="269"/>
      <c r="JU65" s="314">
        <v>28305</v>
      </c>
      <c r="JV65" s="235"/>
      <c r="JW65" s="114"/>
      <c r="JX65" s="235"/>
      <c r="JY65" s="235"/>
      <c r="JZ65" s="114"/>
    </row>
    <row r="66" spans="1:286" ht="15" customHeight="1">
      <c r="A66" s="86" t="s">
        <v>325</v>
      </c>
      <c r="B66" s="86"/>
      <c r="C66" s="53" t="s">
        <v>28</v>
      </c>
      <c r="D66" s="53" t="s">
        <v>112</v>
      </c>
      <c r="E66" s="53">
        <v>2016</v>
      </c>
      <c r="F66" s="53" t="s">
        <v>274</v>
      </c>
      <c r="G66" s="53" t="s">
        <v>30</v>
      </c>
      <c r="H66" s="53" t="s">
        <v>179</v>
      </c>
      <c r="I66" s="53" t="s">
        <v>175</v>
      </c>
      <c r="J66" s="53"/>
      <c r="K66" s="53" t="s">
        <v>352</v>
      </c>
      <c r="L66" s="255" t="s">
        <v>831</v>
      </c>
      <c r="M66" s="166"/>
      <c r="N66" s="167"/>
      <c r="O66" s="168"/>
      <c r="P66" s="207">
        <v>2872</v>
      </c>
      <c r="Q66" s="207">
        <v>516960</v>
      </c>
      <c r="R66" s="207">
        <f>Q66</f>
        <v>516960</v>
      </c>
      <c r="S66" s="207">
        <f>Q66/AE66</f>
        <v>12924</v>
      </c>
      <c r="T66" s="207">
        <f>Q66/P66</f>
        <v>180</v>
      </c>
      <c r="U66" s="213">
        <f>R66/P66</f>
        <v>180</v>
      </c>
      <c r="V66" s="213">
        <f>R66/AN66</f>
        <v>216.90750717486529</v>
      </c>
      <c r="W66" s="213">
        <f>R66/AE66</f>
        <v>12924</v>
      </c>
      <c r="X66" s="207">
        <f>P66/AE66</f>
        <v>71.8</v>
      </c>
      <c r="Y66" s="208"/>
      <c r="Z66" s="907">
        <f t="shared" si="51"/>
        <v>139.27576601671308</v>
      </c>
      <c r="AA66" s="208"/>
      <c r="AB66" s="208"/>
      <c r="AC66" s="209"/>
      <c r="AD66" s="53" t="s">
        <v>16</v>
      </c>
      <c r="AE66" s="771">
        <f t="shared" si="130"/>
        <v>40</v>
      </c>
      <c r="AF66" s="771">
        <f t="shared" si="131"/>
        <v>40</v>
      </c>
      <c r="AG66" s="64"/>
      <c r="AH66" s="53">
        <v>40</v>
      </c>
      <c r="AI66" s="53"/>
      <c r="AJ66" s="53"/>
      <c r="AK66" s="269"/>
      <c r="AL66" s="57">
        <v>2383.79</v>
      </c>
      <c r="AM66" s="57"/>
      <c r="AN66" s="92">
        <v>2383.3200000000002</v>
      </c>
      <c r="AO66" s="57">
        <f>AN66/AE66</f>
        <v>59.583000000000006</v>
      </c>
      <c r="AP66" s="78"/>
      <c r="AQ66" s="78">
        <f>37/AE66</f>
        <v>0.92500000000000004</v>
      </c>
      <c r="AR66" s="78">
        <f>2/AE66</f>
        <v>0.05</v>
      </c>
      <c r="AS66" s="78">
        <f>1/AE66</f>
        <v>2.5000000000000001E-2</v>
      </c>
      <c r="AT66" s="78"/>
      <c r="AU66" s="57"/>
      <c r="AV66" s="76"/>
      <c r="AW66" s="78"/>
      <c r="AX66" s="57">
        <v>3</v>
      </c>
      <c r="AY66" s="56" t="s">
        <v>549</v>
      </c>
      <c r="AZ66" s="53" t="s">
        <v>121</v>
      </c>
      <c r="BA66" s="53"/>
      <c r="BB66" s="53"/>
      <c r="BC66" s="53"/>
      <c r="BD66" s="236">
        <v>42314</v>
      </c>
      <c r="BE66" s="236">
        <v>42475</v>
      </c>
      <c r="BF66" s="110" t="s">
        <v>168</v>
      </c>
      <c r="BG66" s="110"/>
      <c r="BH66" s="97"/>
      <c r="BI66" s="204">
        <v>42629</v>
      </c>
      <c r="BJ66" s="99">
        <v>42657</v>
      </c>
      <c r="BK66" s="99" t="s">
        <v>168</v>
      </c>
      <c r="BL66" s="204" t="s">
        <v>168</v>
      </c>
      <c r="BM66" s="99" t="s">
        <v>168</v>
      </c>
      <c r="BN66" s="161">
        <v>43241</v>
      </c>
      <c r="BO66" s="202">
        <v>43368</v>
      </c>
      <c r="BP66" s="161">
        <f t="shared" si="256"/>
        <v>43459</v>
      </c>
      <c r="BQ66" s="161"/>
      <c r="BR66" s="299">
        <f t="shared" si="257"/>
        <v>43368</v>
      </c>
      <c r="BS66" s="298">
        <f t="shared" si="258"/>
        <v>44099</v>
      </c>
      <c r="BT66" s="298">
        <f t="shared" si="259"/>
        <v>44464</v>
      </c>
      <c r="BU66" s="672">
        <f>14168+62195</f>
        <v>76363</v>
      </c>
      <c r="BV66" s="298" t="str">
        <f>IF(FK66&gt;BT66,"oui","non")</f>
        <v>non</v>
      </c>
      <c r="BW66" s="672">
        <f t="shared" si="136"/>
        <v>12</v>
      </c>
      <c r="BX66" s="672">
        <f t="shared" si="137"/>
        <v>163032</v>
      </c>
      <c r="BY66" s="672">
        <f t="shared" si="138"/>
        <v>0</v>
      </c>
      <c r="BZ66" s="824"/>
      <c r="CA66" s="824">
        <v>43396</v>
      </c>
      <c r="CB66" s="826"/>
      <c r="CC66" s="826"/>
      <c r="CD66" s="826">
        <v>43378</v>
      </c>
      <c r="CE66" s="826">
        <v>43390</v>
      </c>
      <c r="CF66" s="819">
        <v>43396</v>
      </c>
      <c r="CG66" s="819">
        <v>43389</v>
      </c>
      <c r="CH66" s="833">
        <v>43434</v>
      </c>
      <c r="CI66" s="819"/>
      <c r="CJ66" s="819"/>
      <c r="CK66" s="819">
        <v>43389</v>
      </c>
      <c r="CL66" s="819"/>
      <c r="CM66" s="819"/>
      <c r="CN66" s="819"/>
      <c r="CO66" s="819">
        <v>43389</v>
      </c>
      <c r="CP66" s="819"/>
      <c r="CQ66" s="819"/>
      <c r="CR66" s="819"/>
      <c r="CS66" s="713"/>
      <c r="CT66" s="384"/>
      <c r="CU66" s="384"/>
      <c r="CV66" s="714"/>
      <c r="CW66" s="384"/>
      <c r="CX66" s="384"/>
      <c r="CY66" s="250"/>
      <c r="CZ66" s="384" t="s">
        <v>168</v>
      </c>
      <c r="DA66" s="598"/>
      <c r="DB66" s="122">
        <v>42164</v>
      </c>
      <c r="DC66" s="122">
        <v>42179</v>
      </c>
      <c r="DD66" s="122">
        <v>42170</v>
      </c>
      <c r="DE66" s="523">
        <f t="shared" si="139"/>
        <v>-9</v>
      </c>
      <c r="DF66" s="122">
        <v>42415</v>
      </c>
      <c r="DG66" s="122">
        <v>42415</v>
      </c>
      <c r="DH66" s="523">
        <f t="shared" si="140"/>
        <v>0</v>
      </c>
      <c r="DI66" s="122">
        <v>42405</v>
      </c>
      <c r="DJ66" s="122">
        <v>42669</v>
      </c>
      <c r="DK66" s="523">
        <f t="shared" si="141"/>
        <v>264</v>
      </c>
      <c r="DL66" s="122">
        <v>42475</v>
      </c>
      <c r="DM66" s="122">
        <v>42991</v>
      </c>
      <c r="DN66" s="523">
        <f t="shared" si="142"/>
        <v>516</v>
      </c>
      <c r="DO66" s="122">
        <v>42965</v>
      </c>
      <c r="DP66" s="122">
        <v>43070</v>
      </c>
      <c r="DQ66" s="523">
        <f t="shared" si="143"/>
        <v>105</v>
      </c>
      <c r="DR66" s="451"/>
      <c r="DS66" s="549"/>
      <c r="DT66" s="527">
        <v>43214</v>
      </c>
      <c r="DU66" s="533">
        <f t="shared" ca="1" si="260"/>
        <v>43423</v>
      </c>
      <c r="DV66" s="529">
        <f t="shared" ca="1" si="144"/>
        <v>209</v>
      </c>
      <c r="DW66" s="527">
        <v>43229</v>
      </c>
      <c r="DX66" s="686">
        <v>43556</v>
      </c>
      <c r="DY66" s="344"/>
      <c r="DZ66" s="442">
        <f t="shared" si="145"/>
        <v>30.9</v>
      </c>
      <c r="EA66" s="529">
        <f t="shared" si="146"/>
        <v>327</v>
      </c>
      <c r="EB66" s="687">
        <v>16</v>
      </c>
      <c r="EC66" s="241">
        <f t="shared" si="147"/>
        <v>17</v>
      </c>
      <c r="ED66" s="527"/>
      <c r="EE66" s="533">
        <f t="shared" ca="1" si="261"/>
        <v>43423</v>
      </c>
      <c r="EF66" s="529" t="str">
        <f t="shared" ca="1" si="148"/>
        <v>0</v>
      </c>
      <c r="EG66" s="527"/>
      <c r="EH66" s="551">
        <f t="shared" ca="1" si="262"/>
        <v>43423</v>
      </c>
      <c r="EI66" s="530" t="str">
        <f t="shared" ca="1" si="149"/>
        <v>0</v>
      </c>
      <c r="EJ66" s="533"/>
      <c r="EK66" s="533">
        <f t="shared" ca="1" si="263"/>
        <v>43423</v>
      </c>
      <c r="EL66" s="529" t="str">
        <f t="shared" ca="1" si="150"/>
        <v>0</v>
      </c>
      <c r="EM66" s="533"/>
      <c r="EN66" s="533">
        <f t="shared" ca="1" si="264"/>
        <v>43423</v>
      </c>
      <c r="EO66" s="529" t="str">
        <f t="shared" ca="1" si="151"/>
        <v>0</v>
      </c>
      <c r="EP66" s="533"/>
      <c r="EQ66" s="533"/>
      <c r="ER66" s="529" t="str">
        <f t="shared" si="152"/>
        <v>0</v>
      </c>
      <c r="ES66" s="533"/>
      <c r="ET66" s="533"/>
      <c r="EU66" s="529" t="str">
        <f t="shared" si="153"/>
        <v>0</v>
      </c>
      <c r="EV66" s="533"/>
      <c r="EW66" s="533">
        <f t="shared" ca="1" si="265"/>
        <v>43423</v>
      </c>
      <c r="EX66" s="529" t="str">
        <f t="shared" ca="1" si="154"/>
        <v>0</v>
      </c>
      <c r="EY66" s="533"/>
      <c r="EZ66" s="533"/>
      <c r="FA66" s="533"/>
      <c r="FB66" s="731">
        <f t="shared" si="155"/>
        <v>44044</v>
      </c>
      <c r="FC66" s="730">
        <f>DATE(YEAR(FB66),MONTH(FB66)+1,DAY(FB66))</f>
        <v>44075</v>
      </c>
      <c r="FD66" s="730">
        <f t="shared" si="156"/>
        <v>1.0333333333333334</v>
      </c>
      <c r="FE66" s="730">
        <f t="shared" si="157"/>
        <v>731</v>
      </c>
      <c r="FF66" s="730"/>
      <c r="FG66" s="730"/>
      <c r="FH66" s="730">
        <f>DATE(YEAR(FC66),MONTH(FC66),DAY(FC66))</f>
        <v>44075</v>
      </c>
      <c r="FI66" s="730"/>
      <c r="FJ66" s="730">
        <f t="shared" si="266"/>
        <v>44075</v>
      </c>
      <c r="FK66" s="730">
        <f>DATE(YEAR(FH66),MONTH(FH66),DAY(FH66))</f>
        <v>44075</v>
      </c>
      <c r="FL66" s="574"/>
      <c r="FM66" s="724">
        <f t="shared" si="267"/>
        <v>0</v>
      </c>
      <c r="FN66" s="700">
        <v>13586</v>
      </c>
      <c r="FO66" s="246">
        <f t="shared" si="159"/>
        <v>0</v>
      </c>
      <c r="FP66" s="117"/>
      <c r="FQ66" s="556">
        <v>0</v>
      </c>
      <c r="FR66" s="556">
        <v>0</v>
      </c>
      <c r="FS66" s="556"/>
      <c r="FT66" s="556"/>
      <c r="FU66" s="556"/>
      <c r="FV66" s="749">
        <f t="shared" si="268"/>
        <v>0</v>
      </c>
      <c r="FW66" s="553"/>
      <c r="FX66" s="566"/>
      <c r="FY66" s="566"/>
      <c r="FZ66" s="553" t="s">
        <v>748</v>
      </c>
      <c r="GA66" s="121"/>
      <c r="GB66" s="121"/>
      <c r="GC66" s="121"/>
      <c r="GD66" s="121"/>
      <c r="GE66" s="121"/>
      <c r="GF66" s="53"/>
      <c r="GG66" s="280">
        <f t="shared" si="161"/>
        <v>44440</v>
      </c>
      <c r="GH66" s="280"/>
      <c r="GI66" s="53"/>
      <c r="GJ66" s="53"/>
      <c r="GK66" s="53"/>
      <c r="GL66" s="53"/>
      <c r="GM66" s="53"/>
      <c r="GN66" s="53"/>
      <c r="GO66" s="53"/>
      <c r="GP66" s="53"/>
      <c r="GQ66" s="53"/>
      <c r="GR66" s="53"/>
      <c r="GS66" s="53"/>
      <c r="GT66" s="53"/>
      <c r="GU66" s="53"/>
      <c r="GV66" s="112"/>
      <c r="GW66" s="112"/>
      <c r="GX66" s="93">
        <f>+HI66+HN66+HU66+IO66</f>
        <v>5086671</v>
      </c>
      <c r="GY66" s="67">
        <f>HJ66+HO66+HV66+IO66+HW66+HZ66</f>
        <v>5196925</v>
      </c>
      <c r="GZ66" s="797">
        <f>GY66</f>
        <v>5196925</v>
      </c>
      <c r="HA66" s="94">
        <f t="shared" si="276"/>
        <v>110254</v>
      </c>
      <c r="HB66" s="49">
        <f>GY66/AL66</f>
        <v>2180.1102446104733</v>
      </c>
      <c r="HC66" s="49">
        <f>GY66/AE66</f>
        <v>129923.125</v>
      </c>
      <c r="HD66" s="93">
        <v>4519361.7020000005</v>
      </c>
      <c r="HE66" s="67">
        <v>4649415</v>
      </c>
      <c r="HF66" s="94">
        <f t="shared" si="277"/>
        <v>130053.29799999949</v>
      </c>
      <c r="HG66" s="128">
        <f t="shared" si="278"/>
        <v>0.91343490910490333</v>
      </c>
      <c r="HH66" s="129">
        <v>0.4</v>
      </c>
      <c r="HI66" s="93">
        <v>1517885</v>
      </c>
      <c r="HJ66" s="638">
        <v>1640996</v>
      </c>
      <c r="HK66" s="642"/>
      <c r="HL66" s="49">
        <f t="shared" si="279"/>
        <v>41024.9</v>
      </c>
      <c r="HM66" s="95">
        <f>HJ66-HI66</f>
        <v>123111</v>
      </c>
      <c r="HN66" s="93">
        <f>1944434+824352</f>
        <v>2768786</v>
      </c>
      <c r="HO66" s="67">
        <f>HP66+HQ66</f>
        <v>2755929</v>
      </c>
      <c r="HP66" s="87">
        <v>601956</v>
      </c>
      <c r="HQ66" s="87">
        <v>2153973</v>
      </c>
      <c r="HR66" s="95">
        <f t="shared" si="280"/>
        <v>-12857</v>
      </c>
      <c r="HS66" s="630">
        <f>HO66/AE66</f>
        <v>68898.225000000006</v>
      </c>
      <c r="HT66" s="67"/>
      <c r="HU66" s="93">
        <v>800000</v>
      </c>
      <c r="HV66" s="67">
        <f>HU66</f>
        <v>800000</v>
      </c>
      <c r="HW66" s="67"/>
      <c r="HX66" s="88">
        <f t="shared" si="172"/>
        <v>0.15393718400785081</v>
      </c>
      <c r="HY66" s="303"/>
      <c r="HZ66" s="67"/>
      <c r="IA66" s="89">
        <f t="shared" si="173"/>
        <v>0</v>
      </c>
      <c r="IB66" s="23">
        <f t="shared" si="174"/>
        <v>20000</v>
      </c>
      <c r="IC66" s="81">
        <f t="shared" si="175"/>
        <v>61024.9</v>
      </c>
      <c r="ID66" s="89">
        <f t="shared" si="270"/>
        <v>0</v>
      </c>
      <c r="IE66" s="90">
        <v>5.76</v>
      </c>
      <c r="IF66" s="90">
        <v>5.7</v>
      </c>
      <c r="IG66" s="91"/>
      <c r="IH66" s="91"/>
      <c r="II66" s="49">
        <f t="shared" si="271"/>
        <v>57947.125</v>
      </c>
      <c r="IJ66" s="91"/>
      <c r="IK66" s="49">
        <f t="shared" si="281"/>
        <v>61024.9</v>
      </c>
      <c r="IL66" s="50">
        <f t="shared" si="272"/>
        <v>0.45567818323614795</v>
      </c>
      <c r="IM66" s="91"/>
      <c r="IN66" s="91"/>
      <c r="IO66" s="67">
        <f t="shared" si="273"/>
        <v>0</v>
      </c>
      <c r="IP66" s="96">
        <f t="shared" si="274"/>
        <v>5086671</v>
      </c>
      <c r="IQ66" s="277">
        <v>251153</v>
      </c>
      <c r="IR66" s="277">
        <f t="shared" si="275"/>
        <v>126076</v>
      </c>
      <c r="IS66" s="113">
        <v>42180</v>
      </c>
      <c r="IT66" s="231">
        <v>21429</v>
      </c>
      <c r="IU66" s="231"/>
      <c r="IV66" s="113"/>
      <c r="IW66" s="113">
        <v>42633</v>
      </c>
      <c r="IX66" s="231">
        <v>12215</v>
      </c>
      <c r="IY66" s="113">
        <v>42429</v>
      </c>
      <c r="IZ66" s="231">
        <v>24930</v>
      </c>
      <c r="JA66" s="113" t="s">
        <v>537</v>
      </c>
      <c r="JB66" s="231">
        <v>29829</v>
      </c>
      <c r="JC66" s="114">
        <v>43090</v>
      </c>
      <c r="JD66" s="321">
        <v>37673</v>
      </c>
      <c r="JE66" s="313"/>
      <c r="JF66" s="313"/>
      <c r="JG66" s="276"/>
      <c r="JH66" s="277"/>
      <c r="JI66" s="276"/>
      <c r="JJ66" s="277"/>
      <c r="JK66" s="300"/>
      <c r="JL66" s="300"/>
      <c r="JM66" s="300"/>
      <c r="JN66" s="300"/>
      <c r="JO66" s="269"/>
      <c r="JP66" s="269"/>
      <c r="JQ66" s="269"/>
      <c r="JR66" s="269"/>
      <c r="JS66" s="269"/>
      <c r="JT66" s="269"/>
      <c r="JU66" s="231">
        <v>24930</v>
      </c>
      <c r="JV66" s="122"/>
      <c r="JW66" s="114"/>
      <c r="JX66" s="122"/>
      <c r="JY66" s="122"/>
      <c r="JZ66" s="114"/>
    </row>
    <row r="67" spans="1:286" ht="19.5" customHeight="1">
      <c r="A67" s="86" t="s">
        <v>355</v>
      </c>
      <c r="B67" s="86"/>
      <c r="C67" s="53" t="s">
        <v>35</v>
      </c>
      <c r="D67" s="53" t="s">
        <v>112</v>
      </c>
      <c r="E67" s="53">
        <v>2016</v>
      </c>
      <c r="F67" s="53" t="s">
        <v>285</v>
      </c>
      <c r="G67" s="53" t="s">
        <v>374</v>
      </c>
      <c r="H67" s="7" t="s">
        <v>181</v>
      </c>
      <c r="I67" s="53" t="s">
        <v>249</v>
      </c>
      <c r="J67" s="53"/>
      <c r="K67" s="53" t="s">
        <v>324</v>
      </c>
      <c r="L67" s="255" t="s">
        <v>494</v>
      </c>
      <c r="M67" s="166"/>
      <c r="N67" s="167"/>
      <c r="O67" s="168"/>
      <c r="P67" s="207">
        <v>785</v>
      </c>
      <c r="Q67" s="207">
        <v>550000</v>
      </c>
      <c r="R67" s="207">
        <v>550000</v>
      </c>
      <c r="S67" s="207">
        <f>Q67/AE67</f>
        <v>25000</v>
      </c>
      <c r="T67" s="207">
        <f>Q67/P67</f>
        <v>700.63694267515928</v>
      </c>
      <c r="U67" s="213">
        <f>R67/P67</f>
        <v>700.63694267515928</v>
      </c>
      <c r="V67" s="213">
        <f>R67/AN67</f>
        <v>325.66153700403231</v>
      </c>
      <c r="W67" s="213">
        <f>R67/AE67</f>
        <v>25000</v>
      </c>
      <c r="X67" s="207">
        <f>P67/AE67</f>
        <v>35.68181818181818</v>
      </c>
      <c r="Y67" s="208"/>
      <c r="Z67" s="907">
        <f t="shared" ref="Z67:Z127" si="282">10000*AE67/P67</f>
        <v>280.25477707006371</v>
      </c>
      <c r="AA67" s="208" t="s">
        <v>207</v>
      </c>
      <c r="AB67" s="208">
        <v>500</v>
      </c>
      <c r="AC67" s="209"/>
      <c r="AD67" s="53" t="s">
        <v>16</v>
      </c>
      <c r="AE67" s="771">
        <f t="shared" si="130"/>
        <v>22</v>
      </c>
      <c r="AF67" s="771">
        <f t="shared" si="131"/>
        <v>22</v>
      </c>
      <c r="AG67" s="64"/>
      <c r="AH67" s="53">
        <v>22</v>
      </c>
      <c r="AI67" s="53"/>
      <c r="AJ67" s="53"/>
      <c r="AK67" s="269"/>
      <c r="AL67" s="57"/>
      <c r="AM67" s="804"/>
      <c r="AN67" s="92">
        <v>1688.87</v>
      </c>
      <c r="AO67" s="9">
        <v>1746</v>
      </c>
      <c r="AP67" s="78"/>
      <c r="AQ67" s="78">
        <f>10/AE67</f>
        <v>0.45454545454545453</v>
      </c>
      <c r="AR67" s="78">
        <f>6/AE67</f>
        <v>0.27272727272727271</v>
      </c>
      <c r="AS67" s="78">
        <f>5/AE67</f>
        <v>0.22727272727272727</v>
      </c>
      <c r="AT67" s="78">
        <f>1/AE67</f>
        <v>4.5454545454545456E-2</v>
      </c>
      <c r="AU67" s="57"/>
      <c r="AV67" s="76">
        <v>0</v>
      </c>
      <c r="AW67" s="78">
        <v>0</v>
      </c>
      <c r="AX67" s="57">
        <v>7</v>
      </c>
      <c r="AY67" s="56" t="s">
        <v>549</v>
      </c>
      <c r="AZ67" s="53" t="s">
        <v>120</v>
      </c>
      <c r="BA67" s="53"/>
      <c r="BB67" s="53"/>
      <c r="BC67" s="53"/>
      <c r="BD67" s="236">
        <v>42396</v>
      </c>
      <c r="BE67" s="236">
        <v>42475</v>
      </c>
      <c r="BF67" s="110" t="s">
        <v>168</v>
      </c>
      <c r="BG67" s="110"/>
      <c r="BH67" s="97"/>
      <c r="BI67" s="204">
        <v>42606</v>
      </c>
      <c r="BJ67" s="99">
        <v>42646</v>
      </c>
      <c r="BK67" s="99" t="s">
        <v>168</v>
      </c>
      <c r="BL67" s="204" t="s">
        <v>168</v>
      </c>
      <c r="BM67" s="99" t="s">
        <v>168</v>
      </c>
      <c r="BN67" s="161">
        <v>43284</v>
      </c>
      <c r="BO67" s="689">
        <v>43356</v>
      </c>
      <c r="BP67" s="161">
        <f t="shared" si="256"/>
        <v>43447</v>
      </c>
      <c r="BQ67" s="161"/>
      <c r="BR67" s="299">
        <f t="shared" si="257"/>
        <v>43356</v>
      </c>
      <c r="BS67" s="298">
        <f t="shared" si="258"/>
        <v>44087</v>
      </c>
      <c r="BT67" s="298">
        <f t="shared" si="259"/>
        <v>44452</v>
      </c>
      <c r="BU67" s="672">
        <f>48491+8751</f>
        <v>57242</v>
      </c>
      <c r="BV67" s="298" t="str">
        <f>IF(FK67&gt;BT67,"oui","non")</f>
        <v>non</v>
      </c>
      <c r="BW67" s="672">
        <f t="shared" si="136"/>
        <v>12</v>
      </c>
      <c r="BX67" s="672">
        <f t="shared" si="137"/>
        <v>108960</v>
      </c>
      <c r="BY67" s="672">
        <f t="shared" si="138"/>
        <v>0</v>
      </c>
      <c r="BZ67" s="824"/>
      <c r="CA67" s="832"/>
      <c r="CB67" s="826"/>
      <c r="CC67" s="826">
        <v>43389</v>
      </c>
      <c r="CD67" s="826"/>
      <c r="CE67" s="826"/>
      <c r="CF67" s="819"/>
      <c r="CG67" s="819">
        <v>43389</v>
      </c>
      <c r="CH67" s="833">
        <v>43434</v>
      </c>
      <c r="CI67" s="819"/>
      <c r="CJ67" s="819"/>
      <c r="CK67" s="819">
        <v>43389</v>
      </c>
      <c r="CL67" s="819"/>
      <c r="CM67" s="819"/>
      <c r="CN67" s="819"/>
      <c r="CO67" s="819">
        <v>43389</v>
      </c>
      <c r="CP67" s="819"/>
      <c r="CQ67" s="819"/>
      <c r="CR67" s="819"/>
      <c r="CS67" s="159"/>
      <c r="CT67" s="250"/>
      <c r="CU67" s="250"/>
      <c r="CV67" s="158"/>
      <c r="CW67" s="250"/>
      <c r="CX67" s="250"/>
      <c r="CY67" s="250"/>
      <c r="CZ67" s="250" t="s">
        <v>168</v>
      </c>
      <c r="DA67" s="598"/>
      <c r="DB67" s="315">
        <v>42331</v>
      </c>
      <c r="DC67" s="122">
        <v>42353</v>
      </c>
      <c r="DD67" s="122">
        <v>42326</v>
      </c>
      <c r="DE67" s="523">
        <f t="shared" si="139"/>
        <v>-27</v>
      </c>
      <c r="DF67" s="122">
        <v>42415</v>
      </c>
      <c r="DG67" s="122">
        <v>42415</v>
      </c>
      <c r="DH67" s="523">
        <f t="shared" si="140"/>
        <v>0</v>
      </c>
      <c r="DI67" s="122">
        <v>42444</v>
      </c>
      <c r="DJ67" s="122">
        <v>42598</v>
      </c>
      <c r="DK67" s="523">
        <f t="shared" si="141"/>
        <v>154</v>
      </c>
      <c r="DL67" s="122">
        <v>42748</v>
      </c>
      <c r="DM67" s="122">
        <v>42772</v>
      </c>
      <c r="DN67" s="523">
        <f t="shared" si="142"/>
        <v>24</v>
      </c>
      <c r="DO67" s="122">
        <v>42808</v>
      </c>
      <c r="DP67" s="122">
        <v>43136</v>
      </c>
      <c r="DQ67" s="523">
        <f t="shared" si="143"/>
        <v>328</v>
      </c>
      <c r="DR67" s="451"/>
      <c r="DS67" s="549"/>
      <c r="DT67" s="527">
        <v>43189</v>
      </c>
      <c r="DU67" s="533">
        <f t="shared" ca="1" si="260"/>
        <v>43423</v>
      </c>
      <c r="DV67" s="529">
        <f t="shared" ca="1" si="144"/>
        <v>234</v>
      </c>
      <c r="DW67" s="527">
        <v>43203</v>
      </c>
      <c r="DX67" s="686">
        <v>43503</v>
      </c>
      <c r="DY67" s="344"/>
      <c r="DZ67" s="442">
        <f t="shared" si="145"/>
        <v>29.9</v>
      </c>
      <c r="EA67" s="529">
        <f t="shared" si="146"/>
        <v>300</v>
      </c>
      <c r="EB67" s="687">
        <v>16</v>
      </c>
      <c r="EC67" s="241">
        <f t="shared" si="147"/>
        <v>17</v>
      </c>
      <c r="ED67" s="527"/>
      <c r="EE67" s="533">
        <f t="shared" ca="1" si="261"/>
        <v>43423</v>
      </c>
      <c r="EF67" s="529" t="str">
        <f t="shared" ca="1" si="148"/>
        <v>0</v>
      </c>
      <c r="EG67" s="527"/>
      <c r="EH67" s="551">
        <f t="shared" ca="1" si="262"/>
        <v>43423</v>
      </c>
      <c r="EI67" s="530" t="str">
        <f t="shared" ca="1" si="149"/>
        <v>0</v>
      </c>
      <c r="EJ67" s="533"/>
      <c r="EK67" s="533">
        <f t="shared" ca="1" si="263"/>
        <v>43423</v>
      </c>
      <c r="EL67" s="529" t="str">
        <f t="shared" ca="1" si="150"/>
        <v>0</v>
      </c>
      <c r="EM67" s="533"/>
      <c r="EN67" s="533">
        <f t="shared" ca="1" si="264"/>
        <v>43423</v>
      </c>
      <c r="EO67" s="529" t="str">
        <f t="shared" ca="1" si="151"/>
        <v>0</v>
      </c>
      <c r="EP67" s="535"/>
      <c r="EQ67" s="535"/>
      <c r="ER67" s="529" t="str">
        <f t="shared" si="152"/>
        <v>0</v>
      </c>
      <c r="ES67" s="533"/>
      <c r="ET67" s="533"/>
      <c r="EU67" s="529" t="str">
        <f t="shared" si="153"/>
        <v>0</v>
      </c>
      <c r="EV67" s="533"/>
      <c r="EW67" s="533">
        <f t="shared" ca="1" si="265"/>
        <v>43423</v>
      </c>
      <c r="EX67" s="529" t="str">
        <f t="shared" ca="1" si="154"/>
        <v>0</v>
      </c>
      <c r="EY67" s="533"/>
      <c r="EZ67" s="533"/>
      <c r="FA67" s="533"/>
      <c r="FB67" s="616">
        <f t="shared" si="155"/>
        <v>43989</v>
      </c>
      <c r="FC67" s="730">
        <f>DATE(YEAR(FB67),MONTH(FB67)+1,DAY(FB67))</f>
        <v>44019</v>
      </c>
      <c r="FD67" s="730">
        <f t="shared" si="156"/>
        <v>1</v>
      </c>
      <c r="FE67" s="730">
        <f t="shared" si="157"/>
        <v>731</v>
      </c>
      <c r="FF67" s="730"/>
      <c r="FG67" s="730"/>
      <c r="FH67" s="730">
        <f t="shared" ref="FH67:FH73" si="283">DATE(YEAR(FC67),MONTH(FC67)+1,DAY(FC67))</f>
        <v>44050</v>
      </c>
      <c r="FI67" s="730"/>
      <c r="FJ67" s="730">
        <f t="shared" si="266"/>
        <v>44019</v>
      </c>
      <c r="FK67" s="730">
        <f t="shared" ref="FK67:FK74" si="284">DATE(YEAR(FH67),MONTH(FH67)+1,DAY(FH67))</f>
        <v>44081</v>
      </c>
      <c r="FL67" s="574"/>
      <c r="FM67" s="724">
        <f t="shared" si="267"/>
        <v>2.0666666666666669</v>
      </c>
      <c r="FN67" s="700">
        <v>9080</v>
      </c>
      <c r="FO67" s="246">
        <f t="shared" si="159"/>
        <v>18765.333333333336</v>
      </c>
      <c r="FP67" s="273"/>
      <c r="FQ67" s="556">
        <v>46700</v>
      </c>
      <c r="FR67" s="556">
        <v>0</v>
      </c>
      <c r="FS67" s="556"/>
      <c r="FT67" s="556"/>
      <c r="FU67" s="556"/>
      <c r="FV67" s="556"/>
      <c r="FW67" s="553"/>
      <c r="FX67" s="566"/>
      <c r="FY67" s="566"/>
      <c r="FZ67" s="566" t="s">
        <v>749</v>
      </c>
      <c r="GA67" s="121"/>
      <c r="GB67" s="121"/>
      <c r="GC67" s="121"/>
      <c r="GD67" s="121"/>
      <c r="GE67" s="121"/>
      <c r="GF67" s="53"/>
      <c r="GG67" s="280">
        <f t="shared" si="161"/>
        <v>44384</v>
      </c>
      <c r="GH67" s="280"/>
      <c r="GI67" s="53"/>
      <c r="GJ67" s="53"/>
      <c r="GK67" s="53"/>
      <c r="GL67" s="53"/>
      <c r="GM67" s="53"/>
      <c r="GN67" s="53"/>
      <c r="GO67" s="53"/>
      <c r="GP67" s="53"/>
      <c r="GQ67" s="53"/>
      <c r="GR67" s="53"/>
      <c r="GS67" s="53"/>
      <c r="GT67" s="53"/>
      <c r="GU67" s="53"/>
      <c r="GV67" s="112"/>
      <c r="GW67" s="112"/>
      <c r="GX67" s="93">
        <f>+HI67+HN67+HU67+IO67</f>
        <v>3709176.2725294223</v>
      </c>
      <c r="GY67" s="67">
        <f>HJ67+HO67+HV67+IO67+HW67+HZ67</f>
        <v>3661369</v>
      </c>
      <c r="GZ67" s="797">
        <f>GY67</f>
        <v>3661369</v>
      </c>
      <c r="HA67" s="94">
        <f t="shared" si="276"/>
        <v>-47807.272529422306</v>
      </c>
      <c r="HB67" s="49" t="e">
        <f>GY67/AL67</f>
        <v>#DIV/0!</v>
      </c>
      <c r="HC67" s="49">
        <f>GY67/AE67</f>
        <v>166425.86363636365</v>
      </c>
      <c r="HD67" s="93">
        <v>3142057.6116279075</v>
      </c>
      <c r="HE67" s="67">
        <v>3087171</v>
      </c>
      <c r="HF67" s="94">
        <f t="shared" si="277"/>
        <v>-54886.611627907492</v>
      </c>
      <c r="HG67" s="128">
        <f t="shared" si="278"/>
        <v>0.86088061350822587</v>
      </c>
      <c r="HH67" s="129">
        <v>0.4</v>
      </c>
      <c r="HI67" s="93">
        <v>1117146.8818248713</v>
      </c>
      <c r="HJ67" s="638">
        <v>1211134</v>
      </c>
      <c r="HK67" s="642"/>
      <c r="HL67" s="49">
        <f t="shared" si="279"/>
        <v>55051.545454545456</v>
      </c>
      <c r="HM67" s="95">
        <f>HJ67-HI67</f>
        <v>93987.118175128708</v>
      </c>
      <c r="HN67" s="93">
        <v>2192029.3907045508</v>
      </c>
      <c r="HO67" s="67">
        <f>HP67+HQ67</f>
        <v>2050235</v>
      </c>
      <c r="HP67" s="87">
        <v>370884</v>
      </c>
      <c r="HQ67" s="87">
        <v>1679351</v>
      </c>
      <c r="HR67" s="95">
        <f t="shared" si="280"/>
        <v>-141794.39070455078</v>
      </c>
      <c r="HS67" s="630">
        <f>HO67/AE67</f>
        <v>93192.5</v>
      </c>
      <c r="HT67" s="67"/>
      <c r="HU67" s="93">
        <v>400000</v>
      </c>
      <c r="HV67" s="67">
        <f>HU67</f>
        <v>400000</v>
      </c>
      <c r="HW67" s="67"/>
      <c r="HX67" s="88">
        <f t="shared" si="172"/>
        <v>0.10924875367656196</v>
      </c>
      <c r="HY67" s="303"/>
      <c r="HZ67" s="67"/>
      <c r="IA67" s="89">
        <f t="shared" si="173"/>
        <v>0</v>
      </c>
      <c r="IB67" s="23">
        <f t="shared" si="174"/>
        <v>18181.81818181818</v>
      </c>
      <c r="IC67" s="81">
        <f t="shared" si="175"/>
        <v>73233.363636363632</v>
      </c>
      <c r="ID67" s="24">
        <f t="shared" si="270"/>
        <v>0</v>
      </c>
      <c r="IE67" s="90">
        <v>5.32</v>
      </c>
      <c r="IF67" s="90">
        <v>5.29</v>
      </c>
      <c r="IG67" s="91"/>
      <c r="IH67" s="91"/>
      <c r="II67" s="23">
        <f t="shared" si="271"/>
        <v>68961.221901130513</v>
      </c>
      <c r="IJ67" s="91"/>
      <c r="IK67" s="23">
        <f t="shared" si="281"/>
        <v>73233.363636363632</v>
      </c>
      <c r="IL67" s="50">
        <f t="shared" si="272"/>
        <v>0.40902528495640184</v>
      </c>
      <c r="IM67" s="91"/>
      <c r="IN67" s="91"/>
      <c r="IO67" s="67">
        <f t="shared" si="273"/>
        <v>0</v>
      </c>
      <c r="IP67" s="41">
        <f t="shared" si="274"/>
        <v>3709176.2725294223</v>
      </c>
      <c r="IQ67" s="277">
        <v>184075</v>
      </c>
      <c r="IR67" s="277">
        <f t="shared" si="275"/>
        <v>92037</v>
      </c>
      <c r="IS67" s="113">
        <v>42429</v>
      </c>
      <c r="IT67" s="231"/>
      <c r="IU67" s="231"/>
      <c r="IV67" s="113"/>
      <c r="IW67" s="113">
        <v>42605</v>
      </c>
      <c r="IX67" s="231">
        <v>8765</v>
      </c>
      <c r="IY67" s="113">
        <v>42429</v>
      </c>
      <c r="IZ67" s="231">
        <v>36701</v>
      </c>
      <c r="JA67" s="113" t="s">
        <v>534</v>
      </c>
      <c r="JB67" s="231">
        <v>18328</v>
      </c>
      <c r="JC67" s="114">
        <v>42926</v>
      </c>
      <c r="JD67" s="321">
        <v>28243</v>
      </c>
      <c r="JE67" s="313"/>
      <c r="JF67" s="313"/>
      <c r="JG67" s="276"/>
      <c r="JH67" s="277"/>
      <c r="JI67" s="276"/>
      <c r="JJ67" s="277"/>
      <c r="JK67" s="300"/>
      <c r="JL67" s="300"/>
      <c r="JM67" s="300"/>
      <c r="JN67" s="300"/>
      <c r="JO67" s="269"/>
      <c r="JP67" s="269"/>
      <c r="JQ67" s="269"/>
      <c r="JR67" s="269"/>
      <c r="JS67" s="269"/>
      <c r="JT67" s="269"/>
      <c r="JU67" s="231">
        <v>36701</v>
      </c>
      <c r="JV67" s="315"/>
      <c r="JW67" s="114"/>
      <c r="JX67" s="315"/>
      <c r="JY67" s="315"/>
      <c r="JZ67" s="114"/>
    </row>
    <row r="68" spans="1:286" ht="15" customHeight="1">
      <c r="A68" s="655" t="s">
        <v>42</v>
      </c>
      <c r="B68" s="655"/>
      <c r="C68" s="53" t="s">
        <v>35</v>
      </c>
      <c r="D68" s="53" t="s">
        <v>112</v>
      </c>
      <c r="E68" s="53">
        <v>2016</v>
      </c>
      <c r="F68" s="53" t="s">
        <v>43</v>
      </c>
      <c r="G68" s="53" t="s">
        <v>54</v>
      </c>
      <c r="H68" s="78" t="s">
        <v>463</v>
      </c>
      <c r="I68" s="53" t="s">
        <v>249</v>
      </c>
      <c r="J68" s="78"/>
      <c r="K68" s="53"/>
      <c r="L68" s="255" t="s">
        <v>516</v>
      </c>
      <c r="M68" s="304" t="s">
        <v>61</v>
      </c>
      <c r="N68" s="304" t="s">
        <v>68</v>
      </c>
      <c r="O68" s="304"/>
      <c r="P68" s="207">
        <v>2433</v>
      </c>
      <c r="Q68" s="207">
        <f>R68</f>
        <v>487212</v>
      </c>
      <c r="R68" s="207">
        <v>487212</v>
      </c>
      <c r="S68" s="207">
        <f>Q68/AE68</f>
        <v>16240.4</v>
      </c>
      <c r="T68" s="207">
        <f>Q68/P68</f>
        <v>200.25154130702836</v>
      </c>
      <c r="U68" s="207">
        <f>R68/P68</f>
        <v>200.25154130702836</v>
      </c>
      <c r="V68" s="207">
        <f>R68/AN68</f>
        <v>190.87340453038934</v>
      </c>
      <c r="W68" s="207">
        <f>R68/AE68</f>
        <v>16240.4</v>
      </c>
      <c r="X68" s="207">
        <f>P68/AE68</f>
        <v>81.099999999999994</v>
      </c>
      <c r="Y68" s="208">
        <v>782</v>
      </c>
      <c r="Z68" s="904">
        <f t="shared" si="282"/>
        <v>123.30456226880395</v>
      </c>
      <c r="AA68" s="208" t="s">
        <v>194</v>
      </c>
      <c r="AB68" s="208">
        <v>528</v>
      </c>
      <c r="AC68" s="209">
        <v>0.05</v>
      </c>
      <c r="AD68" s="53" t="s">
        <v>15</v>
      </c>
      <c r="AE68" s="771">
        <f t="shared" si="130"/>
        <v>30</v>
      </c>
      <c r="AF68" s="771">
        <f t="shared" si="131"/>
        <v>30</v>
      </c>
      <c r="AG68" s="53">
        <v>30</v>
      </c>
      <c r="AH68" s="64"/>
      <c r="AI68" s="64"/>
      <c r="AJ68" s="64"/>
      <c r="AK68" s="269"/>
      <c r="AL68" s="57">
        <v>2526.1</v>
      </c>
      <c r="AM68" s="57"/>
      <c r="AN68" s="92">
        <v>2552.54</v>
      </c>
      <c r="AO68" s="57">
        <f>AN68/AE68</f>
        <v>85.084666666666664</v>
      </c>
      <c r="AP68" s="78">
        <f>4/AE68</f>
        <v>0.13333333333333333</v>
      </c>
      <c r="AQ68" s="78">
        <f>7/AE68</f>
        <v>0.23333333333333334</v>
      </c>
      <c r="AR68" s="78">
        <f>9/AE68</f>
        <v>0.3</v>
      </c>
      <c r="AS68" s="78">
        <f>8/AE68</f>
        <v>0.26666666666666666</v>
      </c>
      <c r="AT68" s="78">
        <f>2/AE68</f>
        <v>6.6666666666666666E-2</v>
      </c>
      <c r="AU68" s="57"/>
      <c r="AV68" s="76">
        <v>0</v>
      </c>
      <c r="AW68" s="78">
        <f>AV68/P68</f>
        <v>0</v>
      </c>
      <c r="AX68" s="57">
        <v>4.5</v>
      </c>
      <c r="AY68" s="56" t="s">
        <v>549</v>
      </c>
      <c r="AZ68" s="53" t="s">
        <v>120</v>
      </c>
      <c r="BA68" s="53"/>
      <c r="BB68" s="53"/>
      <c r="BC68" s="53"/>
      <c r="BD68" s="292" t="s">
        <v>326</v>
      </c>
      <c r="BE68" s="238">
        <v>40816</v>
      </c>
      <c r="BF68" s="110" t="s">
        <v>168</v>
      </c>
      <c r="BG68" s="110" t="s">
        <v>147</v>
      </c>
      <c r="BH68" s="286"/>
      <c r="BI68" s="204">
        <v>42618</v>
      </c>
      <c r="BJ68" s="99">
        <v>42646</v>
      </c>
      <c r="BK68" s="99">
        <v>41807</v>
      </c>
      <c r="BL68" s="204">
        <v>41831</v>
      </c>
      <c r="BM68" s="99"/>
      <c r="BN68" s="690">
        <v>43306</v>
      </c>
      <c r="BO68" s="689">
        <f t="shared" ref="BO68:BO79" si="285">DATE(YEAR(BN68),MONTH(BN68)+1,DAY(BN68))</f>
        <v>43337</v>
      </c>
      <c r="BP68" s="161">
        <f t="shared" si="256"/>
        <v>43429</v>
      </c>
      <c r="BQ68" s="165"/>
      <c r="BR68" s="299">
        <f t="shared" si="257"/>
        <v>43337</v>
      </c>
      <c r="BS68" s="298">
        <f t="shared" si="258"/>
        <v>44068</v>
      </c>
      <c r="BT68" s="298">
        <f t="shared" si="259"/>
        <v>44433</v>
      </c>
      <c r="BU68" s="672">
        <f>77942+17361</f>
        <v>95303</v>
      </c>
      <c r="BV68" s="298" t="str">
        <f>IF(FK68&gt;BT68,"oui","non")</f>
        <v>non</v>
      </c>
      <c r="BW68" s="672">
        <f t="shared" si="136"/>
        <v>11</v>
      </c>
      <c r="BX68" s="672">
        <f t="shared" si="137"/>
        <v>181665</v>
      </c>
      <c r="BY68" s="672">
        <f t="shared" si="138"/>
        <v>0</v>
      </c>
      <c r="BZ68" s="834"/>
      <c r="CA68" s="832"/>
      <c r="CB68" s="826"/>
      <c r="CC68" s="826"/>
      <c r="CD68" s="826"/>
      <c r="CE68" s="826"/>
      <c r="CF68" s="819"/>
      <c r="CG68" s="819"/>
      <c r="CH68" s="819"/>
      <c r="CI68" s="819"/>
      <c r="CJ68" s="819"/>
      <c r="CK68" s="819"/>
      <c r="CL68" s="819"/>
      <c r="CM68" s="819"/>
      <c r="CN68" s="827"/>
      <c r="CO68" s="827"/>
      <c r="CP68" s="827"/>
      <c r="CQ68" s="827"/>
      <c r="CR68" s="827"/>
      <c r="CS68" s="159" t="s">
        <v>68</v>
      </c>
      <c r="CT68" s="250"/>
      <c r="CU68" s="250"/>
      <c r="CV68" s="158"/>
      <c r="CW68" s="250"/>
      <c r="CX68" s="250"/>
      <c r="CY68" s="250"/>
      <c r="CZ68" s="250" t="s">
        <v>168</v>
      </c>
      <c r="DA68" s="598"/>
      <c r="DB68" s="122">
        <v>40734</v>
      </c>
      <c r="DC68" s="122">
        <v>40754</v>
      </c>
      <c r="DD68" s="122">
        <v>40735</v>
      </c>
      <c r="DE68" s="523">
        <f t="shared" si="139"/>
        <v>-19</v>
      </c>
      <c r="DF68" s="122">
        <v>40885</v>
      </c>
      <c r="DG68" s="122">
        <v>42404</v>
      </c>
      <c r="DH68" s="523">
        <f t="shared" si="140"/>
        <v>1519</v>
      </c>
      <c r="DI68" s="122">
        <v>40865</v>
      </c>
      <c r="DJ68" s="122">
        <v>40911</v>
      </c>
      <c r="DK68" s="523">
        <f t="shared" si="141"/>
        <v>46</v>
      </c>
      <c r="DL68" s="122">
        <v>40949</v>
      </c>
      <c r="DM68" s="122">
        <v>41416</v>
      </c>
      <c r="DN68" s="523">
        <f t="shared" si="142"/>
        <v>467</v>
      </c>
      <c r="DO68" s="122"/>
      <c r="DP68" s="122"/>
      <c r="DQ68" s="545" t="str">
        <f t="shared" si="143"/>
        <v>0</v>
      </c>
      <c r="DR68" s="451"/>
      <c r="DS68" s="549"/>
      <c r="DT68" s="533">
        <v>43276</v>
      </c>
      <c r="DU68" s="533">
        <f t="shared" ca="1" si="260"/>
        <v>43423</v>
      </c>
      <c r="DV68" s="529">
        <f t="shared" ca="1" si="144"/>
        <v>147</v>
      </c>
      <c r="DW68" s="537">
        <v>43291</v>
      </c>
      <c r="DX68" s="686">
        <v>43511</v>
      </c>
      <c r="DY68" s="345"/>
      <c r="DZ68" s="448">
        <f t="shared" ref="DZ68:DZ85" si="286">(DATEDIF(BI68,DX68,"d"))/30</f>
        <v>29.766666666666666</v>
      </c>
      <c r="EA68" s="529">
        <f t="shared" ref="EA68:EA85" si="287">IF(AND(DW68&gt;0,DX68&gt;0),DX68-DW68,"0")</f>
        <v>220</v>
      </c>
      <c r="EB68" s="688">
        <v>16</v>
      </c>
      <c r="EC68" s="241">
        <f t="shared" ref="EC68:EC85" si="288">DATEDIF(DX68,FC68,"M")</f>
        <v>17</v>
      </c>
      <c r="ED68" s="527"/>
      <c r="EE68" s="533">
        <f t="shared" ca="1" si="261"/>
        <v>43423</v>
      </c>
      <c r="EF68" s="529" t="str">
        <f t="shared" ref="EF68:EF85" ca="1" si="289">IF(AND(ED68&gt;0,EE68&gt;0),EE68-ED68,"0")</f>
        <v>0</v>
      </c>
      <c r="EG68" s="527"/>
      <c r="EH68" s="551">
        <f t="shared" ca="1" si="262"/>
        <v>43423</v>
      </c>
      <c r="EI68" s="530" t="str">
        <f t="shared" ca="1" si="149"/>
        <v>0</v>
      </c>
      <c r="EJ68" s="533"/>
      <c r="EK68" s="533">
        <f t="shared" ca="1" si="263"/>
        <v>43423</v>
      </c>
      <c r="EL68" s="529" t="str">
        <f t="shared" ref="EL68:EL85" ca="1" si="290">IF(AND(EJ68&gt;0,EK68&gt;0),EK68-EJ68,"0")</f>
        <v>0</v>
      </c>
      <c r="EM68" s="533"/>
      <c r="EN68" s="533">
        <f t="shared" ca="1" si="264"/>
        <v>43423</v>
      </c>
      <c r="EO68" s="529" t="str">
        <f t="shared" ca="1" si="151"/>
        <v>0</v>
      </c>
      <c r="EP68" s="533"/>
      <c r="EQ68" s="533"/>
      <c r="ER68" s="529" t="str">
        <f t="shared" si="152"/>
        <v>0</v>
      </c>
      <c r="ES68" s="533"/>
      <c r="ET68" s="533"/>
      <c r="EU68" s="529" t="str">
        <f t="shared" si="153"/>
        <v>0</v>
      </c>
      <c r="EV68" s="533"/>
      <c r="EW68" s="533">
        <f t="shared" ca="1" si="265"/>
        <v>43423</v>
      </c>
      <c r="EX68" s="529" t="str">
        <f t="shared" ca="1" si="154"/>
        <v>0</v>
      </c>
      <c r="EY68" s="533"/>
      <c r="EZ68" s="533"/>
      <c r="FA68" s="533"/>
      <c r="FB68" s="731">
        <f t="shared" si="155"/>
        <v>43997</v>
      </c>
      <c r="FC68" s="730">
        <f>DATE(YEAR(FB68),MONTH(FB68)+1,DAY(FB68))</f>
        <v>44027</v>
      </c>
      <c r="FD68" s="730">
        <f t="shared" ref="FD68:FD100" si="291">(DATEDIF(FB68,FC68,"d"))/30</f>
        <v>1</v>
      </c>
      <c r="FE68" s="730">
        <f t="shared" si="157"/>
        <v>731</v>
      </c>
      <c r="FF68" s="730"/>
      <c r="FG68" s="730"/>
      <c r="FH68" s="730">
        <f t="shared" si="283"/>
        <v>44058</v>
      </c>
      <c r="FI68" s="730"/>
      <c r="FJ68" s="730">
        <f t="shared" si="266"/>
        <v>44027</v>
      </c>
      <c r="FK68" s="730">
        <f t="shared" si="284"/>
        <v>44089</v>
      </c>
      <c r="FL68" s="574"/>
      <c r="FM68" s="724">
        <f t="shared" si="267"/>
        <v>2.0666666666666669</v>
      </c>
      <c r="FN68" s="700">
        <v>16515</v>
      </c>
      <c r="FO68" s="246">
        <f t="shared" ref="FO68:FO100" si="292">FN68*FM68</f>
        <v>34131</v>
      </c>
      <c r="FP68" s="273"/>
      <c r="FQ68" s="556">
        <v>0</v>
      </c>
      <c r="FR68" s="556">
        <v>0</v>
      </c>
      <c r="FS68" s="556"/>
      <c r="FT68" s="556"/>
      <c r="FU68" s="556"/>
      <c r="FV68" s="556"/>
      <c r="FW68" s="553"/>
      <c r="FX68" s="566"/>
      <c r="FY68" s="566" t="s">
        <v>752</v>
      </c>
      <c r="FZ68" s="566" t="s">
        <v>758</v>
      </c>
      <c r="GA68" s="187"/>
      <c r="GB68" s="187"/>
      <c r="GC68" s="187"/>
      <c r="GD68" s="187"/>
      <c r="GE68" s="187"/>
      <c r="GF68" s="78"/>
      <c r="GG68" s="280">
        <f t="shared" si="161"/>
        <v>44392</v>
      </c>
      <c r="GH68" s="280"/>
      <c r="GI68" s="78"/>
      <c r="GJ68" s="78"/>
      <c r="GK68" s="78"/>
      <c r="GL68" s="78"/>
      <c r="GM68" s="78"/>
      <c r="GN68" s="78"/>
      <c r="GO68" s="78"/>
      <c r="GP68" s="78"/>
      <c r="GQ68" s="78"/>
      <c r="GR68" s="78"/>
      <c r="GS68" s="78"/>
      <c r="GT68" s="78"/>
      <c r="GU68" s="78"/>
      <c r="GV68" s="112" t="s">
        <v>120</v>
      </c>
      <c r="GW68" s="112"/>
      <c r="GX68" s="93">
        <f>+HI68+HN68+HU68+IO68</f>
        <v>4943384.7071162229</v>
      </c>
      <c r="GY68" s="67">
        <f>HJ68+HO68+HV68+IO68+HW68+HZ68</f>
        <v>5371395</v>
      </c>
      <c r="GZ68" s="797">
        <f>GY68</f>
        <v>5371395</v>
      </c>
      <c r="HA68" s="94">
        <f t="shared" si="276"/>
        <v>428010.29288377706</v>
      </c>
      <c r="HB68" s="49">
        <f>GY68/AL68</f>
        <v>2126.3588139820276</v>
      </c>
      <c r="HC68" s="49">
        <f>GY68/AE68</f>
        <v>179046.5</v>
      </c>
      <c r="HD68" s="93">
        <v>4257022.3269400001</v>
      </c>
      <c r="HE68" s="67">
        <v>4316430</v>
      </c>
      <c r="HF68" s="94">
        <f t="shared" si="277"/>
        <v>59407.673059999943</v>
      </c>
      <c r="HG68" s="128">
        <f t="shared" si="278"/>
        <v>0.82047122395578787</v>
      </c>
      <c r="HH68" s="129">
        <v>0.37030000000000002</v>
      </c>
      <c r="HI68" s="93">
        <v>1487646.5617181344</v>
      </c>
      <c r="HJ68" s="67">
        <v>1695164</v>
      </c>
      <c r="HK68" s="642"/>
      <c r="HL68" s="49">
        <f t="shared" si="279"/>
        <v>56505.466666666667</v>
      </c>
      <c r="HM68" s="95">
        <f>HJ68-HI68</f>
        <v>207517.43828186556</v>
      </c>
      <c r="HN68" s="93">
        <v>3185738.1453980887</v>
      </c>
      <c r="HO68" s="67">
        <f>HP68+HQ68</f>
        <v>3406231</v>
      </c>
      <c r="HP68" s="87">
        <v>749753</v>
      </c>
      <c r="HQ68" s="87">
        <v>2656478</v>
      </c>
      <c r="HR68" s="95">
        <f t="shared" si="280"/>
        <v>220492.85460191127</v>
      </c>
      <c r="HS68" s="630">
        <f>HO68/AE68</f>
        <v>113541.03333333334</v>
      </c>
      <c r="HT68" s="67">
        <v>0</v>
      </c>
      <c r="HU68" s="93">
        <v>270000</v>
      </c>
      <c r="HV68" s="67">
        <v>270000</v>
      </c>
      <c r="HW68" s="67"/>
      <c r="HX68" s="88">
        <f t="shared" si="172"/>
        <v>5.026627161100608E-2</v>
      </c>
      <c r="HY68" s="303"/>
      <c r="HZ68" s="67">
        <v>0</v>
      </c>
      <c r="IA68" s="89">
        <f t="shared" si="173"/>
        <v>0</v>
      </c>
      <c r="IB68" s="47">
        <f t="shared" si="174"/>
        <v>9000</v>
      </c>
      <c r="IC68" s="81">
        <f t="shared" si="175"/>
        <v>65505.466666666667</v>
      </c>
      <c r="ID68" s="24">
        <f t="shared" si="270"/>
        <v>0</v>
      </c>
      <c r="IE68" s="90">
        <v>6.47</v>
      </c>
      <c r="IF68" s="90">
        <v>5.76</v>
      </c>
      <c r="IG68" s="91">
        <v>0</v>
      </c>
      <c r="IH68" s="91">
        <v>0</v>
      </c>
      <c r="II68" s="23">
        <f t="shared" si="271"/>
        <v>58588.218723937818</v>
      </c>
      <c r="IJ68" s="91">
        <v>0</v>
      </c>
      <c r="IK68" s="23">
        <f t="shared" si="281"/>
        <v>65505.466666666667</v>
      </c>
      <c r="IL68" s="50">
        <f t="shared" si="272"/>
        <v>0.3555552856705495</v>
      </c>
      <c r="IM68" s="91"/>
      <c r="IN68" s="91"/>
      <c r="IO68" s="67">
        <f t="shared" si="273"/>
        <v>0</v>
      </c>
      <c r="IP68" s="41">
        <f t="shared" si="274"/>
        <v>4943384.7071162229</v>
      </c>
      <c r="IQ68" s="277">
        <v>236430</v>
      </c>
      <c r="IR68" s="277">
        <f t="shared" si="275"/>
        <v>184131.89400921657</v>
      </c>
      <c r="IS68" s="113">
        <v>40779</v>
      </c>
      <c r="IT68" s="231">
        <v>3705</v>
      </c>
      <c r="IU68" s="231"/>
      <c r="IV68" s="113"/>
      <c r="IW68" s="113">
        <v>40892</v>
      </c>
      <c r="IX68" s="231">
        <v>11608</v>
      </c>
      <c r="IY68" s="113">
        <v>40892</v>
      </c>
      <c r="IZ68" s="231">
        <v>42727</v>
      </c>
      <c r="JA68" s="113">
        <v>41193</v>
      </c>
      <c r="JB68" s="231">
        <v>25155</v>
      </c>
      <c r="JC68" s="114">
        <v>42615</v>
      </c>
      <c r="JD68" s="321">
        <v>35020</v>
      </c>
      <c r="JE68" s="313"/>
      <c r="JF68" s="313"/>
      <c r="JG68" s="276">
        <v>42719</v>
      </c>
      <c r="JH68" s="277">
        <v>65916.894009216587</v>
      </c>
      <c r="JI68" s="276"/>
      <c r="JJ68" s="277"/>
      <c r="JK68" s="301"/>
      <c r="JL68" s="301"/>
      <c r="JM68" s="301"/>
      <c r="JN68" s="301"/>
      <c r="JO68" s="269"/>
      <c r="JP68" s="269"/>
      <c r="JQ68" s="269"/>
      <c r="JR68" s="269"/>
      <c r="JS68" s="269"/>
      <c r="JT68" s="269"/>
      <c r="JU68" s="231">
        <v>42727</v>
      </c>
      <c r="JV68" s="122"/>
      <c r="JW68" s="114"/>
      <c r="JX68" s="122"/>
      <c r="JY68" s="194"/>
      <c r="JZ68" s="291"/>
    </row>
    <row r="69" spans="1:286" ht="15" customHeight="1">
      <c r="A69" s="840" t="s">
        <v>450</v>
      </c>
      <c r="B69" s="840"/>
      <c r="C69" s="53" t="s">
        <v>35</v>
      </c>
      <c r="D69" s="53" t="s">
        <v>112</v>
      </c>
      <c r="E69" s="53">
        <v>2018</v>
      </c>
      <c r="F69" s="53"/>
      <c r="G69" s="53" t="s">
        <v>433</v>
      </c>
      <c r="H69" s="53" t="s">
        <v>180</v>
      </c>
      <c r="I69" s="53" t="s">
        <v>174</v>
      </c>
      <c r="J69" s="53"/>
      <c r="K69" s="53" t="s">
        <v>455</v>
      </c>
      <c r="L69" s="255" t="s">
        <v>468</v>
      </c>
      <c r="M69" s="166" t="s">
        <v>60</v>
      </c>
      <c r="N69" s="167" t="s">
        <v>467</v>
      </c>
      <c r="O69" s="168">
        <v>34912</v>
      </c>
      <c r="P69" s="231"/>
      <c r="Q69" s="231"/>
      <c r="R69" s="231"/>
      <c r="S69" s="231"/>
      <c r="T69" s="231"/>
      <c r="U69" s="604"/>
      <c r="V69" s="604"/>
      <c r="W69" s="604"/>
      <c r="X69" s="231"/>
      <c r="Y69" s="208"/>
      <c r="Z69" s="907" t="e">
        <f t="shared" si="282"/>
        <v>#DIV/0!</v>
      </c>
      <c r="AA69" s="208"/>
      <c r="AB69" s="208"/>
      <c r="AC69" s="209"/>
      <c r="AD69" s="53" t="s">
        <v>432</v>
      </c>
      <c r="AE69" s="771">
        <f t="shared" si="130"/>
        <v>128</v>
      </c>
      <c r="AF69" s="771">
        <f t="shared" si="131"/>
        <v>0</v>
      </c>
      <c r="AG69" s="64"/>
      <c r="AH69" s="114"/>
      <c r="AI69" s="114"/>
      <c r="AJ69" s="193">
        <v>128</v>
      </c>
      <c r="AK69" s="269"/>
      <c r="AL69" s="57"/>
      <c r="AM69" s="57"/>
      <c r="AN69" s="92"/>
      <c r="AO69" s="57"/>
      <c r="AP69" s="78"/>
      <c r="AQ69" s="78"/>
      <c r="AR69" s="78"/>
      <c r="AS69" s="78"/>
      <c r="AT69" s="78"/>
      <c r="AU69" s="57"/>
      <c r="AV69" s="76"/>
      <c r="AW69" s="78"/>
      <c r="AX69" s="57"/>
      <c r="AY69" s="53"/>
      <c r="AZ69" s="53"/>
      <c r="BA69" s="53"/>
      <c r="BB69" s="53"/>
      <c r="BC69" s="53"/>
      <c r="BD69" s="53"/>
      <c r="BE69" s="184">
        <v>43308</v>
      </c>
      <c r="BF69" s="110"/>
      <c r="BG69" s="110"/>
      <c r="BH69" s="97"/>
      <c r="BI69" s="204"/>
      <c r="BJ69" s="99"/>
      <c r="BK69" s="99"/>
      <c r="BL69" s="204"/>
      <c r="BM69" s="99"/>
      <c r="BN69" s="690">
        <v>43311</v>
      </c>
      <c r="BO69" s="689">
        <f t="shared" si="285"/>
        <v>43342</v>
      </c>
      <c r="BP69" s="690">
        <f t="shared" si="256"/>
        <v>43434</v>
      </c>
      <c r="BQ69" s="161"/>
      <c r="BR69" s="299">
        <f t="shared" si="257"/>
        <v>43342</v>
      </c>
      <c r="BS69" s="298">
        <f t="shared" si="258"/>
        <v>44073</v>
      </c>
      <c r="BT69" s="298">
        <f t="shared" si="259"/>
        <v>44438</v>
      </c>
      <c r="BU69" s="298"/>
      <c r="BV69" s="298" t="str">
        <f>IF(FK69&gt;BS69,"oui","non")</f>
        <v>oui</v>
      </c>
      <c r="BW69" s="672">
        <f t="shared" si="136"/>
        <v>10</v>
      </c>
      <c r="BX69" s="672">
        <f t="shared" si="137"/>
        <v>0</v>
      </c>
      <c r="BY69" s="672">
        <f t="shared" si="138"/>
        <v>0</v>
      </c>
      <c r="BZ69" s="824"/>
      <c r="CA69" s="832"/>
      <c r="CB69" s="826"/>
      <c r="CC69" s="826"/>
      <c r="CD69" s="826"/>
      <c r="CE69" s="826"/>
      <c r="CF69" s="819"/>
      <c r="CG69" s="819"/>
      <c r="CH69" s="819"/>
      <c r="CI69" s="819"/>
      <c r="CJ69" s="819"/>
      <c r="CK69" s="819"/>
      <c r="CL69" s="819"/>
      <c r="CM69" s="819"/>
      <c r="CN69" s="819"/>
      <c r="CO69" s="819"/>
      <c r="CP69" s="819"/>
      <c r="CQ69" s="819"/>
      <c r="CR69" s="819"/>
      <c r="CS69" s="159"/>
      <c r="CT69" s="250"/>
      <c r="CU69" s="250"/>
      <c r="CV69" s="158"/>
      <c r="CW69" s="250"/>
      <c r="CX69" s="250"/>
      <c r="CY69" s="250"/>
      <c r="CZ69" s="405"/>
      <c r="DA69" s="405"/>
      <c r="DB69" s="540">
        <v>42935</v>
      </c>
      <c r="DC69" s="541"/>
      <c r="DD69" s="541"/>
      <c r="DE69" s="545" t="str">
        <f t="shared" si="139"/>
        <v>0</v>
      </c>
      <c r="DF69" s="543">
        <v>43038</v>
      </c>
      <c r="DG69" s="543">
        <f ca="1">IF(DF69&lt;TODAY(),TODAY(),DF69)</f>
        <v>43423</v>
      </c>
      <c r="DH69" s="545">
        <f t="shared" ca="1" si="140"/>
        <v>385</v>
      </c>
      <c r="DI69" s="543">
        <v>43017</v>
      </c>
      <c r="DJ69" s="540">
        <f ca="1">IF(DI69&lt;TODAY(),TODAY(),DI69)</f>
        <v>43423</v>
      </c>
      <c r="DK69" s="545">
        <f t="shared" ca="1" si="141"/>
        <v>406</v>
      </c>
      <c r="DL69" s="543">
        <v>43098</v>
      </c>
      <c r="DM69" s="540">
        <f ca="1">IF(DL69&lt;TODAY(),TODAY(),DL69)</f>
        <v>43423</v>
      </c>
      <c r="DN69" s="545">
        <f t="shared" ca="1" si="142"/>
        <v>325</v>
      </c>
      <c r="DO69" s="543">
        <v>43158</v>
      </c>
      <c r="DP69" s="543">
        <f ca="1">IF(DO69&lt;TODAY(),TODAY(),DO69)</f>
        <v>43423</v>
      </c>
      <c r="DQ69" s="545">
        <f t="shared" ca="1" si="143"/>
        <v>265</v>
      </c>
      <c r="DR69" s="451"/>
      <c r="DS69" s="540">
        <v>43403</v>
      </c>
      <c r="DT69" s="527">
        <v>43602</v>
      </c>
      <c r="DU69" s="533">
        <f t="shared" ca="1" si="260"/>
        <v>43602</v>
      </c>
      <c r="DV69" s="529">
        <f t="shared" ca="1" si="144"/>
        <v>0</v>
      </c>
      <c r="DW69" s="527">
        <v>43616</v>
      </c>
      <c r="DX69" s="686">
        <v>43539</v>
      </c>
      <c r="DY69" s="344"/>
      <c r="DZ69" s="442">
        <f t="shared" si="286"/>
        <v>1451.3</v>
      </c>
      <c r="EA69" s="529">
        <f t="shared" si="287"/>
        <v>-77</v>
      </c>
      <c r="EB69" s="687">
        <v>16</v>
      </c>
      <c r="EC69" s="241">
        <f t="shared" si="288"/>
        <v>17</v>
      </c>
      <c r="ED69" s="527"/>
      <c r="EE69" s="533">
        <f t="shared" ca="1" si="261"/>
        <v>43423</v>
      </c>
      <c r="EF69" s="529" t="str">
        <f t="shared" ca="1" si="289"/>
        <v>0</v>
      </c>
      <c r="EG69" s="527"/>
      <c r="EH69" s="551">
        <f t="shared" ca="1" si="262"/>
        <v>43423</v>
      </c>
      <c r="EI69" s="530" t="str">
        <f t="shared" ca="1" si="149"/>
        <v>0</v>
      </c>
      <c r="EJ69" s="531"/>
      <c r="EK69" s="533">
        <f t="shared" ca="1" si="263"/>
        <v>43423</v>
      </c>
      <c r="EL69" s="529" t="str">
        <f t="shared" ca="1" si="290"/>
        <v>0</v>
      </c>
      <c r="EM69" s="528"/>
      <c r="EN69" s="533">
        <f t="shared" ca="1" si="264"/>
        <v>43423</v>
      </c>
      <c r="EO69" s="529" t="str">
        <f t="shared" ca="1" si="151"/>
        <v>0</v>
      </c>
      <c r="EP69" s="535"/>
      <c r="EQ69" s="533">
        <f t="shared" ref="EQ69:EQ75" ca="1" si="293">IF(EP69&lt;TODAY(),TODAY(),EP69)</f>
        <v>43423</v>
      </c>
      <c r="ER69" s="529" t="str">
        <f t="shared" ca="1" si="152"/>
        <v>0</v>
      </c>
      <c r="ES69" s="535"/>
      <c r="ET69" s="533">
        <f t="shared" ref="ET69:ET75" ca="1" si="294">IF(ES69&lt;TODAY(),TODAY(),ES69)</f>
        <v>43423</v>
      </c>
      <c r="EU69" s="529" t="str">
        <f t="shared" ca="1" si="153"/>
        <v>0</v>
      </c>
      <c r="EV69" s="535"/>
      <c r="EW69" s="533">
        <f t="shared" ca="1" si="265"/>
        <v>43423</v>
      </c>
      <c r="EX69" s="529" t="str">
        <f t="shared" ca="1" si="154"/>
        <v>0</v>
      </c>
      <c r="EY69" s="535"/>
      <c r="EZ69" s="535"/>
      <c r="FA69" s="535"/>
      <c r="FB69" s="616">
        <f t="shared" si="155"/>
        <v>44027</v>
      </c>
      <c r="FC69" s="730">
        <f>DATE(YEAR(DX69),MONTH(DX69)+EB69+1,DAY(DX69))</f>
        <v>44058</v>
      </c>
      <c r="FD69" s="730">
        <f t="shared" si="291"/>
        <v>1.0333333333333334</v>
      </c>
      <c r="FE69" s="730"/>
      <c r="FF69" s="730"/>
      <c r="FG69" s="730"/>
      <c r="FH69" s="730">
        <f t="shared" si="283"/>
        <v>44089</v>
      </c>
      <c r="FI69" s="730"/>
      <c r="FJ69" s="730">
        <f t="shared" si="266"/>
        <v>44058</v>
      </c>
      <c r="FK69" s="730">
        <f t="shared" si="284"/>
        <v>44119</v>
      </c>
      <c r="FL69" s="574"/>
      <c r="FM69" s="724">
        <f t="shared" si="267"/>
        <v>2.0333333333333332</v>
      </c>
      <c r="FN69" s="700"/>
      <c r="FO69" s="246">
        <f t="shared" si="292"/>
        <v>0</v>
      </c>
      <c r="FP69" s="117"/>
      <c r="FQ69" s="556">
        <v>0</v>
      </c>
      <c r="FR69" s="556">
        <v>0</v>
      </c>
      <c r="FS69" s="556"/>
      <c r="FT69" s="556"/>
      <c r="FU69" s="556"/>
      <c r="FV69" s="749">
        <f>FU69/GY69</f>
        <v>0</v>
      </c>
      <c r="FW69" s="553"/>
      <c r="FX69" s="566"/>
      <c r="FY69" s="553" t="s">
        <v>713</v>
      </c>
      <c r="FZ69" s="553"/>
      <c r="GA69" s="121"/>
      <c r="GB69" s="121"/>
      <c r="GC69" s="121"/>
      <c r="GD69" s="121"/>
      <c r="GE69" s="121"/>
      <c r="GF69" s="53"/>
      <c r="GG69" s="280">
        <f t="shared" si="161"/>
        <v>44423</v>
      </c>
      <c r="GH69" s="280"/>
      <c r="GI69" s="53"/>
      <c r="GJ69" s="53"/>
      <c r="GK69" s="53"/>
      <c r="GL69" s="53"/>
      <c r="GM69" s="53"/>
      <c r="GN69" s="53"/>
      <c r="GO69" s="53"/>
      <c r="GP69" s="53"/>
      <c r="GQ69" s="53"/>
      <c r="GR69" s="53"/>
      <c r="GS69" s="53"/>
      <c r="GT69" s="53"/>
      <c r="GU69" s="53"/>
      <c r="GV69" s="112"/>
      <c r="GW69" s="112"/>
      <c r="GX69" s="93">
        <f>+HI69+HN69+HU69+IO69+HZ69+HY69</f>
        <v>3625157</v>
      </c>
      <c r="GY69" s="67">
        <f>HJ69+HO69+HT69+HV69+HZ69+HY69</f>
        <v>3625157</v>
      </c>
      <c r="GZ69" s="387"/>
      <c r="HA69" s="67">
        <f t="shared" si="276"/>
        <v>0</v>
      </c>
      <c r="HB69" s="67"/>
      <c r="HC69" s="87"/>
      <c r="HD69" s="87"/>
      <c r="HE69" s="67"/>
      <c r="HF69" s="88">
        <f t="shared" si="277"/>
        <v>0</v>
      </c>
      <c r="HG69" s="67">
        <f t="shared" si="278"/>
        <v>0</v>
      </c>
      <c r="HH69" s="67">
        <v>0.4</v>
      </c>
      <c r="HI69" s="67"/>
      <c r="HJ69" s="677"/>
      <c r="HK69" s="677"/>
      <c r="HL69" s="67">
        <f t="shared" si="279"/>
        <v>0</v>
      </c>
      <c r="HM69" s="88"/>
      <c r="HN69" s="93">
        <f>2825157-HY69</f>
        <v>2145157</v>
      </c>
      <c r="HO69" s="67">
        <v>2145157</v>
      </c>
      <c r="HP69" s="67"/>
      <c r="HQ69" s="87"/>
      <c r="HR69" s="87">
        <f t="shared" si="280"/>
        <v>0</v>
      </c>
      <c r="HS69" s="67">
        <f>HN69/AE69</f>
        <v>16759.0390625</v>
      </c>
      <c r="HT69" s="88"/>
      <c r="HU69" s="93">
        <v>800000</v>
      </c>
      <c r="HV69" s="67">
        <v>800000</v>
      </c>
      <c r="HW69" s="67"/>
      <c r="HX69" s="721">
        <f t="shared" si="172"/>
        <v>0.22068009744129702</v>
      </c>
      <c r="HY69" s="87">
        <f>265625+414375</f>
        <v>680000</v>
      </c>
      <c r="HZ69" s="67"/>
      <c r="IA69" s="89">
        <f t="shared" si="173"/>
        <v>0</v>
      </c>
      <c r="IB69" s="23">
        <f t="shared" si="174"/>
        <v>6250</v>
      </c>
      <c r="IC69" s="81">
        <f t="shared" si="175"/>
        <v>6250</v>
      </c>
      <c r="ID69" s="388">
        <f t="shared" si="270"/>
        <v>0</v>
      </c>
      <c r="IE69" s="391">
        <v>6.31</v>
      </c>
      <c r="IF69" s="391"/>
      <c r="IG69" s="387"/>
      <c r="IH69" s="387"/>
      <c r="II69" s="388">
        <f t="shared" si="271"/>
        <v>6250</v>
      </c>
      <c r="IJ69" s="387"/>
      <c r="IK69" s="388">
        <f t="shared" si="281"/>
        <v>6250</v>
      </c>
      <c r="IL69" s="107">
        <f t="shared" si="272"/>
        <v>0.22068009744129702</v>
      </c>
      <c r="IM69" s="387"/>
      <c r="IN69" s="387"/>
      <c r="IO69" s="387">
        <f t="shared" si="273"/>
        <v>0</v>
      </c>
      <c r="IP69" s="392">
        <f t="shared" si="274"/>
        <v>3625157</v>
      </c>
      <c r="IQ69" s="277"/>
      <c r="IR69" s="277">
        <f t="shared" si="275"/>
        <v>0</v>
      </c>
      <c r="IS69" s="278"/>
      <c r="IT69" s="281">
        <v>0</v>
      </c>
      <c r="IU69" s="281"/>
      <c r="IV69" s="253"/>
      <c r="IW69" s="253"/>
      <c r="IX69" s="385">
        <v>0</v>
      </c>
      <c r="IY69" s="261"/>
      <c r="IZ69" s="274">
        <v>0</v>
      </c>
      <c r="JA69" s="261"/>
      <c r="JB69" s="460"/>
      <c r="JC69" s="279"/>
      <c r="JD69" s="284"/>
      <c r="JE69" s="282"/>
      <c r="JF69" s="282"/>
      <c r="JG69" s="276"/>
      <c r="JH69" s="277"/>
      <c r="JI69" s="276"/>
      <c r="JJ69" s="277"/>
      <c r="JK69" s="300"/>
      <c r="JL69" s="300"/>
      <c r="JM69" s="300"/>
      <c r="JN69" s="300"/>
      <c r="JO69" s="269"/>
      <c r="JP69" s="269"/>
      <c r="JQ69" s="269"/>
      <c r="JR69" s="269"/>
      <c r="JS69" s="269"/>
      <c r="JT69" s="269"/>
      <c r="JU69" s="281" t="e">
        <f>$JU$1*IQ69</f>
        <v>#VALUE!</v>
      </c>
      <c r="JV69" s="117"/>
      <c r="JW69" s="279"/>
      <c r="JX69" s="117"/>
      <c r="JY69" s="117"/>
      <c r="JZ69" s="279"/>
    </row>
    <row r="70" spans="1:286" ht="15" customHeight="1">
      <c r="A70" s="840" t="s">
        <v>448</v>
      </c>
      <c r="B70" s="840"/>
      <c r="C70" s="53" t="s">
        <v>28</v>
      </c>
      <c r="D70" s="53" t="s">
        <v>112</v>
      </c>
      <c r="E70" s="53">
        <v>2018</v>
      </c>
      <c r="F70" s="53"/>
      <c r="G70" s="53" t="s">
        <v>433</v>
      </c>
      <c r="H70" s="53" t="s">
        <v>181</v>
      </c>
      <c r="I70" s="53" t="s">
        <v>174</v>
      </c>
      <c r="J70" s="53"/>
      <c r="K70" s="53" t="s">
        <v>453</v>
      </c>
      <c r="L70" s="255" t="s">
        <v>472</v>
      </c>
      <c r="M70" s="166" t="s">
        <v>60</v>
      </c>
      <c r="N70" s="167" t="s">
        <v>466</v>
      </c>
      <c r="O70" s="306" t="s">
        <v>471</v>
      </c>
      <c r="P70" s="231"/>
      <c r="Q70" s="231"/>
      <c r="R70" s="231"/>
      <c r="S70" s="231"/>
      <c r="T70" s="231"/>
      <c r="U70" s="604"/>
      <c r="V70" s="604"/>
      <c r="W70" s="604"/>
      <c r="X70" s="231"/>
      <c r="Y70" s="208"/>
      <c r="Z70" s="907" t="e">
        <f t="shared" si="282"/>
        <v>#DIV/0!</v>
      </c>
      <c r="AA70" s="208"/>
      <c r="AB70" s="208"/>
      <c r="AC70" s="209"/>
      <c r="AD70" s="53" t="s">
        <v>432</v>
      </c>
      <c r="AE70" s="771">
        <f t="shared" si="130"/>
        <v>23</v>
      </c>
      <c r="AF70" s="771">
        <f t="shared" si="131"/>
        <v>0</v>
      </c>
      <c r="AG70" s="64"/>
      <c r="AH70" s="114"/>
      <c r="AI70" s="114"/>
      <c r="AJ70" s="193">
        <v>23</v>
      </c>
      <c r="AK70" s="269"/>
      <c r="AL70" s="57"/>
      <c r="AM70" s="57"/>
      <c r="AN70" s="92"/>
      <c r="AO70" s="9"/>
      <c r="AP70" s="78"/>
      <c r="AQ70" s="78"/>
      <c r="AR70" s="78"/>
      <c r="AS70" s="78"/>
      <c r="AT70" s="78"/>
      <c r="AU70" s="57"/>
      <c r="AV70" s="76"/>
      <c r="AW70" s="78"/>
      <c r="AX70" s="57"/>
      <c r="AY70" s="53"/>
      <c r="AZ70" s="53"/>
      <c r="BA70" s="53"/>
      <c r="BB70" s="53"/>
      <c r="BC70" s="53"/>
      <c r="BD70" s="53"/>
      <c r="BE70" s="184">
        <v>43308</v>
      </c>
      <c r="BF70" s="110"/>
      <c r="BG70" s="110"/>
      <c r="BH70" s="97"/>
      <c r="BI70" s="204">
        <v>43335</v>
      </c>
      <c r="BJ70" s="99"/>
      <c r="BK70" s="99"/>
      <c r="BL70" s="204"/>
      <c r="BM70" s="99"/>
      <c r="BN70" s="161">
        <v>43396</v>
      </c>
      <c r="BO70" s="689">
        <f t="shared" si="285"/>
        <v>43427</v>
      </c>
      <c r="BP70" s="690">
        <f t="shared" si="256"/>
        <v>43519</v>
      </c>
      <c r="BQ70" s="161"/>
      <c r="BR70" s="299">
        <f t="shared" si="257"/>
        <v>43427</v>
      </c>
      <c r="BS70" s="298">
        <f t="shared" si="258"/>
        <v>44158</v>
      </c>
      <c r="BT70" s="298">
        <f t="shared" si="259"/>
        <v>44523</v>
      </c>
      <c r="BU70" s="298"/>
      <c r="BV70" s="298" t="str">
        <f>IF(FK70&gt;BS70,"oui","non")</f>
        <v>non</v>
      </c>
      <c r="BW70" s="672">
        <f t="shared" si="136"/>
        <v>13</v>
      </c>
      <c r="BX70" s="672">
        <f t="shared" si="137"/>
        <v>0</v>
      </c>
      <c r="BY70" s="672">
        <f t="shared" si="138"/>
        <v>0</v>
      </c>
      <c r="BZ70" s="824"/>
      <c r="CA70" s="832"/>
      <c r="CB70" s="826"/>
      <c r="CC70" s="826"/>
      <c r="CD70" s="826"/>
      <c r="CE70" s="826"/>
      <c r="CF70" s="819"/>
      <c r="CG70" s="819"/>
      <c r="CH70" s="819"/>
      <c r="CI70" s="819"/>
      <c r="CJ70" s="819"/>
      <c r="CK70" s="819"/>
      <c r="CL70" s="819"/>
      <c r="CM70" s="819"/>
      <c r="CN70" s="819"/>
      <c r="CO70" s="819"/>
      <c r="CP70" s="819"/>
      <c r="CQ70" s="819"/>
      <c r="CR70" s="819"/>
      <c r="CS70" s="159"/>
      <c r="CT70" s="250"/>
      <c r="CU70" s="250"/>
      <c r="CV70" s="158"/>
      <c r="CW70" s="250"/>
      <c r="CX70" s="250"/>
      <c r="CY70" s="250"/>
      <c r="CZ70" s="405"/>
      <c r="DA70" s="405"/>
      <c r="DB70" s="540"/>
      <c r="DC70" s="541"/>
      <c r="DD70" s="541"/>
      <c r="DE70" s="545" t="str">
        <f t="shared" si="139"/>
        <v>0</v>
      </c>
      <c r="DF70" s="543">
        <v>43007</v>
      </c>
      <c r="DG70" s="543">
        <f ca="1">IF(DF70&lt;TODAY(),TODAY(),DF70)</f>
        <v>43423</v>
      </c>
      <c r="DH70" s="545">
        <f t="shared" ca="1" si="140"/>
        <v>416</v>
      </c>
      <c r="DI70" s="543">
        <v>42986</v>
      </c>
      <c r="DJ70" s="540">
        <f ca="1">IF(DI70&lt;TODAY(),TODAY(),DI70)</f>
        <v>43423</v>
      </c>
      <c r="DK70" s="545">
        <f t="shared" ca="1" si="141"/>
        <v>437</v>
      </c>
      <c r="DL70" s="543">
        <v>43067</v>
      </c>
      <c r="DM70" s="540">
        <f ca="1">IF(DL70&lt;TODAY(),TODAY(),DL70)</f>
        <v>43423</v>
      </c>
      <c r="DN70" s="545">
        <f t="shared" ca="1" si="142"/>
        <v>356</v>
      </c>
      <c r="DO70" s="543">
        <v>43126</v>
      </c>
      <c r="DP70" s="543">
        <f ca="1">IF(DO70&lt;TODAY(),TODAY(),DO70)</f>
        <v>43423</v>
      </c>
      <c r="DQ70" s="545">
        <f t="shared" ca="1" si="143"/>
        <v>297</v>
      </c>
      <c r="DR70" s="451"/>
      <c r="DS70" s="540">
        <v>43403</v>
      </c>
      <c r="DT70" s="527">
        <v>43572</v>
      </c>
      <c r="DU70" s="533">
        <f t="shared" ca="1" si="260"/>
        <v>43572</v>
      </c>
      <c r="DV70" s="529">
        <f t="shared" ca="1" si="144"/>
        <v>0</v>
      </c>
      <c r="DW70" s="527">
        <v>43587</v>
      </c>
      <c r="DX70" s="686">
        <v>43539</v>
      </c>
      <c r="DY70" s="344"/>
      <c r="DZ70" s="442">
        <f t="shared" si="286"/>
        <v>6.8</v>
      </c>
      <c r="EA70" s="529">
        <f t="shared" si="287"/>
        <v>-48</v>
      </c>
      <c r="EB70" s="687">
        <v>16</v>
      </c>
      <c r="EC70" s="241">
        <f t="shared" si="288"/>
        <v>17</v>
      </c>
      <c r="ED70" s="527"/>
      <c r="EE70" s="533">
        <f t="shared" ca="1" si="261"/>
        <v>43423</v>
      </c>
      <c r="EF70" s="529" t="str">
        <f t="shared" ca="1" si="289"/>
        <v>0</v>
      </c>
      <c r="EG70" s="527"/>
      <c r="EH70" s="551">
        <f t="shared" ca="1" si="262"/>
        <v>43423</v>
      </c>
      <c r="EI70" s="530" t="str">
        <f t="shared" ca="1" si="149"/>
        <v>0</v>
      </c>
      <c r="EJ70" s="531"/>
      <c r="EK70" s="533">
        <f t="shared" ca="1" si="263"/>
        <v>43423</v>
      </c>
      <c r="EL70" s="529" t="str">
        <f t="shared" ca="1" si="290"/>
        <v>0</v>
      </c>
      <c r="EM70" s="534"/>
      <c r="EN70" s="533">
        <f t="shared" ca="1" si="264"/>
        <v>43423</v>
      </c>
      <c r="EO70" s="529" t="str">
        <f t="shared" ca="1" si="151"/>
        <v>0</v>
      </c>
      <c r="EP70" s="535"/>
      <c r="EQ70" s="533">
        <f t="shared" ca="1" si="293"/>
        <v>43423</v>
      </c>
      <c r="ER70" s="529" t="str">
        <f t="shared" ca="1" si="152"/>
        <v>0</v>
      </c>
      <c r="ES70" s="535"/>
      <c r="ET70" s="533">
        <f t="shared" ca="1" si="294"/>
        <v>43423</v>
      </c>
      <c r="EU70" s="529" t="str">
        <f t="shared" ca="1" si="153"/>
        <v>0</v>
      </c>
      <c r="EV70" s="535"/>
      <c r="EW70" s="533">
        <f t="shared" ca="1" si="265"/>
        <v>43423</v>
      </c>
      <c r="EX70" s="529" t="str">
        <f t="shared" ca="1" si="154"/>
        <v>0</v>
      </c>
      <c r="EY70" s="535"/>
      <c r="EZ70" s="535"/>
      <c r="FA70" s="535"/>
      <c r="FB70" s="616">
        <f t="shared" si="155"/>
        <v>44027</v>
      </c>
      <c r="FC70" s="730">
        <f>DATE(YEAR(DX70),MONTH(DX70)+EB70+1,DAY(DX70))</f>
        <v>44058</v>
      </c>
      <c r="FD70" s="730">
        <f t="shared" si="291"/>
        <v>1.0333333333333334</v>
      </c>
      <c r="FE70" s="730"/>
      <c r="FF70" s="730"/>
      <c r="FG70" s="730"/>
      <c r="FH70" s="730">
        <f t="shared" si="283"/>
        <v>44089</v>
      </c>
      <c r="FI70" s="730"/>
      <c r="FJ70" s="730">
        <f t="shared" si="266"/>
        <v>44058</v>
      </c>
      <c r="FK70" s="730">
        <f t="shared" si="284"/>
        <v>44119</v>
      </c>
      <c r="FL70" s="574"/>
      <c r="FM70" s="724">
        <f t="shared" si="267"/>
        <v>2.0333333333333332</v>
      </c>
      <c r="FN70" s="700"/>
      <c r="FO70" s="246">
        <f t="shared" si="292"/>
        <v>0</v>
      </c>
      <c r="FP70" s="117"/>
      <c r="FQ70" s="556">
        <v>0</v>
      </c>
      <c r="FR70" s="556">
        <v>0</v>
      </c>
      <c r="FS70" s="556"/>
      <c r="FT70" s="556"/>
      <c r="FU70" s="556"/>
      <c r="FV70" s="749">
        <f>FU70/GY70</f>
        <v>0</v>
      </c>
      <c r="FW70" s="553"/>
      <c r="FX70" s="566"/>
      <c r="FY70" s="553" t="s">
        <v>713</v>
      </c>
      <c r="FZ70" s="553"/>
      <c r="GA70" s="121"/>
      <c r="GB70" s="121"/>
      <c r="GC70" s="121"/>
      <c r="GD70" s="121"/>
      <c r="GE70" s="121"/>
      <c r="GF70" s="53"/>
      <c r="GG70" s="280">
        <f t="shared" si="161"/>
        <v>44423</v>
      </c>
      <c r="GH70" s="280"/>
      <c r="GI70" s="53"/>
      <c r="GJ70" s="53"/>
      <c r="GK70" s="53"/>
      <c r="GL70" s="53"/>
      <c r="GM70" s="53"/>
      <c r="GN70" s="53"/>
      <c r="GO70" s="53"/>
      <c r="GP70" s="53"/>
      <c r="GQ70" s="53"/>
      <c r="GR70" s="53"/>
      <c r="GS70" s="53"/>
      <c r="GT70" s="53"/>
      <c r="GU70" s="53"/>
      <c r="GV70" s="112"/>
      <c r="GW70" s="112"/>
      <c r="GX70" s="93">
        <f>+HI70+HN70+HU70+IO70+HZ70+HY70</f>
        <v>994796</v>
      </c>
      <c r="GY70" s="67">
        <f>HJ70+HO70+HT70+HV70+HZ70+HY70</f>
        <v>1081472.94</v>
      </c>
      <c r="GZ70" s="387"/>
      <c r="HA70" s="67">
        <f t="shared" si="276"/>
        <v>86676.939999999944</v>
      </c>
      <c r="HB70" s="67"/>
      <c r="HC70" s="87"/>
      <c r="HD70" s="87"/>
      <c r="HE70" s="67"/>
      <c r="HF70" s="88">
        <f t="shared" si="277"/>
        <v>0</v>
      </c>
      <c r="HG70" s="67">
        <f t="shared" si="278"/>
        <v>0</v>
      </c>
      <c r="HH70" s="67">
        <v>0.4</v>
      </c>
      <c r="HI70" s="67"/>
      <c r="HJ70" s="677"/>
      <c r="HK70" s="677"/>
      <c r="HL70" s="67">
        <f t="shared" si="279"/>
        <v>0</v>
      </c>
      <c r="HM70" s="88"/>
      <c r="HN70" s="93">
        <f>695036-HY70</f>
        <v>515036</v>
      </c>
      <c r="HO70" s="67">
        <v>784792.94</v>
      </c>
      <c r="HP70" s="67"/>
      <c r="HQ70" s="87"/>
      <c r="HR70" s="87">
        <f t="shared" si="280"/>
        <v>269756.93999999994</v>
      </c>
      <c r="HS70" s="67">
        <f>HN70/AE70</f>
        <v>22392.869565217392</v>
      </c>
      <c r="HT70" s="88"/>
      <c r="HU70" s="93">
        <v>298080</v>
      </c>
      <c r="HV70" s="67">
        <v>115000</v>
      </c>
      <c r="HW70" s="67"/>
      <c r="HX70" s="721">
        <f t="shared" si="172"/>
        <v>0.1063364562778612</v>
      </c>
      <c r="HY70" s="87">
        <v>180000</v>
      </c>
      <c r="HZ70" s="67">
        <v>1680</v>
      </c>
      <c r="IA70" s="89">
        <f t="shared" si="173"/>
        <v>-183080</v>
      </c>
      <c r="IB70" s="23">
        <f t="shared" si="174"/>
        <v>5000</v>
      </c>
      <c r="IC70" s="81">
        <f t="shared" si="175"/>
        <v>5000</v>
      </c>
      <c r="ID70" s="388">
        <f t="shared" si="270"/>
        <v>-7960</v>
      </c>
      <c r="IE70" s="391">
        <v>6.31</v>
      </c>
      <c r="IF70" s="391"/>
      <c r="IG70" s="387"/>
      <c r="IH70" s="387"/>
      <c r="II70" s="388">
        <f t="shared" si="271"/>
        <v>12960</v>
      </c>
      <c r="IJ70" s="387"/>
      <c r="IK70" s="388">
        <f t="shared" si="281"/>
        <v>5000</v>
      </c>
      <c r="IL70" s="107">
        <f t="shared" si="272"/>
        <v>0.29963932303708501</v>
      </c>
      <c r="IM70" s="387"/>
      <c r="IN70" s="387"/>
      <c r="IO70" s="387">
        <f t="shared" si="273"/>
        <v>0</v>
      </c>
      <c r="IP70" s="392">
        <f t="shared" si="274"/>
        <v>994796</v>
      </c>
      <c r="IQ70" s="277"/>
      <c r="IR70" s="277">
        <f t="shared" si="275"/>
        <v>0</v>
      </c>
      <c r="IS70" s="278"/>
      <c r="IT70" s="281">
        <v>0</v>
      </c>
      <c r="IU70" s="281"/>
      <c r="IV70" s="253"/>
      <c r="IW70" s="253"/>
      <c r="IX70" s="385">
        <v>0</v>
      </c>
      <c r="IY70" s="261"/>
      <c r="IZ70" s="274">
        <v>0</v>
      </c>
      <c r="JA70" s="261"/>
      <c r="JB70" s="460"/>
      <c r="JC70" s="279"/>
      <c r="JD70" s="284"/>
      <c r="JE70" s="282"/>
      <c r="JF70" s="282"/>
      <c r="JG70" s="276"/>
      <c r="JH70" s="281"/>
      <c r="JI70" s="276"/>
      <c r="JJ70" s="281"/>
      <c r="JK70" s="300"/>
      <c r="JL70" s="300"/>
      <c r="JM70" s="300"/>
      <c r="JN70" s="300"/>
      <c r="JO70" s="269"/>
      <c r="JP70" s="269"/>
      <c r="JQ70" s="269"/>
      <c r="JR70" s="269"/>
      <c r="JS70" s="269"/>
      <c r="JT70" s="269"/>
      <c r="JU70" s="281" t="e">
        <f>$JU$1*IQ70</f>
        <v>#VALUE!</v>
      </c>
      <c r="JV70" s="117"/>
      <c r="JW70" s="279"/>
      <c r="JX70" s="117"/>
      <c r="JY70" s="117"/>
      <c r="JZ70" s="279"/>
    </row>
    <row r="71" spans="1:286" ht="15" customHeight="1">
      <c r="A71" s="840" t="s">
        <v>446</v>
      </c>
      <c r="B71" s="840"/>
      <c r="C71" s="53" t="s">
        <v>28</v>
      </c>
      <c r="D71" s="53" t="s">
        <v>112</v>
      </c>
      <c r="E71" s="53">
        <v>2018</v>
      </c>
      <c r="F71" s="53"/>
      <c r="G71" s="53" t="s">
        <v>433</v>
      </c>
      <c r="H71" s="53" t="s">
        <v>180</v>
      </c>
      <c r="I71" s="53" t="s">
        <v>174</v>
      </c>
      <c r="J71" s="53"/>
      <c r="K71" s="53" t="s">
        <v>447</v>
      </c>
      <c r="L71" s="255" t="s">
        <v>488</v>
      </c>
      <c r="M71" s="166" t="s">
        <v>60</v>
      </c>
      <c r="N71" s="167" t="s">
        <v>487</v>
      </c>
      <c r="O71" s="168">
        <v>33994</v>
      </c>
      <c r="P71" s="231"/>
      <c r="Q71" s="231"/>
      <c r="R71" s="231"/>
      <c r="S71" s="231"/>
      <c r="T71" s="231"/>
      <c r="U71" s="604"/>
      <c r="V71" s="604"/>
      <c r="W71" s="604"/>
      <c r="X71" s="231"/>
      <c r="Y71" s="208"/>
      <c r="Z71" s="907" t="e">
        <f t="shared" si="282"/>
        <v>#DIV/0!</v>
      </c>
      <c r="AA71" s="208"/>
      <c r="AB71" s="208"/>
      <c r="AC71" s="209"/>
      <c r="AD71" s="53" t="s">
        <v>432</v>
      </c>
      <c r="AE71" s="771">
        <f t="shared" si="130"/>
        <v>30</v>
      </c>
      <c r="AF71" s="771">
        <f t="shared" si="131"/>
        <v>0</v>
      </c>
      <c r="AG71" s="64"/>
      <c r="AH71" s="114"/>
      <c r="AI71" s="114"/>
      <c r="AJ71" s="317">
        <v>30</v>
      </c>
      <c r="AK71" s="269"/>
      <c r="AL71" s="57"/>
      <c r="AM71" s="57"/>
      <c r="AN71" s="92"/>
      <c r="AO71" s="9"/>
      <c r="AP71" s="78"/>
      <c r="AQ71" s="78"/>
      <c r="AR71" s="78"/>
      <c r="AS71" s="78"/>
      <c r="AT71" s="78"/>
      <c r="AU71" s="57"/>
      <c r="AV71" s="76"/>
      <c r="AW71" s="78"/>
      <c r="AX71" s="57"/>
      <c r="AY71" s="53"/>
      <c r="AZ71" s="53"/>
      <c r="BA71" s="53"/>
      <c r="BB71" s="53"/>
      <c r="BC71" s="53"/>
      <c r="BD71" s="53"/>
      <c r="BE71" s="184">
        <v>43308</v>
      </c>
      <c r="BF71" s="110"/>
      <c r="BG71" s="110"/>
      <c r="BH71" s="97"/>
      <c r="BI71" s="204">
        <v>43335</v>
      </c>
      <c r="BJ71" s="99"/>
      <c r="BK71" s="99"/>
      <c r="BL71" s="204"/>
      <c r="BM71" s="99"/>
      <c r="BN71" s="161">
        <v>43396</v>
      </c>
      <c r="BO71" s="711">
        <f t="shared" si="285"/>
        <v>43427</v>
      </c>
      <c r="BP71" s="690">
        <f t="shared" si="256"/>
        <v>43519</v>
      </c>
      <c r="BQ71" s="161"/>
      <c r="BR71" s="299">
        <f t="shared" si="257"/>
        <v>43427</v>
      </c>
      <c r="BS71" s="298">
        <f t="shared" si="258"/>
        <v>44158</v>
      </c>
      <c r="BT71" s="298">
        <f t="shared" si="259"/>
        <v>44523</v>
      </c>
      <c r="BU71" s="298"/>
      <c r="BV71" s="298" t="str">
        <f>IF(FK71&gt;BS71,"oui","non")</f>
        <v>non</v>
      </c>
      <c r="BW71" s="672">
        <f t="shared" si="136"/>
        <v>13</v>
      </c>
      <c r="BX71" s="672">
        <f t="shared" si="137"/>
        <v>0</v>
      </c>
      <c r="BY71" s="672">
        <f t="shared" si="138"/>
        <v>0</v>
      </c>
      <c r="BZ71" s="828"/>
      <c r="CA71" s="832"/>
      <c r="CB71" s="826"/>
      <c r="CC71" s="826"/>
      <c r="CD71" s="826"/>
      <c r="CE71" s="826"/>
      <c r="CF71" s="819"/>
      <c r="CG71" s="819"/>
      <c r="CH71" s="819"/>
      <c r="CI71" s="819"/>
      <c r="CJ71" s="819"/>
      <c r="CK71" s="819"/>
      <c r="CL71" s="819"/>
      <c r="CM71" s="819"/>
      <c r="CN71" s="819"/>
      <c r="CO71" s="819"/>
      <c r="CP71" s="819"/>
      <c r="CQ71" s="819"/>
      <c r="CR71" s="819"/>
      <c r="CS71" s="159"/>
      <c r="CT71" s="250"/>
      <c r="CU71" s="250"/>
      <c r="CV71" s="158"/>
      <c r="CW71" s="250"/>
      <c r="CX71" s="250"/>
      <c r="CY71" s="250"/>
      <c r="CZ71" s="405"/>
      <c r="DA71" s="405"/>
      <c r="DB71" s="540"/>
      <c r="DC71" s="543"/>
      <c r="DD71" s="543"/>
      <c r="DE71" s="545" t="str">
        <f t="shared" si="139"/>
        <v>0</v>
      </c>
      <c r="DF71" s="543">
        <v>42969</v>
      </c>
      <c r="DG71" s="543">
        <f ca="1">IF(DF71&lt;TODAY(),TODAY(),DF71)</f>
        <v>43423</v>
      </c>
      <c r="DH71" s="545">
        <f t="shared" ca="1" si="140"/>
        <v>454</v>
      </c>
      <c r="DI71" s="543">
        <v>42948</v>
      </c>
      <c r="DJ71" s="543">
        <f ca="1">IF(DI71&lt;TODAY(),TODAY(),DI71)</f>
        <v>43423</v>
      </c>
      <c r="DK71" s="545">
        <f t="shared" ca="1" si="141"/>
        <v>475</v>
      </c>
      <c r="DL71" s="543">
        <v>43028</v>
      </c>
      <c r="DM71" s="543">
        <f ca="1">IF(DL71&lt;TODAY(),TODAY(),DL71)</f>
        <v>43423</v>
      </c>
      <c r="DN71" s="545">
        <f t="shared" ca="1" si="142"/>
        <v>395</v>
      </c>
      <c r="DO71" s="543">
        <v>43089</v>
      </c>
      <c r="DP71" s="543">
        <f ca="1">IF(DO71&lt;TODAY(),TODAY(),DO71)</f>
        <v>43423</v>
      </c>
      <c r="DQ71" s="545">
        <f t="shared" ca="1" si="143"/>
        <v>334</v>
      </c>
      <c r="DR71" s="451"/>
      <c r="DS71" s="540">
        <v>43403</v>
      </c>
      <c r="DT71" s="527">
        <v>43532</v>
      </c>
      <c r="DU71" s="533">
        <f t="shared" ca="1" si="260"/>
        <v>43532</v>
      </c>
      <c r="DV71" s="529">
        <f t="shared" ca="1" si="144"/>
        <v>0</v>
      </c>
      <c r="DW71" s="527">
        <v>43549</v>
      </c>
      <c r="DX71" s="686">
        <v>43539</v>
      </c>
      <c r="DY71" s="344"/>
      <c r="DZ71" s="442">
        <f t="shared" si="286"/>
        <v>6.8</v>
      </c>
      <c r="EA71" s="529">
        <f t="shared" si="287"/>
        <v>-10</v>
      </c>
      <c r="EB71" s="687">
        <v>16</v>
      </c>
      <c r="EC71" s="241">
        <f t="shared" si="288"/>
        <v>17</v>
      </c>
      <c r="ED71" s="527"/>
      <c r="EE71" s="533">
        <f t="shared" ca="1" si="261"/>
        <v>43423</v>
      </c>
      <c r="EF71" s="529" t="str">
        <f t="shared" ca="1" si="289"/>
        <v>0</v>
      </c>
      <c r="EG71" s="527"/>
      <c r="EH71" s="551">
        <f t="shared" ca="1" si="262"/>
        <v>43423</v>
      </c>
      <c r="EI71" s="530" t="str">
        <f t="shared" ca="1" si="149"/>
        <v>0</v>
      </c>
      <c r="EJ71" s="531"/>
      <c r="EK71" s="533">
        <f t="shared" ca="1" si="263"/>
        <v>43423</v>
      </c>
      <c r="EL71" s="529" t="str">
        <f t="shared" ca="1" si="290"/>
        <v>0</v>
      </c>
      <c r="EM71" s="534"/>
      <c r="EN71" s="533">
        <f t="shared" ca="1" si="264"/>
        <v>43423</v>
      </c>
      <c r="EO71" s="529" t="str">
        <f t="shared" ca="1" si="151"/>
        <v>0</v>
      </c>
      <c r="EP71" s="535"/>
      <c r="EQ71" s="533">
        <f t="shared" ca="1" si="293"/>
        <v>43423</v>
      </c>
      <c r="ER71" s="529" t="str">
        <f t="shared" ca="1" si="152"/>
        <v>0</v>
      </c>
      <c r="ES71" s="535"/>
      <c r="ET71" s="533">
        <f t="shared" ca="1" si="294"/>
        <v>43423</v>
      </c>
      <c r="EU71" s="529" t="str">
        <f t="shared" ca="1" si="153"/>
        <v>0</v>
      </c>
      <c r="EV71" s="533"/>
      <c r="EW71" s="533">
        <f t="shared" ca="1" si="265"/>
        <v>43423</v>
      </c>
      <c r="EX71" s="529" t="str">
        <f t="shared" ca="1" si="154"/>
        <v>0</v>
      </c>
      <c r="EY71" s="535"/>
      <c r="EZ71" s="535"/>
      <c r="FA71" s="535"/>
      <c r="FB71" s="616">
        <f t="shared" si="155"/>
        <v>44027</v>
      </c>
      <c r="FC71" s="730">
        <f>DATE(YEAR(DX71),MONTH(DX71)+EB71+1,DAY(DX71))</f>
        <v>44058</v>
      </c>
      <c r="FD71" s="730">
        <f t="shared" si="291"/>
        <v>1.0333333333333334</v>
      </c>
      <c r="FE71" s="730"/>
      <c r="FF71" s="730"/>
      <c r="FG71" s="730"/>
      <c r="FH71" s="730">
        <f t="shared" si="283"/>
        <v>44089</v>
      </c>
      <c r="FI71" s="730"/>
      <c r="FJ71" s="730">
        <f t="shared" si="266"/>
        <v>44058</v>
      </c>
      <c r="FK71" s="730">
        <f t="shared" si="284"/>
        <v>44119</v>
      </c>
      <c r="FL71" s="574"/>
      <c r="FM71" s="724">
        <f t="shared" si="267"/>
        <v>2.0333333333333332</v>
      </c>
      <c r="FN71" s="700"/>
      <c r="FO71" s="246">
        <f t="shared" si="292"/>
        <v>0</v>
      </c>
      <c r="FP71" s="117"/>
      <c r="FQ71" s="556">
        <v>0</v>
      </c>
      <c r="FR71" s="556">
        <v>0</v>
      </c>
      <c r="FS71" s="556"/>
      <c r="FT71" s="556"/>
      <c r="FU71" s="556"/>
      <c r="FV71" s="749">
        <f>FU71/GY71</f>
        <v>0</v>
      </c>
      <c r="FW71" s="553"/>
      <c r="FX71" s="566"/>
      <c r="FY71" s="553" t="s">
        <v>713</v>
      </c>
      <c r="FZ71" s="553"/>
      <c r="GA71" s="121"/>
      <c r="GB71" s="121"/>
      <c r="GC71" s="121"/>
      <c r="GD71" s="121"/>
      <c r="GE71" s="121"/>
      <c r="GF71" s="53"/>
      <c r="GG71" s="280">
        <f t="shared" si="161"/>
        <v>44423</v>
      </c>
      <c r="GH71" s="280"/>
      <c r="GI71" s="53"/>
      <c r="GJ71" s="53"/>
      <c r="GK71" s="53"/>
      <c r="GL71" s="53"/>
      <c r="GM71" s="53"/>
      <c r="GN71" s="53"/>
      <c r="GO71" s="53"/>
      <c r="GP71" s="53"/>
      <c r="GQ71" s="53"/>
      <c r="GR71" s="53"/>
      <c r="GS71" s="53"/>
      <c r="GT71" s="53"/>
      <c r="GU71" s="53"/>
      <c r="GV71" s="112"/>
      <c r="GW71" s="112"/>
      <c r="GX71" s="93">
        <f>+HI71+HN71+HU71+IO71+HZ71+HY71</f>
        <v>985169.38</v>
      </c>
      <c r="GY71" s="67">
        <f>HJ71+HO71+HT71+HV71+HZ71+HY71</f>
        <v>1019489.68</v>
      </c>
      <c r="GZ71" s="387"/>
      <c r="HA71" s="67">
        <f t="shared" si="276"/>
        <v>34320.300000000047</v>
      </c>
      <c r="HB71" s="67"/>
      <c r="HC71" s="87"/>
      <c r="HD71" s="87"/>
      <c r="HE71" s="67"/>
      <c r="HF71" s="88">
        <f t="shared" si="277"/>
        <v>0</v>
      </c>
      <c r="HG71" s="67">
        <f t="shared" si="278"/>
        <v>0</v>
      </c>
      <c r="HH71" s="67">
        <v>0.4</v>
      </c>
      <c r="HI71" s="67"/>
      <c r="HJ71" s="677"/>
      <c r="HK71" s="677"/>
      <c r="HL71" s="67">
        <f t="shared" si="279"/>
        <v>0</v>
      </c>
      <c r="HM71" s="88"/>
      <c r="HN71" s="93">
        <f>795749.38-HY71</f>
        <v>545749.38</v>
      </c>
      <c r="HO71" s="67">
        <v>617569.68000000005</v>
      </c>
      <c r="HP71" s="67"/>
      <c r="HQ71" s="87"/>
      <c r="HR71" s="87">
        <f t="shared" si="280"/>
        <v>71820.300000000047</v>
      </c>
      <c r="HS71" s="67">
        <f>HN71/AJ71</f>
        <v>18191.646000000001</v>
      </c>
      <c r="HT71" s="88"/>
      <c r="HU71" s="93">
        <v>187500</v>
      </c>
      <c r="HV71" s="67">
        <v>150000</v>
      </c>
      <c r="HW71" s="67"/>
      <c r="HX71" s="721">
        <f t="shared" si="172"/>
        <v>0.14713243590656061</v>
      </c>
      <c r="HY71" s="87">
        <v>250000</v>
      </c>
      <c r="HZ71" s="67">
        <v>1920</v>
      </c>
      <c r="IA71" s="89">
        <f t="shared" si="173"/>
        <v>-37500</v>
      </c>
      <c r="IB71" s="23">
        <f t="shared" si="174"/>
        <v>5000</v>
      </c>
      <c r="IC71" s="81">
        <f t="shared" si="175"/>
        <v>5000</v>
      </c>
      <c r="ID71" s="388">
        <f>IA71/AJ71</f>
        <v>-1250</v>
      </c>
      <c r="IE71" s="391">
        <v>6.31</v>
      </c>
      <c r="IF71" s="391"/>
      <c r="IG71" s="387"/>
      <c r="IH71" s="387"/>
      <c r="II71" s="388">
        <f>(HI71+HU71+IH71)/AJ71</f>
        <v>6250</v>
      </c>
      <c r="IJ71" s="387"/>
      <c r="IK71" s="388">
        <f>(HJ71+HV71+IH71+IJ71)/AJ71</f>
        <v>5000</v>
      </c>
      <c r="IL71" s="107">
        <f t="shared" si="272"/>
        <v>0.19032260219049846</v>
      </c>
      <c r="IM71" s="387"/>
      <c r="IN71" s="387"/>
      <c r="IO71" s="387">
        <f t="shared" si="273"/>
        <v>0</v>
      </c>
      <c r="IP71" s="392">
        <f t="shared" si="274"/>
        <v>985169.38</v>
      </c>
      <c r="IQ71" s="277"/>
      <c r="IR71" s="277">
        <f t="shared" si="275"/>
        <v>0</v>
      </c>
      <c r="IS71" s="278"/>
      <c r="IT71" s="281">
        <v>0</v>
      </c>
      <c r="IU71" s="281"/>
      <c r="IV71" s="253"/>
      <c r="IW71" s="253"/>
      <c r="IX71" s="385">
        <v>0</v>
      </c>
      <c r="IY71" s="261"/>
      <c r="IZ71" s="274">
        <v>0</v>
      </c>
      <c r="JA71" s="261"/>
      <c r="JB71" s="460"/>
      <c r="JC71" s="279"/>
      <c r="JD71" s="284"/>
      <c r="JE71" s="282"/>
      <c r="JF71" s="282"/>
      <c r="JG71" s="276"/>
      <c r="JH71" s="281"/>
      <c r="JI71" s="276"/>
      <c r="JJ71" s="281"/>
      <c r="JK71" s="300"/>
      <c r="JL71" s="300"/>
      <c r="JM71" s="300"/>
      <c r="JN71" s="300"/>
      <c r="JO71" s="269"/>
      <c r="JP71" s="269"/>
      <c r="JQ71" s="269"/>
      <c r="JR71" s="269"/>
      <c r="JS71" s="269"/>
      <c r="JT71" s="269"/>
      <c r="JU71" s="281" t="e">
        <f>$JU$1*IQ71</f>
        <v>#VALUE!</v>
      </c>
      <c r="JV71" s="117"/>
      <c r="JW71" s="279"/>
      <c r="JX71" s="117"/>
      <c r="JY71" s="117"/>
      <c r="JZ71" s="279"/>
    </row>
    <row r="72" spans="1:286" ht="15" customHeight="1">
      <c r="A72" s="840" t="s">
        <v>449</v>
      </c>
      <c r="B72" s="840"/>
      <c r="C72" s="53" t="s">
        <v>45</v>
      </c>
      <c r="D72" s="53" t="s">
        <v>112</v>
      </c>
      <c r="E72" s="53">
        <v>2018</v>
      </c>
      <c r="F72" s="53"/>
      <c r="G72" s="53" t="s">
        <v>433</v>
      </c>
      <c r="H72" s="53" t="s">
        <v>180</v>
      </c>
      <c r="I72" s="53" t="s">
        <v>174</v>
      </c>
      <c r="J72" s="53"/>
      <c r="K72" s="53" t="s">
        <v>454</v>
      </c>
      <c r="L72" s="255" t="s">
        <v>491</v>
      </c>
      <c r="M72" s="166" t="s">
        <v>60</v>
      </c>
      <c r="N72" s="167" t="s">
        <v>470</v>
      </c>
      <c r="O72" s="168">
        <v>34319</v>
      </c>
      <c r="P72" s="231"/>
      <c r="Q72" s="231"/>
      <c r="R72" s="231"/>
      <c r="S72" s="231"/>
      <c r="T72" s="231"/>
      <c r="U72" s="604"/>
      <c r="V72" s="604"/>
      <c r="W72" s="604"/>
      <c r="X72" s="231"/>
      <c r="Y72" s="208"/>
      <c r="Z72" s="907" t="e">
        <f t="shared" si="282"/>
        <v>#DIV/0!</v>
      </c>
      <c r="AA72" s="208"/>
      <c r="AB72" s="208"/>
      <c r="AC72" s="209"/>
      <c r="AD72" s="53" t="s">
        <v>432</v>
      </c>
      <c r="AE72" s="771">
        <f t="shared" si="130"/>
        <v>34</v>
      </c>
      <c r="AF72" s="771">
        <f t="shared" si="131"/>
        <v>0</v>
      </c>
      <c r="AG72" s="64"/>
      <c r="AH72" s="114"/>
      <c r="AI72" s="114"/>
      <c r="AJ72" s="317">
        <v>34</v>
      </c>
      <c r="AK72" s="269"/>
      <c r="AL72" s="57"/>
      <c r="AM72" s="57"/>
      <c r="AN72" s="92"/>
      <c r="AO72" s="9"/>
      <c r="AP72" s="78"/>
      <c r="AQ72" s="78"/>
      <c r="AR72" s="78"/>
      <c r="AS72" s="78"/>
      <c r="AT72" s="78"/>
      <c r="AU72" s="57"/>
      <c r="AV72" s="76"/>
      <c r="AW72" s="78"/>
      <c r="AX72" s="57"/>
      <c r="AY72" s="53"/>
      <c r="AZ72" s="53"/>
      <c r="BA72" s="53"/>
      <c r="BB72" s="53"/>
      <c r="BC72" s="53"/>
      <c r="BD72" s="53"/>
      <c r="BE72" s="184">
        <v>43308</v>
      </c>
      <c r="BF72" s="110"/>
      <c r="BG72" s="110"/>
      <c r="BH72" s="97"/>
      <c r="BI72" s="204">
        <v>43335</v>
      </c>
      <c r="BJ72" s="99"/>
      <c r="BK72" s="99"/>
      <c r="BL72" s="204"/>
      <c r="BM72" s="99"/>
      <c r="BN72" s="161">
        <v>43396</v>
      </c>
      <c r="BO72" s="711">
        <f t="shared" si="285"/>
        <v>43427</v>
      </c>
      <c r="BP72" s="690">
        <f t="shared" si="256"/>
        <v>43519</v>
      </c>
      <c r="BQ72" s="161"/>
      <c r="BR72" s="299">
        <f t="shared" si="257"/>
        <v>43427</v>
      </c>
      <c r="BS72" s="298">
        <f t="shared" si="258"/>
        <v>44158</v>
      </c>
      <c r="BT72" s="298">
        <f t="shared" si="259"/>
        <v>44523</v>
      </c>
      <c r="BU72" s="298"/>
      <c r="BV72" s="298" t="str">
        <f>IF(FK72&gt;BS72,"oui","non")</f>
        <v>non</v>
      </c>
      <c r="BW72" s="672">
        <f t="shared" si="136"/>
        <v>13</v>
      </c>
      <c r="BX72" s="672">
        <f t="shared" si="137"/>
        <v>0</v>
      </c>
      <c r="BY72" s="672">
        <f t="shared" si="138"/>
        <v>0</v>
      </c>
      <c r="BZ72" s="824"/>
      <c r="CA72" s="832"/>
      <c r="CB72" s="826"/>
      <c r="CC72" s="826"/>
      <c r="CD72" s="826"/>
      <c r="CE72" s="826"/>
      <c r="CF72" s="819"/>
      <c r="CG72" s="819"/>
      <c r="CH72" s="819"/>
      <c r="CI72" s="819"/>
      <c r="CJ72" s="819"/>
      <c r="CK72" s="819"/>
      <c r="CL72" s="819"/>
      <c r="CM72" s="819"/>
      <c r="CN72" s="819"/>
      <c r="CO72" s="819"/>
      <c r="CP72" s="819"/>
      <c r="CQ72" s="819"/>
      <c r="CR72" s="819"/>
      <c r="CS72" s="159"/>
      <c r="CT72" s="250"/>
      <c r="CU72" s="250"/>
      <c r="CV72" s="158"/>
      <c r="CW72" s="250"/>
      <c r="CX72" s="250"/>
      <c r="CY72" s="250"/>
      <c r="CZ72" s="405"/>
      <c r="DA72" s="405"/>
      <c r="DB72" s="540">
        <v>42927</v>
      </c>
      <c r="DC72" s="543"/>
      <c r="DD72" s="543"/>
      <c r="DE72" s="545" t="str">
        <f t="shared" si="139"/>
        <v>0</v>
      </c>
      <c r="DF72" s="543">
        <v>43067</v>
      </c>
      <c r="DG72" s="543">
        <f ca="1">IF(DF72&lt;TODAY(),TODAY(),DF72)</f>
        <v>43423</v>
      </c>
      <c r="DH72" s="545">
        <f t="shared" ca="1" si="140"/>
        <v>356</v>
      </c>
      <c r="DI72" s="543">
        <v>43046</v>
      </c>
      <c r="DJ72" s="543">
        <f ca="1">IF(DI72&lt;TODAY(),TODAY(),DI72)</f>
        <v>43423</v>
      </c>
      <c r="DK72" s="545">
        <f t="shared" ca="1" si="141"/>
        <v>377</v>
      </c>
      <c r="DL72" s="543">
        <v>43126</v>
      </c>
      <c r="DM72" s="543">
        <f ca="1">IF(DL72&lt;TODAY(),TODAY(),DL72)</f>
        <v>43423</v>
      </c>
      <c r="DN72" s="545">
        <f t="shared" ca="1" si="142"/>
        <v>297</v>
      </c>
      <c r="DO72" s="543">
        <v>43187</v>
      </c>
      <c r="DP72" s="543">
        <f ca="1">IF(DO72&lt;TODAY(),TODAY(),DO72)</f>
        <v>43423</v>
      </c>
      <c r="DQ72" s="545">
        <f t="shared" ca="1" si="143"/>
        <v>236</v>
      </c>
      <c r="DR72" s="451"/>
      <c r="DS72" s="540">
        <v>43403</v>
      </c>
      <c r="DT72" s="527">
        <v>43630</v>
      </c>
      <c r="DU72" s="533">
        <f t="shared" ca="1" si="260"/>
        <v>43630</v>
      </c>
      <c r="DV72" s="529">
        <f t="shared" ca="1" si="144"/>
        <v>0</v>
      </c>
      <c r="DW72" s="527">
        <v>43647</v>
      </c>
      <c r="DX72" s="686">
        <v>43539</v>
      </c>
      <c r="DY72" s="344"/>
      <c r="DZ72" s="442">
        <f t="shared" si="286"/>
        <v>6.8</v>
      </c>
      <c r="EA72" s="529">
        <f t="shared" si="287"/>
        <v>-108</v>
      </c>
      <c r="EB72" s="687">
        <v>16</v>
      </c>
      <c r="EC72" s="241">
        <f t="shared" si="288"/>
        <v>17</v>
      </c>
      <c r="ED72" s="527"/>
      <c r="EE72" s="533">
        <f t="shared" ca="1" si="261"/>
        <v>43423</v>
      </c>
      <c r="EF72" s="529" t="str">
        <f t="shared" ca="1" si="289"/>
        <v>0</v>
      </c>
      <c r="EG72" s="527"/>
      <c r="EH72" s="551">
        <f t="shared" ca="1" si="262"/>
        <v>43423</v>
      </c>
      <c r="EI72" s="530" t="str">
        <f t="shared" ca="1" si="149"/>
        <v>0</v>
      </c>
      <c r="EJ72" s="531"/>
      <c r="EK72" s="533">
        <f t="shared" ca="1" si="263"/>
        <v>43423</v>
      </c>
      <c r="EL72" s="529" t="str">
        <f t="shared" ca="1" si="290"/>
        <v>0</v>
      </c>
      <c r="EM72" s="533"/>
      <c r="EN72" s="533">
        <f t="shared" ca="1" si="264"/>
        <v>43423</v>
      </c>
      <c r="EO72" s="529" t="str">
        <f t="shared" ca="1" si="151"/>
        <v>0</v>
      </c>
      <c r="EP72" s="533"/>
      <c r="EQ72" s="533">
        <f t="shared" ca="1" si="293"/>
        <v>43423</v>
      </c>
      <c r="ER72" s="529" t="str">
        <f t="shared" ca="1" si="152"/>
        <v>0</v>
      </c>
      <c r="ES72" s="533"/>
      <c r="ET72" s="533">
        <f t="shared" ca="1" si="294"/>
        <v>43423</v>
      </c>
      <c r="EU72" s="529" t="str">
        <f t="shared" ca="1" si="153"/>
        <v>0</v>
      </c>
      <c r="EV72" s="533"/>
      <c r="EW72" s="533">
        <f t="shared" ca="1" si="265"/>
        <v>43423</v>
      </c>
      <c r="EX72" s="529" t="str">
        <f t="shared" ca="1" si="154"/>
        <v>0</v>
      </c>
      <c r="EY72" s="533"/>
      <c r="EZ72" s="533"/>
      <c r="FA72" s="533"/>
      <c r="FB72" s="731">
        <f t="shared" si="155"/>
        <v>44027</v>
      </c>
      <c r="FC72" s="730">
        <f>DATE(YEAR(DX72),MONTH(DX72)+EB72+1,DAY(DX72))</f>
        <v>44058</v>
      </c>
      <c r="FD72" s="730">
        <f t="shared" si="291"/>
        <v>1.0333333333333334</v>
      </c>
      <c r="FE72" s="730"/>
      <c r="FF72" s="730"/>
      <c r="FG72" s="730"/>
      <c r="FH72" s="730">
        <f t="shared" si="283"/>
        <v>44089</v>
      </c>
      <c r="FI72" s="730"/>
      <c r="FJ72" s="730">
        <f t="shared" si="266"/>
        <v>44058</v>
      </c>
      <c r="FK72" s="730">
        <f t="shared" si="284"/>
        <v>44119</v>
      </c>
      <c r="FL72" s="574"/>
      <c r="FM72" s="724">
        <f t="shared" si="267"/>
        <v>2.0333333333333332</v>
      </c>
      <c r="FN72" s="700"/>
      <c r="FO72" s="246">
        <f t="shared" si="292"/>
        <v>0</v>
      </c>
      <c r="FP72" s="117"/>
      <c r="FQ72" s="556">
        <v>0</v>
      </c>
      <c r="FR72" s="556">
        <v>0</v>
      </c>
      <c r="FS72" s="556"/>
      <c r="FT72" s="556"/>
      <c r="FU72" s="556"/>
      <c r="FV72" s="749">
        <f>FU72/GY72</f>
        <v>0</v>
      </c>
      <c r="FW72" s="553"/>
      <c r="FX72" s="566"/>
      <c r="FY72" s="553" t="s">
        <v>713</v>
      </c>
      <c r="FZ72" s="553"/>
      <c r="GA72" s="121"/>
      <c r="GB72" s="121"/>
      <c r="GC72" s="121"/>
      <c r="GD72" s="121"/>
      <c r="GE72" s="121"/>
      <c r="GF72" s="53"/>
      <c r="GG72" s="280">
        <f t="shared" si="161"/>
        <v>44423</v>
      </c>
      <c r="GH72" s="280"/>
      <c r="GI72" s="53"/>
      <c r="GJ72" s="53"/>
      <c r="GK72" s="53"/>
      <c r="GL72" s="53"/>
      <c r="GM72" s="53"/>
      <c r="GN72" s="53"/>
      <c r="GO72" s="53"/>
      <c r="GP72" s="53"/>
      <c r="GQ72" s="53"/>
      <c r="GR72" s="53"/>
      <c r="GS72" s="53"/>
      <c r="GT72" s="53"/>
      <c r="GU72" s="53"/>
      <c r="GV72" s="112"/>
      <c r="GW72" s="112"/>
      <c r="GX72" s="93">
        <f>+HI72+HN72+HU72+IO72+HZ72+HY72</f>
        <v>843844</v>
      </c>
      <c r="GY72" s="67">
        <f>HJ72+HO72+HT72+HV72+HZ72+HY72</f>
        <v>1032790.2</v>
      </c>
      <c r="GZ72" s="387"/>
      <c r="HA72" s="67">
        <f t="shared" si="276"/>
        <v>188946.19999999995</v>
      </c>
      <c r="HB72" s="67"/>
      <c r="HC72" s="87"/>
      <c r="HD72" s="87"/>
      <c r="HE72" s="67"/>
      <c r="HF72" s="88">
        <f t="shared" si="277"/>
        <v>0</v>
      </c>
      <c r="HG72" s="67">
        <f t="shared" si="278"/>
        <v>0</v>
      </c>
      <c r="HH72" s="67">
        <v>0.4</v>
      </c>
      <c r="HI72" s="67"/>
      <c r="HJ72" s="677"/>
      <c r="HK72" s="677"/>
      <c r="HL72" s="67">
        <f t="shared" si="279"/>
        <v>0</v>
      </c>
      <c r="HM72" s="88"/>
      <c r="HN72" s="93">
        <f>629664-HY72</f>
        <v>289664</v>
      </c>
      <c r="HO72" s="67">
        <v>555110.19999999995</v>
      </c>
      <c r="HP72" s="67"/>
      <c r="HQ72" s="87"/>
      <c r="HR72" s="87">
        <f t="shared" si="280"/>
        <v>265446.19999999995</v>
      </c>
      <c r="HS72" s="67">
        <f>HN72/AJ72</f>
        <v>8519.5294117647063</v>
      </c>
      <c r="HT72" s="88"/>
      <c r="HU72" s="93">
        <v>212500</v>
      </c>
      <c r="HV72" s="67">
        <v>136000</v>
      </c>
      <c r="HW72" s="67"/>
      <c r="HX72" s="721">
        <f t="shared" si="172"/>
        <v>0.13168211704564975</v>
      </c>
      <c r="HY72" s="87">
        <v>340000</v>
      </c>
      <c r="HZ72" s="67">
        <v>1680</v>
      </c>
      <c r="IA72" s="89">
        <f t="shared" si="173"/>
        <v>-76500</v>
      </c>
      <c r="IB72" s="23">
        <f t="shared" si="174"/>
        <v>4000</v>
      </c>
      <c r="IC72" s="81">
        <f t="shared" si="175"/>
        <v>4000</v>
      </c>
      <c r="ID72" s="387">
        <f>IA72/AJ72</f>
        <v>-2250</v>
      </c>
      <c r="IE72" s="391">
        <v>6.31</v>
      </c>
      <c r="IF72" s="391"/>
      <c r="IG72" s="387"/>
      <c r="IH72" s="387"/>
      <c r="II72" s="387">
        <f>(HI72+HU72+IH72)/AJ72</f>
        <v>6250</v>
      </c>
      <c r="IJ72" s="387"/>
      <c r="IK72" s="387">
        <f>(HJ72+HV72+IH72+IJ72)/AJ72</f>
        <v>4000</v>
      </c>
      <c r="IL72" s="107">
        <f t="shared" si="272"/>
        <v>0.25182379681552514</v>
      </c>
      <c r="IM72" s="387"/>
      <c r="IN72" s="387"/>
      <c r="IO72" s="387">
        <f t="shared" si="273"/>
        <v>0</v>
      </c>
      <c r="IP72" s="392">
        <f t="shared" si="274"/>
        <v>843844</v>
      </c>
      <c r="IQ72" s="277"/>
      <c r="IR72" s="277">
        <f t="shared" si="275"/>
        <v>0</v>
      </c>
      <c r="IS72" s="278"/>
      <c r="IT72" s="281">
        <v>0</v>
      </c>
      <c r="IU72" s="281"/>
      <c r="IV72" s="253"/>
      <c r="IW72" s="253"/>
      <c r="IX72" s="385">
        <v>0</v>
      </c>
      <c r="IY72" s="261"/>
      <c r="IZ72" s="274">
        <v>0</v>
      </c>
      <c r="JA72" s="261"/>
      <c r="JB72" s="460"/>
      <c r="JC72" s="279"/>
      <c r="JD72" s="284"/>
      <c r="JE72" s="282"/>
      <c r="JF72" s="282"/>
      <c r="JG72" s="276"/>
      <c r="JH72" s="281"/>
      <c r="JI72" s="276"/>
      <c r="JJ72" s="281"/>
      <c r="JK72" s="300"/>
      <c r="JL72" s="300"/>
      <c r="JM72" s="300"/>
      <c r="JN72" s="300"/>
      <c r="JO72" s="269"/>
      <c r="JP72" s="269"/>
      <c r="JQ72" s="269"/>
      <c r="JR72" s="269"/>
      <c r="JS72" s="269"/>
      <c r="JT72" s="269"/>
      <c r="JU72" s="281" t="e">
        <f>$JU$1*IQ72</f>
        <v>#VALUE!</v>
      </c>
      <c r="JV72" s="117"/>
      <c r="JW72" s="279"/>
      <c r="JX72" s="117"/>
      <c r="JY72" s="117"/>
      <c r="JZ72" s="279"/>
    </row>
    <row r="73" spans="1:286" ht="15" customHeight="1">
      <c r="A73" s="86" t="s">
        <v>399</v>
      </c>
      <c r="B73" s="86" t="s">
        <v>973</v>
      </c>
      <c r="C73" s="53" t="s">
        <v>35</v>
      </c>
      <c r="D73" s="53" t="s">
        <v>112</v>
      </c>
      <c r="E73" s="53">
        <v>2017</v>
      </c>
      <c r="F73" s="53" t="s">
        <v>407</v>
      </c>
      <c r="G73" s="53" t="s">
        <v>379</v>
      </c>
      <c r="H73" s="53" t="s">
        <v>838</v>
      </c>
      <c r="I73" s="53" t="s">
        <v>175</v>
      </c>
      <c r="J73" s="53"/>
      <c r="K73" s="53" t="s">
        <v>400</v>
      </c>
      <c r="L73" s="255" t="s">
        <v>830</v>
      </c>
      <c r="M73" s="166"/>
      <c r="N73" s="167"/>
      <c r="O73" s="168"/>
      <c r="P73" s="207">
        <v>1953</v>
      </c>
      <c r="Q73" s="207">
        <v>452000</v>
      </c>
      <c r="R73" s="207"/>
      <c r="S73" s="207">
        <f>Q73/AE73</f>
        <v>17384.615384615383</v>
      </c>
      <c r="T73" s="207">
        <f t="shared" ref="T73:T91" si="295">Q73/P73</f>
        <v>231.43881208397337</v>
      </c>
      <c r="U73" s="213">
        <f t="shared" ref="U73:U91" si="296">R73/P73</f>
        <v>0</v>
      </c>
      <c r="V73" s="213">
        <f t="shared" ref="V73:V79" si="297">R73/AN73</f>
        <v>0</v>
      </c>
      <c r="W73" s="213">
        <f t="shared" ref="W73:W91" si="298">R73/AE73</f>
        <v>0</v>
      </c>
      <c r="X73" s="207">
        <f t="shared" ref="X73:X91" si="299">P73/AE73</f>
        <v>75.115384615384613</v>
      </c>
      <c r="Y73" s="208"/>
      <c r="Z73" s="904">
        <f t="shared" si="282"/>
        <v>133.12852022529441</v>
      </c>
      <c r="AA73" s="208" t="s">
        <v>188</v>
      </c>
      <c r="AB73" s="208">
        <v>590</v>
      </c>
      <c r="AC73" s="209"/>
      <c r="AD73" s="53" t="s">
        <v>16</v>
      </c>
      <c r="AE73" s="771">
        <f t="shared" si="130"/>
        <v>26</v>
      </c>
      <c r="AF73" s="771">
        <f t="shared" si="131"/>
        <v>26</v>
      </c>
      <c r="AG73" s="64"/>
      <c r="AH73" s="53">
        <v>26</v>
      </c>
      <c r="AI73" s="53"/>
      <c r="AJ73" s="53"/>
      <c r="AK73" s="269"/>
      <c r="AL73" s="57">
        <v>1730.4</v>
      </c>
      <c r="AM73" s="57"/>
      <c r="AN73" s="92">
        <v>1713.92</v>
      </c>
      <c r="AO73" s="57">
        <f t="shared" ref="AO73:AO79" si="300">AN73/AE73</f>
        <v>65.92</v>
      </c>
      <c r="AP73" s="78"/>
      <c r="AQ73" s="78">
        <f>26/AE73</f>
        <v>1</v>
      </c>
      <c r="AR73" s="78"/>
      <c r="AS73" s="78"/>
      <c r="AT73" s="78"/>
      <c r="AU73" s="57"/>
      <c r="AV73" s="57" t="s">
        <v>168</v>
      </c>
      <c r="AW73" s="57"/>
      <c r="AX73" s="57">
        <v>4</v>
      </c>
      <c r="AY73" s="56" t="s">
        <v>549</v>
      </c>
      <c r="AZ73" s="53" t="s">
        <v>120</v>
      </c>
      <c r="BA73" s="53"/>
      <c r="BB73" s="53"/>
      <c r="BC73" s="53"/>
      <c r="BD73" s="236">
        <v>42691</v>
      </c>
      <c r="BE73" s="53"/>
      <c r="BF73" s="110" t="s">
        <v>168</v>
      </c>
      <c r="BG73" s="110"/>
      <c r="BH73" s="97"/>
      <c r="BI73" s="204">
        <v>42970</v>
      </c>
      <c r="BJ73" s="99">
        <v>42999</v>
      </c>
      <c r="BK73" s="99"/>
      <c r="BL73" s="204"/>
      <c r="BM73" s="99"/>
      <c r="BN73" s="690">
        <v>43301</v>
      </c>
      <c r="BO73" s="711">
        <f t="shared" si="285"/>
        <v>43332</v>
      </c>
      <c r="BP73" s="690">
        <f t="shared" si="256"/>
        <v>43424</v>
      </c>
      <c r="BQ73" s="161"/>
      <c r="BR73" s="299">
        <f t="shared" si="257"/>
        <v>43332</v>
      </c>
      <c r="BS73" s="298">
        <f t="shared" si="258"/>
        <v>44063</v>
      </c>
      <c r="BT73" s="298">
        <f t="shared" si="259"/>
        <v>44428</v>
      </c>
      <c r="BU73" s="672">
        <f>47096+11085</f>
        <v>58181</v>
      </c>
      <c r="BV73" s="298" t="str">
        <f t="shared" ref="BV73:BV79" si="301">IF(FK73&gt;BT73,"oui","non")</f>
        <v>non</v>
      </c>
      <c r="BW73" s="672">
        <f t="shared" si="136"/>
        <v>6</v>
      </c>
      <c r="BX73" s="672">
        <f t="shared" si="137"/>
        <v>57923.88</v>
      </c>
      <c r="BY73" s="672">
        <f t="shared" si="138"/>
        <v>-257.12000000000262</v>
      </c>
      <c r="BZ73" s="824"/>
      <c r="CA73" s="832"/>
      <c r="CB73" s="826"/>
      <c r="CC73" s="826"/>
      <c r="CD73" s="826"/>
      <c r="CE73" s="826"/>
      <c r="CF73" s="819"/>
      <c r="CG73" s="819"/>
      <c r="CH73" s="819"/>
      <c r="CI73" s="819"/>
      <c r="CJ73" s="819"/>
      <c r="CK73" s="819"/>
      <c r="CL73" s="819"/>
      <c r="CM73" s="819"/>
      <c r="CN73" s="819"/>
      <c r="CO73" s="819"/>
      <c r="CP73" s="819"/>
      <c r="CQ73" s="819"/>
      <c r="CR73" s="819"/>
      <c r="CS73" s="159"/>
      <c r="CT73" s="250"/>
      <c r="CU73" s="250"/>
      <c r="CV73" s="158"/>
      <c r="CW73" s="250"/>
      <c r="CX73" s="250"/>
      <c r="CY73" s="250"/>
      <c r="CZ73" s="250" t="s">
        <v>168</v>
      </c>
      <c r="DA73" s="598"/>
      <c r="DB73" s="315">
        <v>42586</v>
      </c>
      <c r="DC73" s="122">
        <v>42601</v>
      </c>
      <c r="DD73" s="122">
        <v>42586</v>
      </c>
      <c r="DE73" s="523">
        <f t="shared" si="139"/>
        <v>-15</v>
      </c>
      <c r="DF73" s="315">
        <v>42706</v>
      </c>
      <c r="DG73" s="315">
        <v>42704</v>
      </c>
      <c r="DH73" s="523">
        <f t="shared" si="140"/>
        <v>-2</v>
      </c>
      <c r="DI73" s="315">
        <v>42758</v>
      </c>
      <c r="DJ73" s="315">
        <v>42758</v>
      </c>
      <c r="DK73" s="523">
        <f t="shared" si="141"/>
        <v>0</v>
      </c>
      <c r="DL73" s="122">
        <v>42818</v>
      </c>
      <c r="DM73" s="315">
        <v>42898</v>
      </c>
      <c r="DN73" s="523">
        <f t="shared" si="142"/>
        <v>80</v>
      </c>
      <c r="DO73" s="122">
        <v>42895</v>
      </c>
      <c r="DP73" s="122">
        <v>43251</v>
      </c>
      <c r="DQ73" s="523">
        <f t="shared" si="143"/>
        <v>356</v>
      </c>
      <c r="DR73" s="451"/>
      <c r="DS73" s="540">
        <v>43358</v>
      </c>
      <c r="DT73" s="537">
        <v>43144</v>
      </c>
      <c r="DU73" s="533">
        <f t="shared" ca="1" si="260"/>
        <v>43423</v>
      </c>
      <c r="DV73" s="529">
        <f t="shared" ca="1" si="144"/>
        <v>279</v>
      </c>
      <c r="DW73" s="537">
        <v>43159</v>
      </c>
      <c r="DX73" s="686">
        <v>43647</v>
      </c>
      <c r="DY73" s="344"/>
      <c r="DZ73" s="442">
        <f t="shared" si="286"/>
        <v>22.566666666666666</v>
      </c>
      <c r="EA73" s="529">
        <f t="shared" si="287"/>
        <v>488</v>
      </c>
      <c r="EB73" s="687">
        <v>16</v>
      </c>
      <c r="EC73" s="241">
        <f t="shared" si="288"/>
        <v>17</v>
      </c>
      <c r="ED73" s="527"/>
      <c r="EE73" s="533">
        <f t="shared" ca="1" si="261"/>
        <v>43423</v>
      </c>
      <c r="EF73" s="529" t="str">
        <f t="shared" ca="1" si="289"/>
        <v>0</v>
      </c>
      <c r="EG73" s="527"/>
      <c r="EH73" s="551">
        <f t="shared" ca="1" si="262"/>
        <v>43423</v>
      </c>
      <c r="EI73" s="530" t="str">
        <f t="shared" ca="1" si="149"/>
        <v>0</v>
      </c>
      <c r="EJ73" s="533"/>
      <c r="EK73" s="533">
        <f t="shared" ca="1" si="263"/>
        <v>43423</v>
      </c>
      <c r="EL73" s="529" t="str">
        <f t="shared" ca="1" si="290"/>
        <v>0</v>
      </c>
      <c r="EM73" s="527"/>
      <c r="EN73" s="533">
        <f t="shared" ca="1" si="264"/>
        <v>43423</v>
      </c>
      <c r="EO73" s="529" t="str">
        <f t="shared" ca="1" si="151"/>
        <v>0</v>
      </c>
      <c r="EP73" s="533"/>
      <c r="EQ73" s="533">
        <f t="shared" ca="1" si="293"/>
        <v>43423</v>
      </c>
      <c r="ER73" s="529" t="str">
        <f t="shared" ca="1" si="152"/>
        <v>0</v>
      </c>
      <c r="ES73" s="533"/>
      <c r="ET73" s="533">
        <f t="shared" ca="1" si="294"/>
        <v>43423</v>
      </c>
      <c r="EU73" s="529" t="str">
        <f t="shared" ca="1" si="153"/>
        <v>0</v>
      </c>
      <c r="EV73" s="533"/>
      <c r="EW73" s="533">
        <f t="shared" ca="1" si="265"/>
        <v>43423</v>
      </c>
      <c r="EX73" s="529" t="str">
        <f t="shared" ca="1" si="154"/>
        <v>0</v>
      </c>
      <c r="EY73" s="533"/>
      <c r="EZ73" s="533"/>
      <c r="FA73" s="533"/>
      <c r="FB73" s="616">
        <f t="shared" si="155"/>
        <v>44136</v>
      </c>
      <c r="FC73" s="730">
        <f>DATE(YEAR(FB73),MONTH(FB73)+1,DAY(FB73))</f>
        <v>44166</v>
      </c>
      <c r="FD73" s="730">
        <f t="shared" si="291"/>
        <v>1</v>
      </c>
      <c r="FE73" s="730">
        <f>DATE(YEAR(CY73)+2,MONTH(CY73),DAY(CY73))</f>
        <v>731</v>
      </c>
      <c r="FF73" s="730"/>
      <c r="FG73" s="730"/>
      <c r="FH73" s="730">
        <f t="shared" si="283"/>
        <v>44197</v>
      </c>
      <c r="FI73" s="730"/>
      <c r="FJ73" s="730">
        <f t="shared" si="266"/>
        <v>44166</v>
      </c>
      <c r="FK73" s="730">
        <f t="shared" si="284"/>
        <v>44228</v>
      </c>
      <c r="FL73" s="574"/>
      <c r="FM73" s="724">
        <f t="shared" si="267"/>
        <v>2.0666666666666669</v>
      </c>
      <c r="FN73" s="700">
        <v>9653.98</v>
      </c>
      <c r="FO73" s="246">
        <f t="shared" si="292"/>
        <v>19951.558666666668</v>
      </c>
      <c r="FP73" s="117"/>
      <c r="FQ73" s="556">
        <v>0</v>
      </c>
      <c r="FR73" s="556">
        <v>0</v>
      </c>
      <c r="FS73" s="556"/>
      <c r="FT73" s="556"/>
      <c r="FU73" s="556"/>
      <c r="FV73" s="749">
        <f>FU73/GY73</f>
        <v>0</v>
      </c>
      <c r="FW73" s="553"/>
      <c r="FX73" s="566"/>
      <c r="FY73" s="566"/>
      <c r="FZ73" s="553"/>
      <c r="GA73" s="121"/>
      <c r="GB73" s="121"/>
      <c r="GC73" s="121"/>
      <c r="GD73" s="121"/>
      <c r="GE73" s="121"/>
      <c r="GF73" s="53"/>
      <c r="GG73" s="280">
        <f t="shared" si="161"/>
        <v>44531</v>
      </c>
      <c r="GH73" s="280"/>
      <c r="GI73" s="53"/>
      <c r="GJ73" s="53"/>
      <c r="GK73" s="53"/>
      <c r="GL73" s="53"/>
      <c r="GM73" s="53"/>
      <c r="GN73" s="53"/>
      <c r="GO73" s="53"/>
      <c r="GP73" s="53"/>
      <c r="GQ73" s="53"/>
      <c r="GR73" s="53"/>
      <c r="GS73" s="53"/>
      <c r="GT73" s="53"/>
      <c r="GU73" s="53"/>
      <c r="GV73" s="112"/>
      <c r="GW73" s="112"/>
      <c r="GX73" s="93">
        <f>+HI73+HN73+HU73+IO73+HZ73</f>
        <v>3882412.99</v>
      </c>
      <c r="GY73" s="67">
        <f t="shared" ref="GY73:GY79" si="302">HJ73+HO73+HV73+IO73+HW73+HZ73</f>
        <v>3863382</v>
      </c>
      <c r="GZ73" s="67">
        <f t="shared" ref="GZ73:GZ79" si="303">GY73</f>
        <v>3863382</v>
      </c>
      <c r="HA73" s="94">
        <f t="shared" si="276"/>
        <v>-19030.990000000224</v>
      </c>
      <c r="HB73" s="49">
        <f t="shared" ref="HB73:HB79" si="304">GY73/AL73</f>
        <v>2232.6525658807209</v>
      </c>
      <c r="HC73" s="49">
        <f t="shared" ref="HC73:HC79" si="305">GY73/AE73</f>
        <v>148591.61538461538</v>
      </c>
      <c r="HD73" s="93">
        <v>3207102</v>
      </c>
      <c r="HE73" s="67">
        <v>3765886</v>
      </c>
      <c r="HF73" s="94">
        <f t="shared" si="277"/>
        <v>558784</v>
      </c>
      <c r="HG73" s="128">
        <f t="shared" si="278"/>
        <v>0.99523412543724632</v>
      </c>
      <c r="HH73" s="129">
        <v>0.4</v>
      </c>
      <c r="HI73" s="93">
        <v>1296385.9099999999</v>
      </c>
      <c r="HJ73" s="67">
        <v>1301816</v>
      </c>
      <c r="HK73" s="642"/>
      <c r="HL73" s="49">
        <f t="shared" si="279"/>
        <v>50069.846153846156</v>
      </c>
      <c r="HM73" s="95">
        <f>HJ73-HI73</f>
        <v>5430.0900000000838</v>
      </c>
      <c r="HN73" s="813">
        <v>2030427.08</v>
      </c>
      <c r="HO73" s="67">
        <f t="shared" ref="HO73:HO79" si="306">HP73+HQ73</f>
        <v>2005966</v>
      </c>
      <c r="HP73" s="87">
        <v>482453</v>
      </c>
      <c r="HQ73" s="87">
        <v>1523513</v>
      </c>
      <c r="HR73" s="95">
        <f t="shared" si="280"/>
        <v>-24461.080000000075</v>
      </c>
      <c r="HS73" s="630">
        <f t="shared" ref="HS73:HS79" si="307">HO73/AE73</f>
        <v>77152.538461538468</v>
      </c>
      <c r="HT73" s="387"/>
      <c r="HU73" s="93">
        <v>520000</v>
      </c>
      <c r="HV73" s="67">
        <v>520000</v>
      </c>
      <c r="HW73" s="67"/>
      <c r="HX73" s="88">
        <f t="shared" si="172"/>
        <v>0.13459709653355531</v>
      </c>
      <c r="HY73" s="393"/>
      <c r="HZ73" s="67">
        <v>35600</v>
      </c>
      <c r="IA73" s="89">
        <f t="shared" si="173"/>
        <v>0</v>
      </c>
      <c r="IB73" s="23">
        <f t="shared" si="174"/>
        <v>20000</v>
      </c>
      <c r="IC73" s="81">
        <f t="shared" si="175"/>
        <v>70069.846153846156</v>
      </c>
      <c r="ID73" s="89">
        <f>IA73/AE73</f>
        <v>0</v>
      </c>
      <c r="IE73" s="90">
        <v>5.56</v>
      </c>
      <c r="IF73" s="90">
        <v>5.55</v>
      </c>
      <c r="IG73" s="91"/>
      <c r="IH73" s="91"/>
      <c r="II73" s="49">
        <f>(HI73+HU73+IH73)/AE73</f>
        <v>69860.996538461535</v>
      </c>
      <c r="IJ73" s="91"/>
      <c r="IK73" s="49">
        <f>(HJ73+HV73+IH73+IJ73)/AE73</f>
        <v>70069.846153846156</v>
      </c>
      <c r="IL73" s="50">
        <f t="shared" si="272"/>
        <v>0.46784974052953593</v>
      </c>
      <c r="IM73" s="91"/>
      <c r="IN73" s="91"/>
      <c r="IO73" s="67">
        <f t="shared" si="273"/>
        <v>0</v>
      </c>
      <c r="IP73" s="41">
        <f>GY73+IG73</f>
        <v>3863382</v>
      </c>
      <c r="IQ73" s="277">
        <v>221723</v>
      </c>
      <c r="IR73" s="277">
        <f t="shared" si="275"/>
        <v>110862</v>
      </c>
      <c r="IS73" s="113">
        <v>42562</v>
      </c>
      <c r="IT73" s="314">
        <v>23880</v>
      </c>
      <c r="IU73" s="314"/>
      <c r="IV73" s="316"/>
      <c r="IW73" s="316" t="s">
        <v>525</v>
      </c>
      <c r="IX73" s="314">
        <v>15414</v>
      </c>
      <c r="IY73" s="316">
        <v>42697</v>
      </c>
      <c r="IZ73" s="231">
        <v>17422</v>
      </c>
      <c r="JA73" s="316">
        <v>42877</v>
      </c>
      <c r="JB73" s="231">
        <v>20757</v>
      </c>
      <c r="JC73" s="114">
        <v>43075</v>
      </c>
      <c r="JD73" s="321">
        <v>33389</v>
      </c>
      <c r="JE73" s="313"/>
      <c r="JF73" s="313"/>
      <c r="JG73" s="276"/>
      <c r="JH73" s="281"/>
      <c r="JI73" s="276"/>
      <c r="JJ73" s="281"/>
      <c r="JK73" s="300"/>
      <c r="JL73" s="300"/>
      <c r="JM73" s="300"/>
      <c r="JN73" s="300"/>
      <c r="JO73" s="269"/>
      <c r="JP73" s="269"/>
      <c r="JQ73" s="269"/>
      <c r="JR73" s="269"/>
      <c r="JS73" s="269"/>
      <c r="JT73" s="269"/>
      <c r="JU73" s="314">
        <f>14653+2769</f>
        <v>17422</v>
      </c>
      <c r="JV73" s="315"/>
      <c r="JW73" s="114"/>
      <c r="JX73" s="315"/>
      <c r="JY73" s="315"/>
      <c r="JZ73" s="114"/>
    </row>
    <row r="74" spans="1:286" ht="15" customHeight="1">
      <c r="A74" s="86" t="s">
        <v>634</v>
      </c>
      <c r="B74" s="86"/>
      <c r="C74" s="53" t="s">
        <v>161</v>
      </c>
      <c r="D74" s="53" t="s">
        <v>114</v>
      </c>
      <c r="E74" s="53">
        <v>2018</v>
      </c>
      <c r="F74" s="53" t="s">
        <v>581</v>
      </c>
      <c r="G74" s="53" t="s">
        <v>379</v>
      </c>
      <c r="H74" s="53" t="s">
        <v>643</v>
      </c>
      <c r="I74" s="55" t="s">
        <v>176</v>
      </c>
      <c r="J74" s="53"/>
      <c r="K74" s="53" t="s">
        <v>611</v>
      </c>
      <c r="L74" s="255" t="s">
        <v>772</v>
      </c>
      <c r="M74" s="166" t="s">
        <v>578</v>
      </c>
      <c r="N74" s="167"/>
      <c r="O74" s="168"/>
      <c r="P74" s="207">
        <v>7382</v>
      </c>
      <c r="Q74" s="207">
        <v>1016540</v>
      </c>
      <c r="R74" s="207"/>
      <c r="S74" s="207">
        <f>Q74/AE74</f>
        <v>26065.128205128207</v>
      </c>
      <c r="T74" s="207">
        <f t="shared" si="295"/>
        <v>137.7052289352479</v>
      </c>
      <c r="U74" s="213">
        <f t="shared" si="296"/>
        <v>0</v>
      </c>
      <c r="V74" s="213">
        <f t="shared" si="297"/>
        <v>0</v>
      </c>
      <c r="W74" s="213">
        <f t="shared" si="298"/>
        <v>0</v>
      </c>
      <c r="X74" s="207">
        <f t="shared" si="299"/>
        <v>189.28205128205127</v>
      </c>
      <c r="Y74" s="208"/>
      <c r="Z74" s="904">
        <f t="shared" si="282"/>
        <v>52.831211053914927</v>
      </c>
      <c r="AA74" s="208"/>
      <c r="AB74" s="208"/>
      <c r="AC74" s="209"/>
      <c r="AD74" s="53" t="s">
        <v>15</v>
      </c>
      <c r="AE74" s="771">
        <f t="shared" si="130"/>
        <v>39</v>
      </c>
      <c r="AF74" s="771">
        <f t="shared" si="131"/>
        <v>39</v>
      </c>
      <c r="AG74" s="53">
        <v>39</v>
      </c>
      <c r="AH74" s="64"/>
      <c r="AI74" s="64"/>
      <c r="AJ74" s="64"/>
      <c r="AK74" s="269"/>
      <c r="AL74" s="57">
        <v>3148.1</v>
      </c>
      <c r="AM74" s="57"/>
      <c r="AN74" s="408">
        <v>2938.4</v>
      </c>
      <c r="AO74" s="57">
        <f t="shared" si="300"/>
        <v>75.343589743589746</v>
      </c>
      <c r="AP74" s="78">
        <f>7/AE74</f>
        <v>0.17948717948717949</v>
      </c>
      <c r="AQ74" s="78">
        <f>8/AE74</f>
        <v>0.20512820512820512</v>
      </c>
      <c r="AR74" s="78">
        <f>18/AE74</f>
        <v>0.46153846153846156</v>
      </c>
      <c r="AS74" s="78">
        <f>12/AE74</f>
        <v>0.30769230769230771</v>
      </c>
      <c r="AT74" s="78">
        <f>1/AE74</f>
        <v>2.564102564102564E-2</v>
      </c>
      <c r="AU74" s="57"/>
      <c r="AV74" s="76"/>
      <c r="AW74" s="78"/>
      <c r="AX74" s="57"/>
      <c r="AY74" s="53" t="s">
        <v>549</v>
      </c>
      <c r="AZ74" s="53" t="s">
        <v>121</v>
      </c>
      <c r="BA74" s="53"/>
      <c r="BB74" s="53"/>
      <c r="BC74" s="53"/>
      <c r="BD74" s="237"/>
      <c r="BE74" s="184">
        <v>43308</v>
      </c>
      <c r="BF74" s="110" t="s">
        <v>168</v>
      </c>
      <c r="BG74" s="110"/>
      <c r="BH74" s="97"/>
      <c r="BI74" s="204">
        <v>43371</v>
      </c>
      <c r="BJ74" s="99"/>
      <c r="BK74" s="99" t="s">
        <v>168</v>
      </c>
      <c r="BL74" s="204" t="s">
        <v>168</v>
      </c>
      <c r="BM74" s="99" t="s">
        <v>168</v>
      </c>
      <c r="BN74" s="690">
        <v>43399</v>
      </c>
      <c r="BO74" s="711">
        <f t="shared" si="285"/>
        <v>43430</v>
      </c>
      <c r="BP74" s="161">
        <f t="shared" si="256"/>
        <v>43522</v>
      </c>
      <c r="BQ74" s="161"/>
      <c r="BR74" s="299">
        <f t="shared" si="257"/>
        <v>43430</v>
      </c>
      <c r="BS74" s="298">
        <f t="shared" si="258"/>
        <v>44161</v>
      </c>
      <c r="BT74" s="298">
        <f t="shared" si="259"/>
        <v>44526</v>
      </c>
      <c r="BU74" s="672">
        <f>82887+27030</f>
        <v>109917</v>
      </c>
      <c r="BV74" s="298" t="str">
        <f t="shared" si="301"/>
        <v>non</v>
      </c>
      <c r="BW74" s="672">
        <f t="shared" si="136"/>
        <v>9</v>
      </c>
      <c r="BX74" s="672">
        <f t="shared" si="137"/>
        <v>174843</v>
      </c>
      <c r="BY74" s="672">
        <f t="shared" si="138"/>
        <v>0</v>
      </c>
      <c r="BZ74" s="824"/>
      <c r="CA74" s="832"/>
      <c r="CB74" s="826"/>
      <c r="CC74" s="826"/>
      <c r="CD74" s="826"/>
      <c r="CE74" s="826"/>
      <c r="CF74" s="819"/>
      <c r="CG74" s="819"/>
      <c r="CH74" s="819"/>
      <c r="CI74" s="819"/>
      <c r="CJ74" s="819"/>
      <c r="CK74" s="819"/>
      <c r="CL74" s="819"/>
      <c r="CM74" s="819"/>
      <c r="CN74" s="819"/>
      <c r="CO74" s="819"/>
      <c r="CP74" s="819"/>
      <c r="CQ74" s="819"/>
      <c r="CR74" s="819"/>
      <c r="CS74" s="159"/>
      <c r="CT74" s="250"/>
      <c r="CU74" s="250"/>
      <c r="CV74" s="158"/>
      <c r="CW74" s="250"/>
      <c r="CX74" s="250"/>
      <c r="CY74" s="250"/>
      <c r="CZ74" s="250" t="s">
        <v>168</v>
      </c>
      <c r="DA74" s="598"/>
      <c r="DB74" s="315">
        <v>43019</v>
      </c>
      <c r="DC74" s="122">
        <v>43034</v>
      </c>
      <c r="DD74" s="122">
        <v>43020</v>
      </c>
      <c r="DE74" s="523">
        <f t="shared" si="139"/>
        <v>-14</v>
      </c>
      <c r="DF74" s="122">
        <v>43140</v>
      </c>
      <c r="DG74" s="122">
        <v>43139</v>
      </c>
      <c r="DH74" s="523">
        <f t="shared" si="140"/>
        <v>-1</v>
      </c>
      <c r="DI74" s="315">
        <v>43091</v>
      </c>
      <c r="DJ74" s="315">
        <v>43189</v>
      </c>
      <c r="DK74" s="685">
        <f t="shared" si="141"/>
        <v>98</v>
      </c>
      <c r="DL74" s="315">
        <v>43221</v>
      </c>
      <c r="DM74" s="315">
        <v>43287</v>
      </c>
      <c r="DN74" s="685">
        <f t="shared" si="142"/>
        <v>66</v>
      </c>
      <c r="DO74" s="315">
        <v>43280</v>
      </c>
      <c r="DP74" s="315">
        <v>43412</v>
      </c>
      <c r="DQ74" s="685">
        <f t="shared" si="143"/>
        <v>132</v>
      </c>
      <c r="DR74" s="451"/>
      <c r="DS74" s="548"/>
      <c r="DT74" s="527">
        <v>43543</v>
      </c>
      <c r="DU74" s="533">
        <f ca="1">IF(DT74&lt;TODAY(),TODAY(),DT74)</f>
        <v>43543</v>
      </c>
      <c r="DV74" s="529">
        <f t="shared" ca="1" si="144"/>
        <v>0</v>
      </c>
      <c r="DW74" s="527">
        <v>43544</v>
      </c>
      <c r="DX74" s="686">
        <v>43590</v>
      </c>
      <c r="DY74" s="344"/>
      <c r="DZ74" s="442">
        <f t="shared" si="286"/>
        <v>7.3</v>
      </c>
      <c r="EA74" s="529">
        <f t="shared" si="287"/>
        <v>46</v>
      </c>
      <c r="EB74" s="687">
        <v>18</v>
      </c>
      <c r="EC74" s="241">
        <f t="shared" si="288"/>
        <v>20</v>
      </c>
      <c r="ED74" s="527"/>
      <c r="EE74" s="533">
        <f t="shared" ca="1" si="261"/>
        <v>43423</v>
      </c>
      <c r="EF74" s="529" t="str">
        <f t="shared" ca="1" si="289"/>
        <v>0</v>
      </c>
      <c r="EG74" s="527"/>
      <c r="EH74" s="551">
        <f t="shared" ca="1" si="262"/>
        <v>43423</v>
      </c>
      <c r="EI74" s="530" t="str">
        <f t="shared" ca="1" si="149"/>
        <v>0</v>
      </c>
      <c r="EJ74" s="531"/>
      <c r="EK74" s="533">
        <f t="shared" ca="1" si="263"/>
        <v>43423</v>
      </c>
      <c r="EL74" s="529" t="str">
        <f t="shared" ca="1" si="290"/>
        <v>0</v>
      </c>
      <c r="EM74" s="528"/>
      <c r="EN74" s="533">
        <f t="shared" ca="1" si="264"/>
        <v>43423</v>
      </c>
      <c r="EO74" s="529" t="str">
        <f t="shared" ca="1" si="151"/>
        <v>0</v>
      </c>
      <c r="EP74" s="535"/>
      <c r="EQ74" s="533">
        <f t="shared" ca="1" si="293"/>
        <v>43423</v>
      </c>
      <c r="ER74" s="529" t="str">
        <f t="shared" ca="1" si="152"/>
        <v>0</v>
      </c>
      <c r="ES74" s="535"/>
      <c r="ET74" s="533">
        <f t="shared" ca="1" si="294"/>
        <v>43423</v>
      </c>
      <c r="EU74" s="529" t="str">
        <f t="shared" ca="1" si="153"/>
        <v>0</v>
      </c>
      <c r="EV74" s="535"/>
      <c r="EW74" s="533">
        <f t="shared" ca="1" si="265"/>
        <v>43423</v>
      </c>
      <c r="EX74" s="529" t="str">
        <f t="shared" ca="1" si="154"/>
        <v>0</v>
      </c>
      <c r="EY74" s="535"/>
      <c r="EZ74" s="535"/>
      <c r="FA74" s="535"/>
      <c r="FB74" s="616">
        <f t="shared" si="155"/>
        <v>44140</v>
      </c>
      <c r="FC74" s="730">
        <f>DATE(YEAR(FB74),MONTH(FB74)+2,DAY(FB74))</f>
        <v>44201</v>
      </c>
      <c r="FD74" s="730">
        <f t="shared" si="291"/>
        <v>2.0333333333333332</v>
      </c>
      <c r="FE74" s="730">
        <f>DATE(YEAR(CY74)+2,MONTH(CY74),DAY(CY74))</f>
        <v>731</v>
      </c>
      <c r="FF74" s="730"/>
      <c r="FG74" s="730"/>
      <c r="FH74" s="730">
        <f>DATE(YEAR(FC74),MONTH(FC74),DAY(FC74))</f>
        <v>44201</v>
      </c>
      <c r="FI74" s="730"/>
      <c r="FJ74" s="730">
        <f t="shared" si="266"/>
        <v>44170</v>
      </c>
      <c r="FK74" s="730">
        <f t="shared" si="284"/>
        <v>44232</v>
      </c>
      <c r="FL74" s="574"/>
      <c r="FM74" s="724">
        <f t="shared" si="267"/>
        <v>2.0666666666666669</v>
      </c>
      <c r="FN74" s="700">
        <v>19427</v>
      </c>
      <c r="FO74" s="246">
        <f t="shared" si="292"/>
        <v>40149.133333333339</v>
      </c>
      <c r="FP74" s="117"/>
      <c r="FQ74" s="556">
        <v>0</v>
      </c>
      <c r="FR74" s="556">
        <v>0</v>
      </c>
      <c r="FS74" s="556"/>
      <c r="FT74" s="556"/>
      <c r="FU74" s="556"/>
      <c r="FV74" s="556"/>
      <c r="FW74" s="553"/>
      <c r="FX74" s="566"/>
      <c r="FY74" s="553" t="s">
        <v>802</v>
      </c>
      <c r="FZ74" s="553"/>
      <c r="GA74" s="121"/>
      <c r="GB74" s="121"/>
      <c r="GC74" s="121"/>
      <c r="GD74" s="121"/>
      <c r="GE74" s="121"/>
      <c r="GF74" s="53"/>
      <c r="GG74" s="280">
        <f t="shared" si="161"/>
        <v>44566</v>
      </c>
      <c r="GH74" s="280"/>
      <c r="GI74" s="53"/>
      <c r="GJ74" s="53"/>
      <c r="GK74" s="53"/>
      <c r="GL74" s="53"/>
      <c r="GM74" s="53"/>
      <c r="GN74" s="53"/>
      <c r="GO74" s="53"/>
      <c r="GP74" s="53"/>
      <c r="GQ74" s="53"/>
      <c r="GR74" s="53"/>
      <c r="GS74" s="53"/>
      <c r="GT74" s="53"/>
      <c r="GU74" s="53"/>
      <c r="GV74" s="112"/>
      <c r="GW74" s="112"/>
      <c r="GX74" s="93">
        <f>+HI74+HN74+HU74+IO74+HZ74</f>
        <v>6812399.6500000004</v>
      </c>
      <c r="GY74" s="67">
        <f t="shared" si="302"/>
        <v>7158473.7200000007</v>
      </c>
      <c r="GZ74" s="67">
        <f t="shared" si="303"/>
        <v>7158473.7200000007</v>
      </c>
      <c r="HA74" s="94">
        <f t="shared" si="276"/>
        <v>346074.0700000003</v>
      </c>
      <c r="HB74" s="49">
        <f t="shared" si="304"/>
        <v>2273.9029001620029</v>
      </c>
      <c r="HC74" s="49">
        <f t="shared" si="305"/>
        <v>183550.60820512823</v>
      </c>
      <c r="HD74" s="93"/>
      <c r="HE74" s="67"/>
      <c r="HF74" s="94">
        <f t="shared" si="277"/>
        <v>0</v>
      </c>
      <c r="HG74" s="128">
        <f t="shared" si="278"/>
        <v>0</v>
      </c>
      <c r="HH74" s="129">
        <v>0.4</v>
      </c>
      <c r="HI74" s="93">
        <v>1941014.63</v>
      </c>
      <c r="HJ74" s="67">
        <v>2287088.7000000002</v>
      </c>
      <c r="HK74" s="67"/>
      <c r="HL74" s="49">
        <f t="shared" si="279"/>
        <v>58643.3</v>
      </c>
      <c r="HM74" s="95"/>
      <c r="HN74" s="93">
        <f>HO74</f>
        <v>4130385.0200000005</v>
      </c>
      <c r="HO74" s="67">
        <f t="shared" si="306"/>
        <v>4130385.0200000005</v>
      </c>
      <c r="HP74" s="87">
        <v>1134693.1100000001</v>
      </c>
      <c r="HQ74" s="87">
        <v>2995691.91</v>
      </c>
      <c r="HR74" s="95">
        <f t="shared" si="280"/>
        <v>0</v>
      </c>
      <c r="HS74" s="630">
        <f t="shared" si="307"/>
        <v>105907.30820512821</v>
      </c>
      <c r="HT74" s="67"/>
      <c r="HU74" s="287">
        <v>741000</v>
      </c>
      <c r="HV74" s="67">
        <v>741000</v>
      </c>
      <c r="HW74" s="67"/>
      <c r="HX74" s="88">
        <f t="shared" si="172"/>
        <v>0.10351368587548575</v>
      </c>
      <c r="HY74" s="93"/>
      <c r="HZ74" s="67"/>
      <c r="IA74" s="89">
        <f t="shared" si="173"/>
        <v>0</v>
      </c>
      <c r="IB74" s="23">
        <f t="shared" si="174"/>
        <v>19000</v>
      </c>
      <c r="IC74" s="81">
        <f t="shared" si="175"/>
        <v>77643.3</v>
      </c>
      <c r="ID74" s="89">
        <f>IA74/AE74</f>
        <v>0</v>
      </c>
      <c r="IE74" s="90">
        <v>6.74</v>
      </c>
      <c r="IF74" s="90">
        <v>6.3</v>
      </c>
      <c r="IG74" s="91"/>
      <c r="IH74" s="91"/>
      <c r="II74" s="49">
        <f>(HI74+HU74+IH74)/AE74</f>
        <v>68769.605897435889</v>
      </c>
      <c r="IJ74" s="91"/>
      <c r="IK74" s="49">
        <f>(HJ74+HV74+IH74+IJ74)/AE74</f>
        <v>77643.3</v>
      </c>
      <c r="IL74" s="50">
        <f t="shared" si="272"/>
        <v>0.39369602016816496</v>
      </c>
      <c r="IM74" s="91"/>
      <c r="IN74" s="91"/>
      <c r="IO74" s="67">
        <f t="shared" si="273"/>
        <v>0</v>
      </c>
      <c r="IP74" s="41">
        <f t="shared" ref="IP74:IP79" si="308">GX74+IG74</f>
        <v>6812399.6500000004</v>
      </c>
      <c r="IQ74" s="231">
        <v>361938</v>
      </c>
      <c r="IR74" s="231">
        <f t="shared" si="275"/>
        <v>180970</v>
      </c>
      <c r="IS74" s="113">
        <v>43026</v>
      </c>
      <c r="IT74" s="314">
        <v>25896</v>
      </c>
      <c r="IU74" s="437">
        <v>43080</v>
      </c>
      <c r="IV74" s="625">
        <v>20695</v>
      </c>
      <c r="IW74" s="316">
        <v>43178</v>
      </c>
      <c r="IX74" s="314">
        <v>24757</v>
      </c>
      <c r="IY74" s="316">
        <v>43139</v>
      </c>
      <c r="IZ74" s="231">
        <v>31062</v>
      </c>
      <c r="JA74" s="316">
        <v>43272</v>
      </c>
      <c r="JB74" s="231">
        <v>36318</v>
      </c>
      <c r="JC74" s="113">
        <v>43375</v>
      </c>
      <c r="JD74" s="231">
        <v>42242</v>
      </c>
      <c r="JE74" s="684"/>
      <c r="JF74" s="294"/>
      <c r="JG74" s="276"/>
      <c r="JH74" s="277"/>
      <c r="JI74" s="276"/>
      <c r="JJ74" s="277"/>
      <c r="JK74" s="300"/>
      <c r="JL74" s="300"/>
      <c r="JM74" s="300"/>
      <c r="JN74" s="300"/>
      <c r="JO74" s="269"/>
      <c r="JP74" s="269"/>
      <c r="JQ74" s="269"/>
      <c r="JR74" s="269"/>
      <c r="JS74" s="269"/>
      <c r="JT74" s="269"/>
      <c r="JU74" s="314">
        <v>31062</v>
      </c>
      <c r="JV74" s="117"/>
      <c r="JW74" s="279"/>
      <c r="JX74" s="117"/>
      <c r="JY74" s="117"/>
      <c r="JZ74" s="279"/>
    </row>
    <row r="75" spans="1:286" ht="15" customHeight="1">
      <c r="A75" s="86" t="s">
        <v>553</v>
      </c>
      <c r="B75" s="86" t="s">
        <v>965</v>
      </c>
      <c r="C75" s="53" t="s">
        <v>39</v>
      </c>
      <c r="D75" s="53" t="s">
        <v>114</v>
      </c>
      <c r="E75" s="53">
        <v>2018</v>
      </c>
      <c r="F75" s="53" t="s">
        <v>555</v>
      </c>
      <c r="G75" s="53" t="s">
        <v>378</v>
      </c>
      <c r="H75" s="53" t="s">
        <v>181</v>
      </c>
      <c r="I75" s="55" t="s">
        <v>249</v>
      </c>
      <c r="J75" s="53"/>
      <c r="K75" s="53"/>
      <c r="L75" s="255"/>
      <c r="M75" s="166"/>
      <c r="N75" s="167"/>
      <c r="O75" s="168"/>
      <c r="P75" s="207">
        <v>1627</v>
      </c>
      <c r="Q75" s="207">
        <v>154050</v>
      </c>
      <c r="R75" s="207">
        <v>154050</v>
      </c>
      <c r="S75" s="207" t="e">
        <f>Q75/AJ75</f>
        <v>#DIV/0!</v>
      </c>
      <c r="T75" s="207">
        <f t="shared" si="295"/>
        <v>94.683466502765825</v>
      </c>
      <c r="U75" s="213">
        <f t="shared" si="296"/>
        <v>94.683466502765825</v>
      </c>
      <c r="V75" s="213">
        <f t="shared" si="297"/>
        <v>98.772160420607179</v>
      </c>
      <c r="W75" s="213">
        <f t="shared" si="298"/>
        <v>9061.7647058823532</v>
      </c>
      <c r="X75" s="207">
        <f t="shared" si="299"/>
        <v>95.705882352941174</v>
      </c>
      <c r="Y75" s="208"/>
      <c r="Z75" s="904">
        <f t="shared" si="282"/>
        <v>104.48678549477566</v>
      </c>
      <c r="AA75" s="208"/>
      <c r="AB75" s="208"/>
      <c r="AC75" s="209"/>
      <c r="AD75" s="53" t="s">
        <v>15</v>
      </c>
      <c r="AE75" s="771">
        <f t="shared" si="130"/>
        <v>17</v>
      </c>
      <c r="AF75" s="771">
        <f t="shared" si="131"/>
        <v>17</v>
      </c>
      <c r="AG75" s="53">
        <v>17</v>
      </c>
      <c r="AH75" s="64"/>
      <c r="AI75" s="64"/>
      <c r="AJ75" s="125"/>
      <c r="AK75" s="269"/>
      <c r="AL75" s="57">
        <v>1598.71</v>
      </c>
      <c r="AM75" s="57"/>
      <c r="AN75" s="92">
        <v>1559.65</v>
      </c>
      <c r="AO75" s="57">
        <f t="shared" si="300"/>
        <v>91.744117647058829</v>
      </c>
      <c r="AP75" s="78"/>
      <c r="AQ75" s="78">
        <f>4/AE75</f>
        <v>0.23529411764705882</v>
      </c>
      <c r="AR75" s="78">
        <f>6/AE75</f>
        <v>0.35294117647058826</v>
      </c>
      <c r="AS75" s="78">
        <f>5/AE75</f>
        <v>0.29411764705882354</v>
      </c>
      <c r="AT75" s="78">
        <f>2/AE75</f>
        <v>0.11764705882352941</v>
      </c>
      <c r="AU75" s="57"/>
      <c r="AV75" s="76"/>
      <c r="AW75" s="78"/>
      <c r="AX75" s="57"/>
      <c r="AY75" s="53" t="s">
        <v>549</v>
      </c>
      <c r="AZ75" s="53" t="s">
        <v>120</v>
      </c>
      <c r="BA75" s="53"/>
      <c r="BB75" s="53"/>
      <c r="BC75" s="53"/>
      <c r="BD75" s="237">
        <v>42978</v>
      </c>
      <c r="BE75" s="184">
        <v>43308</v>
      </c>
      <c r="BF75" s="110" t="s">
        <v>168</v>
      </c>
      <c r="BG75" s="110"/>
      <c r="BH75" s="97"/>
      <c r="BI75" s="204">
        <v>43334</v>
      </c>
      <c r="BJ75" s="99"/>
      <c r="BK75" s="99"/>
      <c r="BL75" s="204"/>
      <c r="BM75" s="99"/>
      <c r="BN75" s="690">
        <v>43347</v>
      </c>
      <c r="BO75" s="711">
        <f t="shared" si="285"/>
        <v>43377</v>
      </c>
      <c r="BP75" s="690">
        <f t="shared" si="256"/>
        <v>43469</v>
      </c>
      <c r="BQ75" s="161"/>
      <c r="BR75" s="299">
        <f t="shared" si="257"/>
        <v>43377</v>
      </c>
      <c r="BS75" s="298">
        <f t="shared" si="258"/>
        <v>44108</v>
      </c>
      <c r="BT75" s="298">
        <f t="shared" si="259"/>
        <v>44473</v>
      </c>
      <c r="BU75" s="672">
        <f>44432+6307</f>
        <v>50739</v>
      </c>
      <c r="BV75" s="298" t="str">
        <f t="shared" si="301"/>
        <v>non</v>
      </c>
      <c r="BW75" s="672">
        <f t="shared" si="136"/>
        <v>7</v>
      </c>
      <c r="BX75" s="672">
        <f t="shared" si="137"/>
        <v>69762</v>
      </c>
      <c r="BY75" s="672">
        <f t="shared" si="138"/>
        <v>0</v>
      </c>
      <c r="BZ75" s="824"/>
      <c r="CA75" s="832"/>
      <c r="CB75" s="826"/>
      <c r="CC75" s="826"/>
      <c r="CD75" s="826"/>
      <c r="CE75" s="826"/>
      <c r="CF75" s="819"/>
      <c r="CG75" s="819"/>
      <c r="CH75" s="819"/>
      <c r="CI75" s="819"/>
      <c r="CJ75" s="819"/>
      <c r="CK75" s="819"/>
      <c r="CL75" s="819"/>
      <c r="CM75" s="819"/>
      <c r="CN75" s="819"/>
      <c r="CO75" s="819"/>
      <c r="CP75" s="819"/>
      <c r="CQ75" s="819"/>
      <c r="CR75" s="819"/>
      <c r="CS75" s="159"/>
      <c r="CT75" s="250"/>
      <c r="CU75" s="250"/>
      <c r="CV75" s="158"/>
      <c r="CW75" s="250"/>
      <c r="CX75" s="250"/>
      <c r="CY75" s="250"/>
      <c r="CZ75" s="250" t="s">
        <v>168</v>
      </c>
      <c r="DA75" s="598"/>
      <c r="DB75" s="315">
        <v>42927</v>
      </c>
      <c r="DC75" s="122">
        <v>42942</v>
      </c>
      <c r="DD75" s="122">
        <v>42927</v>
      </c>
      <c r="DE75" s="523">
        <f t="shared" si="139"/>
        <v>-15</v>
      </c>
      <c r="DF75" s="122">
        <v>43140</v>
      </c>
      <c r="DG75" s="122">
        <v>43138</v>
      </c>
      <c r="DH75" s="523">
        <f t="shared" si="140"/>
        <v>-2</v>
      </c>
      <c r="DI75" s="122">
        <v>43069</v>
      </c>
      <c r="DJ75" s="122">
        <v>43073</v>
      </c>
      <c r="DK75" s="523">
        <f t="shared" si="141"/>
        <v>4</v>
      </c>
      <c r="DL75" s="543">
        <v>43125</v>
      </c>
      <c r="DM75" s="543">
        <f ca="1">IF(DL75&lt;TODAY(),TODAY(),DL75)</f>
        <v>43423</v>
      </c>
      <c r="DN75" s="545">
        <f t="shared" ca="1" si="142"/>
        <v>298</v>
      </c>
      <c r="DO75" s="543">
        <v>43245</v>
      </c>
      <c r="DP75" s="543">
        <f ca="1">IF(DO75&lt;TODAY(),TODAY(),DO75)</f>
        <v>43423</v>
      </c>
      <c r="DQ75" s="545">
        <f t="shared" ca="1" si="143"/>
        <v>178</v>
      </c>
      <c r="DR75" s="451"/>
      <c r="DS75" s="540">
        <v>43416</v>
      </c>
      <c r="DT75" s="527">
        <v>43552</v>
      </c>
      <c r="DU75" s="533">
        <f t="shared" ca="1" si="260"/>
        <v>43552</v>
      </c>
      <c r="DV75" s="529">
        <f t="shared" ca="1" si="144"/>
        <v>0</v>
      </c>
      <c r="DW75" s="527">
        <v>43567</v>
      </c>
      <c r="DX75" s="686">
        <v>43579</v>
      </c>
      <c r="DY75" s="344"/>
      <c r="DZ75" s="442">
        <f t="shared" si="286"/>
        <v>8.1666666666666661</v>
      </c>
      <c r="EA75" s="529">
        <f t="shared" si="287"/>
        <v>12</v>
      </c>
      <c r="EB75" s="687">
        <v>16</v>
      </c>
      <c r="EC75" s="241">
        <f t="shared" si="288"/>
        <v>19</v>
      </c>
      <c r="ED75" s="527"/>
      <c r="EE75" s="533">
        <f t="shared" ca="1" si="261"/>
        <v>43423</v>
      </c>
      <c r="EF75" s="529" t="str">
        <f t="shared" ca="1" si="289"/>
        <v>0</v>
      </c>
      <c r="EG75" s="527"/>
      <c r="EH75" s="551">
        <f t="shared" ca="1" si="262"/>
        <v>43423</v>
      </c>
      <c r="EI75" s="530" t="str">
        <f t="shared" ca="1" si="149"/>
        <v>0</v>
      </c>
      <c r="EJ75" s="531"/>
      <c r="EK75" s="533">
        <f t="shared" ca="1" si="263"/>
        <v>43423</v>
      </c>
      <c r="EL75" s="529" t="str">
        <f t="shared" ca="1" si="290"/>
        <v>0</v>
      </c>
      <c r="EM75" s="533"/>
      <c r="EN75" s="533">
        <f t="shared" ca="1" si="264"/>
        <v>43423</v>
      </c>
      <c r="EO75" s="529" t="str">
        <f t="shared" ca="1" si="151"/>
        <v>0</v>
      </c>
      <c r="EP75" s="533"/>
      <c r="EQ75" s="533">
        <f t="shared" ca="1" si="293"/>
        <v>43423</v>
      </c>
      <c r="ER75" s="529" t="str">
        <f t="shared" ca="1" si="152"/>
        <v>0</v>
      </c>
      <c r="ES75" s="533"/>
      <c r="ET75" s="533">
        <f t="shared" ca="1" si="294"/>
        <v>43423</v>
      </c>
      <c r="EU75" s="529" t="str">
        <f t="shared" ca="1" si="153"/>
        <v>0</v>
      </c>
      <c r="EV75" s="533"/>
      <c r="EW75" s="533">
        <f t="shared" ca="1" si="265"/>
        <v>43423</v>
      </c>
      <c r="EX75" s="529" t="str">
        <f t="shared" ca="1" si="154"/>
        <v>0</v>
      </c>
      <c r="EY75" s="533"/>
      <c r="EZ75" s="533"/>
      <c r="FA75" s="533"/>
      <c r="FB75" s="731">
        <f t="shared" si="155"/>
        <v>44067</v>
      </c>
      <c r="FC75" s="730">
        <f>DATE(YEAR(FB75),MONTH(FB75)+3,DAY(FB75))</f>
        <v>44159</v>
      </c>
      <c r="FD75" s="730">
        <f t="shared" si="291"/>
        <v>3.0666666666666669</v>
      </c>
      <c r="FE75" s="730"/>
      <c r="FF75" s="730"/>
      <c r="FG75" s="730"/>
      <c r="FH75" s="730">
        <f t="shared" ref="FH75:FH82" si="309">DATE(YEAR(FC75),MONTH(FC75)+1,DAY(FC75))</f>
        <v>44189</v>
      </c>
      <c r="FI75" s="730"/>
      <c r="FJ75" s="730">
        <f t="shared" si="266"/>
        <v>44098</v>
      </c>
      <c r="FK75" s="730">
        <f>DATE(YEAR(FH75),MONTH(FH75)+2,DAY(FH75))</f>
        <v>44251</v>
      </c>
      <c r="FL75" s="574"/>
      <c r="FM75" s="724">
        <f t="shared" si="267"/>
        <v>5.0999999999999996</v>
      </c>
      <c r="FN75" s="700">
        <v>9966</v>
      </c>
      <c r="FO75" s="246">
        <f t="shared" si="292"/>
        <v>50826.6</v>
      </c>
      <c r="FP75" s="117"/>
      <c r="FQ75" s="556">
        <v>0</v>
      </c>
      <c r="FR75" s="556">
        <v>0</v>
      </c>
      <c r="FS75" s="556"/>
      <c r="FT75" s="556"/>
      <c r="FU75" s="556"/>
      <c r="FV75" s="556"/>
      <c r="FW75" s="553"/>
      <c r="FX75" s="566"/>
      <c r="FY75" s="553" t="s">
        <v>715</v>
      </c>
      <c r="FZ75" s="553"/>
      <c r="GA75" s="121"/>
      <c r="GB75" s="121"/>
      <c r="GC75" s="121"/>
      <c r="GD75" s="121"/>
      <c r="GE75" s="121"/>
      <c r="GF75" s="53"/>
      <c r="GG75" s="280">
        <f t="shared" si="161"/>
        <v>44524</v>
      </c>
      <c r="GH75" s="280"/>
      <c r="GI75" s="53"/>
      <c r="GJ75" s="53"/>
      <c r="GK75" s="53"/>
      <c r="GL75" s="53"/>
      <c r="GM75" s="53"/>
      <c r="GN75" s="53"/>
      <c r="GO75" s="53"/>
      <c r="GP75" s="53"/>
      <c r="GQ75" s="53"/>
      <c r="GR75" s="53"/>
      <c r="GS75" s="53"/>
      <c r="GT75" s="53"/>
      <c r="GU75" s="53"/>
      <c r="GV75" s="112"/>
      <c r="GW75" s="112"/>
      <c r="GX75" s="93">
        <f>+HI75+HN75+HU75+IO75+HZ75</f>
        <v>3121942</v>
      </c>
      <c r="GY75" s="67">
        <f t="shared" si="302"/>
        <v>3091517</v>
      </c>
      <c r="GZ75" s="67">
        <f t="shared" si="303"/>
        <v>3091517</v>
      </c>
      <c r="HA75" s="94">
        <f t="shared" si="276"/>
        <v>-30425</v>
      </c>
      <c r="HB75" s="49">
        <f t="shared" si="304"/>
        <v>1933.7572167560095</v>
      </c>
      <c r="HC75" s="49">
        <f t="shared" si="305"/>
        <v>181853.9411764706</v>
      </c>
      <c r="HD75" s="93"/>
      <c r="HE75" s="67"/>
      <c r="HF75" s="94">
        <f t="shared" si="277"/>
        <v>0</v>
      </c>
      <c r="HG75" s="128">
        <f t="shared" si="278"/>
        <v>0</v>
      </c>
      <c r="HH75" s="129">
        <v>0.4</v>
      </c>
      <c r="HI75" s="93">
        <v>904384</v>
      </c>
      <c r="HJ75" s="67">
        <v>958221</v>
      </c>
      <c r="HK75" s="67"/>
      <c r="HL75" s="49">
        <f t="shared" si="279"/>
        <v>56365.941176470587</v>
      </c>
      <c r="HM75" s="95"/>
      <c r="HN75" s="93">
        <v>1890358</v>
      </c>
      <c r="HO75" s="67">
        <f t="shared" si="306"/>
        <v>1806096</v>
      </c>
      <c r="HP75" s="87">
        <v>267301</v>
      </c>
      <c r="HQ75" s="87">
        <v>1538795</v>
      </c>
      <c r="HR75" s="95">
        <f t="shared" si="280"/>
        <v>-84262</v>
      </c>
      <c r="HS75" s="630">
        <f t="shared" si="307"/>
        <v>106240.94117647059</v>
      </c>
      <c r="HT75" s="67"/>
      <c r="HU75" s="287">
        <v>323000</v>
      </c>
      <c r="HV75" s="67">
        <v>323000</v>
      </c>
      <c r="HW75" s="67"/>
      <c r="HX75" s="88">
        <f t="shared" si="172"/>
        <v>0.10447945135025943</v>
      </c>
      <c r="HY75" s="93"/>
      <c r="HZ75" s="67">
        <v>4200</v>
      </c>
      <c r="IA75" s="89">
        <f t="shared" si="173"/>
        <v>0</v>
      </c>
      <c r="IB75" s="23">
        <f t="shared" si="174"/>
        <v>19000</v>
      </c>
      <c r="IC75" s="81">
        <f t="shared" si="175"/>
        <v>75365.941176470587</v>
      </c>
      <c r="ID75" s="89" t="e">
        <f>IA75/AJ75</f>
        <v>#DIV/0!</v>
      </c>
      <c r="IE75" s="90">
        <v>6.39</v>
      </c>
      <c r="IF75" s="90">
        <v>5.35</v>
      </c>
      <c r="IG75" s="91"/>
      <c r="IH75" s="91"/>
      <c r="II75" s="49" t="e">
        <f>(HI75+HU75+IH75)/AJ75</f>
        <v>#DIV/0!</v>
      </c>
      <c r="IJ75" s="91"/>
      <c r="IK75" s="49" t="e">
        <f>(HJ75+HV75+IH75+IJ75)/AJ75</f>
        <v>#DIV/0!</v>
      </c>
      <c r="IL75" s="50">
        <f t="shared" si="272"/>
        <v>0.39314759851400188</v>
      </c>
      <c r="IM75" s="91"/>
      <c r="IN75" s="91"/>
      <c r="IO75" s="67">
        <f t="shared" si="273"/>
        <v>0</v>
      </c>
      <c r="IP75" s="96">
        <f t="shared" si="308"/>
        <v>3121942</v>
      </c>
      <c r="IQ75" s="277">
        <v>156188</v>
      </c>
      <c r="IR75" s="277">
        <f t="shared" si="275"/>
        <v>76649</v>
      </c>
      <c r="IS75" s="236">
        <v>42877</v>
      </c>
      <c r="IT75" s="326">
        <v>15110</v>
      </c>
      <c r="IU75" s="437">
        <v>43090</v>
      </c>
      <c r="IV75" s="313">
        <v>7809</v>
      </c>
      <c r="IW75" s="316">
        <v>43073</v>
      </c>
      <c r="IX75" s="314">
        <v>8318</v>
      </c>
      <c r="IY75" s="316">
        <v>43145</v>
      </c>
      <c r="IZ75" s="314">
        <v>15619</v>
      </c>
      <c r="JA75" s="316">
        <v>43193</v>
      </c>
      <c r="JB75" s="314">
        <v>14463</v>
      </c>
      <c r="JC75" s="113">
        <v>43272</v>
      </c>
      <c r="JD75" s="231">
        <v>15330</v>
      </c>
      <c r="JE75" s="437"/>
      <c r="JF75" s="313"/>
      <c r="JG75" s="121"/>
      <c r="JH75" s="385"/>
      <c r="JI75" s="121"/>
      <c r="JJ75" s="385"/>
      <c r="JK75" s="53"/>
      <c r="JL75" s="53"/>
      <c r="JM75" s="53"/>
      <c r="JN75" s="53"/>
      <c r="JO75" s="53"/>
      <c r="JP75" s="53"/>
      <c r="JQ75" s="53"/>
      <c r="JR75" s="53"/>
      <c r="JS75" s="53"/>
      <c r="JT75" s="53"/>
      <c r="JU75" s="314">
        <v>15619</v>
      </c>
      <c r="JV75" s="280"/>
      <c r="JW75" s="53"/>
      <c r="JX75" s="280"/>
      <c r="JY75" s="280"/>
      <c r="JZ75" s="53"/>
    </row>
    <row r="76" spans="1:286" ht="15" customHeight="1">
      <c r="A76" s="86" t="s">
        <v>566</v>
      </c>
      <c r="B76" s="86" t="s">
        <v>965</v>
      </c>
      <c r="C76" s="53" t="s">
        <v>45</v>
      </c>
      <c r="D76" s="53" t="s">
        <v>112</v>
      </c>
      <c r="E76" s="53">
        <v>2016</v>
      </c>
      <c r="F76" s="53" t="s">
        <v>305</v>
      </c>
      <c r="G76" s="53" t="s">
        <v>317</v>
      </c>
      <c r="H76" s="7" t="s">
        <v>463</v>
      </c>
      <c r="I76" s="53" t="s">
        <v>249</v>
      </c>
      <c r="J76" s="53"/>
      <c r="K76" s="53" t="s">
        <v>351</v>
      </c>
      <c r="L76" s="255" t="s">
        <v>624</v>
      </c>
      <c r="M76" s="166"/>
      <c r="N76" s="167"/>
      <c r="O76" s="168"/>
      <c r="P76" s="207">
        <v>2307</v>
      </c>
      <c r="Q76" s="207">
        <v>184560</v>
      </c>
      <c r="R76" s="207">
        <v>184560</v>
      </c>
      <c r="S76" s="207">
        <f t="shared" ref="S76:S89" si="310">Q76/AE76</f>
        <v>10253.333333333334</v>
      </c>
      <c r="T76" s="207">
        <f t="shared" si="295"/>
        <v>80</v>
      </c>
      <c r="U76" s="213">
        <f t="shared" si="296"/>
        <v>80</v>
      </c>
      <c r="V76" s="213">
        <f t="shared" si="297"/>
        <v>136.34953235124632</v>
      </c>
      <c r="W76" s="213">
        <f t="shared" si="298"/>
        <v>10253.333333333334</v>
      </c>
      <c r="X76" s="207">
        <f t="shared" si="299"/>
        <v>128.16666666666666</v>
      </c>
      <c r="Y76" s="208"/>
      <c r="Z76" s="907">
        <f t="shared" si="282"/>
        <v>78.023407022106639</v>
      </c>
      <c r="AA76" s="208"/>
      <c r="AB76" s="208">
        <v>380</v>
      </c>
      <c r="AC76" s="209"/>
      <c r="AD76" s="53" t="s">
        <v>16</v>
      </c>
      <c r="AE76" s="771">
        <f t="shared" si="130"/>
        <v>18</v>
      </c>
      <c r="AF76" s="771">
        <f t="shared" si="131"/>
        <v>18</v>
      </c>
      <c r="AG76" s="64"/>
      <c r="AH76" s="53">
        <v>18</v>
      </c>
      <c r="AI76" s="53"/>
      <c r="AJ76" s="53"/>
      <c r="AK76" s="269"/>
      <c r="AL76" s="57">
        <v>1427.7</v>
      </c>
      <c r="AM76" s="57"/>
      <c r="AN76" s="92">
        <v>1353.58</v>
      </c>
      <c r="AO76" s="57">
        <f t="shared" si="300"/>
        <v>75.198888888888888</v>
      </c>
      <c r="AP76" s="78">
        <f>2/AE76</f>
        <v>0.1111111111111111</v>
      </c>
      <c r="AQ76" s="78">
        <f>6/AE76</f>
        <v>0.33333333333333331</v>
      </c>
      <c r="AR76" s="78">
        <f>7/AE76</f>
        <v>0.3888888888888889</v>
      </c>
      <c r="AS76" s="78">
        <f>3/AE76</f>
        <v>0.16666666666666666</v>
      </c>
      <c r="AT76" s="78"/>
      <c r="AU76" s="57"/>
      <c r="AV76" s="76"/>
      <c r="AW76" s="78"/>
      <c r="AX76" s="57"/>
      <c r="AY76" s="56" t="s">
        <v>549</v>
      </c>
      <c r="AZ76" s="53" t="s">
        <v>120</v>
      </c>
      <c r="BA76" s="53"/>
      <c r="BB76" s="53"/>
      <c r="BC76" s="53"/>
      <c r="BD76" s="236">
        <v>42396</v>
      </c>
      <c r="BE76" s="236">
        <v>42475</v>
      </c>
      <c r="BF76" s="110" t="s">
        <v>168</v>
      </c>
      <c r="BG76" s="110"/>
      <c r="BH76" s="97"/>
      <c r="BI76" s="204">
        <v>42620</v>
      </c>
      <c r="BJ76" s="99">
        <v>42646</v>
      </c>
      <c r="BK76" s="99"/>
      <c r="BL76" s="204"/>
      <c r="BM76" s="99"/>
      <c r="BN76" s="161">
        <v>43434</v>
      </c>
      <c r="BO76" s="203">
        <f t="shared" si="285"/>
        <v>43464</v>
      </c>
      <c r="BP76" s="161">
        <f t="shared" si="256"/>
        <v>43554</v>
      </c>
      <c r="BQ76" s="161"/>
      <c r="BR76" s="299">
        <f t="shared" si="257"/>
        <v>43464</v>
      </c>
      <c r="BS76" s="298">
        <f t="shared" si="258"/>
        <v>44195</v>
      </c>
      <c r="BT76" s="298">
        <f t="shared" si="259"/>
        <v>44560</v>
      </c>
      <c r="BU76" s="672">
        <f>7537+37313</f>
        <v>44850</v>
      </c>
      <c r="BV76" s="298" t="str">
        <f t="shared" si="301"/>
        <v>non</v>
      </c>
      <c r="BW76" s="672">
        <f t="shared" si="136"/>
        <v>8</v>
      </c>
      <c r="BX76" s="672">
        <f t="shared" si="137"/>
        <v>58296</v>
      </c>
      <c r="BY76" s="672">
        <f t="shared" si="138"/>
        <v>0</v>
      </c>
      <c r="BZ76" s="824"/>
      <c r="CA76" s="832"/>
      <c r="CB76" s="826"/>
      <c r="CC76" s="826"/>
      <c r="CD76" s="826"/>
      <c r="CE76" s="826"/>
      <c r="CF76" s="819"/>
      <c r="CG76" s="819"/>
      <c r="CH76" s="819"/>
      <c r="CI76" s="819"/>
      <c r="CJ76" s="819"/>
      <c r="CK76" s="819"/>
      <c r="CL76" s="819"/>
      <c r="CM76" s="819"/>
      <c r="CN76" s="819"/>
      <c r="CO76" s="819"/>
      <c r="CP76" s="819"/>
      <c r="CQ76" s="819"/>
      <c r="CR76" s="819"/>
      <c r="CS76" s="159"/>
      <c r="CT76" s="250"/>
      <c r="CU76" s="250"/>
      <c r="CV76" s="158"/>
      <c r="CW76" s="250"/>
      <c r="CX76" s="250"/>
      <c r="CY76" s="250"/>
      <c r="CZ76" s="250" t="s">
        <v>168</v>
      </c>
      <c r="DA76" s="598"/>
      <c r="DB76" s="122">
        <v>42292</v>
      </c>
      <c r="DC76" s="122">
        <v>42307</v>
      </c>
      <c r="DD76" s="122">
        <v>42292</v>
      </c>
      <c r="DE76" s="523">
        <f t="shared" si="139"/>
        <v>-15</v>
      </c>
      <c r="DF76" s="122">
        <v>42412</v>
      </c>
      <c r="DG76" s="122">
        <v>42412</v>
      </c>
      <c r="DH76" s="523">
        <f t="shared" si="140"/>
        <v>0</v>
      </c>
      <c r="DI76" s="122">
        <v>42454</v>
      </c>
      <c r="DJ76" s="315">
        <v>42593</v>
      </c>
      <c r="DK76" s="523">
        <f t="shared" si="141"/>
        <v>139</v>
      </c>
      <c r="DL76" s="122">
        <v>42472</v>
      </c>
      <c r="DM76" s="315">
        <v>42690</v>
      </c>
      <c r="DN76" s="523">
        <f t="shared" si="142"/>
        <v>218</v>
      </c>
      <c r="DO76" s="122">
        <v>42727</v>
      </c>
      <c r="DP76" s="122">
        <v>42905</v>
      </c>
      <c r="DQ76" s="523">
        <f t="shared" si="143"/>
        <v>178</v>
      </c>
      <c r="DR76" s="451"/>
      <c r="DS76" s="549"/>
      <c r="DT76" s="537">
        <v>43136</v>
      </c>
      <c r="DU76" s="533">
        <f t="shared" ca="1" si="260"/>
        <v>43423</v>
      </c>
      <c r="DV76" s="529">
        <f t="shared" ca="1" si="144"/>
        <v>287</v>
      </c>
      <c r="DW76" s="537">
        <v>43151</v>
      </c>
      <c r="DX76" s="686">
        <v>43661</v>
      </c>
      <c r="DY76" s="344"/>
      <c r="DZ76" s="442">
        <f t="shared" si="286"/>
        <v>34.700000000000003</v>
      </c>
      <c r="EA76" s="529">
        <f t="shared" si="287"/>
        <v>510</v>
      </c>
      <c r="EB76" s="687">
        <v>16</v>
      </c>
      <c r="EC76" s="241">
        <f t="shared" si="288"/>
        <v>19</v>
      </c>
      <c r="ED76" s="527"/>
      <c r="EE76" s="533">
        <f t="shared" ca="1" si="261"/>
        <v>43423</v>
      </c>
      <c r="EF76" s="529" t="str">
        <f t="shared" ca="1" si="289"/>
        <v>0</v>
      </c>
      <c r="EG76" s="527"/>
      <c r="EH76" s="551">
        <f t="shared" ca="1" si="262"/>
        <v>43423</v>
      </c>
      <c r="EI76" s="530" t="str">
        <f t="shared" ca="1" si="149"/>
        <v>0</v>
      </c>
      <c r="EJ76" s="533"/>
      <c r="EK76" s="533">
        <f t="shared" ca="1" si="263"/>
        <v>43423</v>
      </c>
      <c r="EL76" s="529" t="str">
        <f t="shared" ca="1" si="290"/>
        <v>0</v>
      </c>
      <c r="EM76" s="533"/>
      <c r="EN76" s="533">
        <f t="shared" ca="1" si="264"/>
        <v>43423</v>
      </c>
      <c r="EO76" s="529" t="str">
        <f t="shared" ca="1" si="151"/>
        <v>0</v>
      </c>
      <c r="EP76" s="535"/>
      <c r="EQ76" s="535"/>
      <c r="ER76" s="529" t="str">
        <f t="shared" si="152"/>
        <v>0</v>
      </c>
      <c r="ES76" s="533"/>
      <c r="ET76" s="533"/>
      <c r="EU76" s="529" t="str">
        <f t="shared" si="153"/>
        <v>0</v>
      </c>
      <c r="EV76" s="535"/>
      <c r="EW76" s="533">
        <f t="shared" ca="1" si="265"/>
        <v>43423</v>
      </c>
      <c r="EX76" s="529" t="str">
        <f t="shared" ca="1" si="154"/>
        <v>0</v>
      </c>
      <c r="EY76" s="533"/>
      <c r="EZ76" s="533"/>
      <c r="FA76" s="533"/>
      <c r="FB76" s="616">
        <f t="shared" si="155"/>
        <v>44150</v>
      </c>
      <c r="FC76" s="730">
        <f>DATE(YEAR(FB76),MONTH(FB76)+3,DAY(FB76))</f>
        <v>44242</v>
      </c>
      <c r="FD76" s="730">
        <f t="shared" si="291"/>
        <v>3.0666666666666669</v>
      </c>
      <c r="FE76" s="730">
        <f>DATE(YEAR(CY76)+2,MONTH(CY76),DAY(CY76))</f>
        <v>731</v>
      </c>
      <c r="FF76" s="730"/>
      <c r="FG76" s="730"/>
      <c r="FH76" s="730">
        <f t="shared" si="309"/>
        <v>44270</v>
      </c>
      <c r="FI76" s="730"/>
      <c r="FJ76" s="730">
        <f t="shared" si="266"/>
        <v>44180</v>
      </c>
      <c r="FK76" s="730">
        <f>DATE(YEAR(FH76),MONTH(FH76)+1,DAY(FH76))</f>
        <v>44301</v>
      </c>
      <c r="FL76" s="574"/>
      <c r="FM76" s="724">
        <f t="shared" si="267"/>
        <v>4.0333333333333332</v>
      </c>
      <c r="FN76" s="700">
        <v>7287</v>
      </c>
      <c r="FO76" s="246">
        <f t="shared" si="292"/>
        <v>29390.899999999998</v>
      </c>
      <c r="FP76" s="117"/>
      <c r="FQ76" s="556">
        <v>0</v>
      </c>
      <c r="FR76" s="556">
        <v>0</v>
      </c>
      <c r="FS76" s="556"/>
      <c r="FT76" s="556"/>
      <c r="FU76" s="556"/>
      <c r="FV76" s="556"/>
      <c r="FW76" s="553"/>
      <c r="FX76" s="566"/>
      <c r="FY76" s="566" t="s">
        <v>171</v>
      </c>
      <c r="FZ76" s="553"/>
      <c r="GA76" s="121"/>
      <c r="GB76" s="121"/>
      <c r="GC76" s="121"/>
      <c r="GD76" s="121"/>
      <c r="GE76" s="121"/>
      <c r="GF76" s="53"/>
      <c r="GG76" s="280">
        <f t="shared" si="161"/>
        <v>44607</v>
      </c>
      <c r="GH76" s="280"/>
      <c r="GI76" s="53"/>
      <c r="GJ76" s="53"/>
      <c r="GK76" s="53"/>
      <c r="GL76" s="53"/>
      <c r="GM76" s="53"/>
      <c r="GN76" s="53"/>
      <c r="GO76" s="53"/>
      <c r="GP76" s="53"/>
      <c r="GQ76" s="53"/>
      <c r="GR76" s="53"/>
      <c r="GS76" s="53"/>
      <c r="GT76" s="53"/>
      <c r="GU76" s="53"/>
      <c r="GV76" s="112"/>
      <c r="GW76" s="112"/>
      <c r="GX76" s="93">
        <f>+HI76+HN76+HU76+IO76</f>
        <v>2835176.7292601359</v>
      </c>
      <c r="GY76" s="67">
        <f t="shared" si="302"/>
        <v>2990819</v>
      </c>
      <c r="GZ76" s="797">
        <f t="shared" si="303"/>
        <v>2990819</v>
      </c>
      <c r="HA76" s="94">
        <f t="shared" si="276"/>
        <v>155642.27073986409</v>
      </c>
      <c r="HB76" s="49">
        <f t="shared" si="304"/>
        <v>2094.8511592071163</v>
      </c>
      <c r="HC76" s="49">
        <f t="shared" si="305"/>
        <v>166156.61111111112</v>
      </c>
      <c r="HD76" s="93">
        <v>2485795.7500000005</v>
      </c>
      <c r="HE76" s="67">
        <v>2579834.0699999998</v>
      </c>
      <c r="HF76" s="94">
        <f t="shared" si="277"/>
        <v>94038.319999999367</v>
      </c>
      <c r="HG76" s="128">
        <f t="shared" si="278"/>
        <v>0.88069876026265714</v>
      </c>
      <c r="HH76" s="129">
        <v>0.4</v>
      </c>
      <c r="HI76" s="93">
        <v>896735</v>
      </c>
      <c r="HJ76" s="67">
        <v>1097604</v>
      </c>
      <c r="HK76" s="645"/>
      <c r="HL76" s="49">
        <f t="shared" si="279"/>
        <v>60978</v>
      </c>
      <c r="HM76" s="95">
        <f>HJ76-HI76</f>
        <v>200869</v>
      </c>
      <c r="HN76" s="93">
        <v>1668441.7292601359</v>
      </c>
      <c r="HO76" s="67">
        <f t="shared" si="306"/>
        <v>1611685</v>
      </c>
      <c r="HP76" s="87">
        <v>319456</v>
      </c>
      <c r="HQ76" s="87">
        <v>1292229</v>
      </c>
      <c r="HR76" s="95">
        <f t="shared" si="280"/>
        <v>-56756.729260135908</v>
      </c>
      <c r="HS76" s="630">
        <f t="shared" si="307"/>
        <v>89538.055555555562</v>
      </c>
      <c r="HT76" s="67"/>
      <c r="HU76" s="93">
        <v>270000</v>
      </c>
      <c r="HV76" s="67">
        <f>HU76</f>
        <v>270000</v>
      </c>
      <c r="HW76" s="67"/>
      <c r="HX76" s="40">
        <f t="shared" si="172"/>
        <v>9.0276275495106861E-2</v>
      </c>
      <c r="HY76" s="303"/>
      <c r="HZ76" s="67">
        <v>11530</v>
      </c>
      <c r="IA76" s="89">
        <f t="shared" si="173"/>
        <v>0</v>
      </c>
      <c r="IB76" s="23">
        <f t="shared" si="174"/>
        <v>15000</v>
      </c>
      <c r="IC76" s="81">
        <f t="shared" si="175"/>
        <v>75978</v>
      </c>
      <c r="ID76" s="89">
        <f>IA76/AE76</f>
        <v>0</v>
      </c>
      <c r="IE76" s="90">
        <v>5.36</v>
      </c>
      <c r="IF76" s="90">
        <v>5.36</v>
      </c>
      <c r="IG76" s="91"/>
      <c r="IH76" s="91"/>
      <c r="II76" s="49">
        <f>(HI76+HU76+IH76)/AE76</f>
        <v>64818.611111111109</v>
      </c>
      <c r="IJ76" s="91"/>
      <c r="IK76" s="49">
        <f>(HJ76+HV76+IH76+IJ76)/AE76</f>
        <v>75978</v>
      </c>
      <c r="IL76" s="50">
        <f t="shared" si="272"/>
        <v>0.41152108366255874</v>
      </c>
      <c r="IM76" s="91"/>
      <c r="IN76" s="91"/>
      <c r="IO76" s="67">
        <f t="shared" si="273"/>
        <v>0</v>
      </c>
      <c r="IP76" s="41">
        <f t="shared" si="308"/>
        <v>2835176.7292601359</v>
      </c>
      <c r="IQ76" s="277">
        <v>140149</v>
      </c>
      <c r="IR76" s="277">
        <f t="shared" si="275"/>
        <v>70074</v>
      </c>
      <c r="IS76" s="113">
        <v>42430</v>
      </c>
      <c r="IT76" s="231"/>
      <c r="IU76" s="231"/>
      <c r="IV76" s="113"/>
      <c r="IW76" s="113">
        <v>42501</v>
      </c>
      <c r="IX76" s="231">
        <v>7875</v>
      </c>
      <c r="IY76" s="316">
        <v>42430</v>
      </c>
      <c r="IZ76" s="231">
        <v>27162</v>
      </c>
      <c r="JA76" s="113">
        <v>42669</v>
      </c>
      <c r="JB76" s="231">
        <v>14015</v>
      </c>
      <c r="JC76" s="114" t="s">
        <v>531</v>
      </c>
      <c r="JD76" s="321">
        <v>21022</v>
      </c>
      <c r="JE76" s="313"/>
      <c r="JF76" s="313"/>
      <c r="JG76" s="276"/>
      <c r="JH76" s="277"/>
      <c r="JI76" s="276"/>
      <c r="JJ76" s="277"/>
      <c r="JK76" s="300"/>
      <c r="JL76" s="300"/>
      <c r="JM76" s="300"/>
      <c r="JN76" s="300"/>
      <c r="JO76" s="269"/>
      <c r="JP76" s="269"/>
      <c r="JQ76" s="269"/>
      <c r="JR76" s="269"/>
      <c r="JS76" s="269"/>
      <c r="JT76" s="269"/>
      <c r="JU76" s="231">
        <v>27162</v>
      </c>
      <c r="JV76" s="315"/>
      <c r="JW76" s="114"/>
      <c r="JX76" s="315"/>
      <c r="JY76" s="315"/>
      <c r="JZ76" s="114"/>
    </row>
    <row r="77" spans="1:286" ht="15" customHeight="1">
      <c r="A77" s="86" t="s">
        <v>515</v>
      </c>
      <c r="B77" s="86"/>
      <c r="C77" s="53" t="s">
        <v>34</v>
      </c>
      <c r="D77" s="53" t="s">
        <v>113</v>
      </c>
      <c r="E77" s="53">
        <v>2017</v>
      </c>
      <c r="F77" s="53" t="s">
        <v>406</v>
      </c>
      <c r="G77" s="53" t="s">
        <v>374</v>
      </c>
      <c r="H77" s="7" t="s">
        <v>181</v>
      </c>
      <c r="I77" s="55" t="s">
        <v>249</v>
      </c>
      <c r="J77" s="53"/>
      <c r="K77" s="53" t="s">
        <v>424</v>
      </c>
      <c r="L77" s="255" t="s">
        <v>598</v>
      </c>
      <c r="M77" s="166"/>
      <c r="N77" s="167"/>
      <c r="O77" s="168"/>
      <c r="P77" s="207">
        <v>11037</v>
      </c>
      <c r="Q77" s="207">
        <v>705655.44208162103</v>
      </c>
      <c r="R77" s="207"/>
      <c r="S77" s="207">
        <f t="shared" si="310"/>
        <v>8400.6600247812021</v>
      </c>
      <c r="T77" s="207">
        <f t="shared" si="295"/>
        <v>63.935439166587031</v>
      </c>
      <c r="U77" s="213">
        <f t="shared" si="296"/>
        <v>0</v>
      </c>
      <c r="V77" s="213">
        <f t="shared" si="297"/>
        <v>0</v>
      </c>
      <c r="W77" s="213">
        <f t="shared" si="298"/>
        <v>0</v>
      </c>
      <c r="X77" s="207">
        <f t="shared" si="299"/>
        <v>131.39285714285714</v>
      </c>
      <c r="Y77" s="208"/>
      <c r="Z77" s="904">
        <f t="shared" si="282"/>
        <v>76.107637945093771</v>
      </c>
      <c r="AA77" s="208"/>
      <c r="AB77" s="208"/>
      <c r="AC77" s="209"/>
      <c r="AD77" s="53" t="s">
        <v>16</v>
      </c>
      <c r="AE77" s="771">
        <f t="shared" si="130"/>
        <v>84</v>
      </c>
      <c r="AF77" s="771">
        <f t="shared" si="131"/>
        <v>84</v>
      </c>
      <c r="AG77" s="64"/>
      <c r="AH77" s="53">
        <v>84</v>
      </c>
      <c r="AI77" s="53"/>
      <c r="AJ77" s="53"/>
      <c r="AK77" s="269"/>
      <c r="AL77" s="57">
        <v>6502.48</v>
      </c>
      <c r="AM77" s="57"/>
      <c r="AN77" s="408">
        <v>6502.48</v>
      </c>
      <c r="AO77" s="57">
        <f t="shared" si="300"/>
        <v>77.410476190476189</v>
      </c>
      <c r="AP77" s="78"/>
      <c r="AQ77" s="78"/>
      <c r="AR77" s="78"/>
      <c r="AS77" s="78"/>
      <c r="AT77" s="78"/>
      <c r="AU77" s="57"/>
      <c r="AV77" s="182"/>
      <c r="AW77" s="107"/>
      <c r="AX77" s="57"/>
      <c r="AY77" s="56" t="s">
        <v>549</v>
      </c>
      <c r="AZ77" s="53" t="s">
        <v>120</v>
      </c>
      <c r="BA77" s="53"/>
      <c r="BB77" s="53"/>
      <c r="BC77" s="53"/>
      <c r="BD77" s="237" t="s">
        <v>513</v>
      </c>
      <c r="BE77" s="184"/>
      <c r="BF77" s="110" t="s">
        <v>168</v>
      </c>
      <c r="BG77" s="110"/>
      <c r="BH77" s="97"/>
      <c r="BI77" s="204">
        <v>42929</v>
      </c>
      <c r="BJ77" s="99">
        <v>43010</v>
      </c>
      <c r="BK77" s="99" t="s">
        <v>168</v>
      </c>
      <c r="BL77" s="204" t="s">
        <v>168</v>
      </c>
      <c r="BM77" s="99" t="s">
        <v>168</v>
      </c>
      <c r="BN77" s="161">
        <v>43326</v>
      </c>
      <c r="BO77" s="203">
        <f t="shared" si="285"/>
        <v>43357</v>
      </c>
      <c r="BP77" s="161">
        <f t="shared" si="256"/>
        <v>43448</v>
      </c>
      <c r="BQ77" s="161"/>
      <c r="BR77" s="299">
        <f t="shared" si="257"/>
        <v>43357</v>
      </c>
      <c r="BS77" s="298">
        <f t="shared" si="258"/>
        <v>44088</v>
      </c>
      <c r="BT77" s="298">
        <f t="shared" si="259"/>
        <v>44453</v>
      </c>
      <c r="BU77" s="672">
        <f>26923+179778</f>
        <v>206701</v>
      </c>
      <c r="BV77" s="298" t="str">
        <f t="shared" si="301"/>
        <v>non</v>
      </c>
      <c r="BW77" s="672">
        <f t="shared" si="136"/>
        <v>0</v>
      </c>
      <c r="BX77" s="672">
        <f t="shared" si="137"/>
        <v>0</v>
      </c>
      <c r="BY77" s="672">
        <f t="shared" si="138"/>
        <v>-206701</v>
      </c>
      <c r="BZ77" s="824"/>
      <c r="CA77" s="832"/>
      <c r="CB77" s="826"/>
      <c r="CC77" s="826"/>
      <c r="CD77" s="826"/>
      <c r="CE77" s="826"/>
      <c r="CF77" s="819"/>
      <c r="CG77" s="819"/>
      <c r="CH77" s="819"/>
      <c r="CI77" s="819"/>
      <c r="CJ77" s="819"/>
      <c r="CK77" s="819"/>
      <c r="CL77" s="819"/>
      <c r="CM77" s="819"/>
      <c r="CN77" s="819"/>
      <c r="CO77" s="819"/>
      <c r="CP77" s="819"/>
      <c r="CQ77" s="819"/>
      <c r="CR77" s="819"/>
      <c r="CS77" s="159"/>
      <c r="CT77" s="250"/>
      <c r="CU77" s="250"/>
      <c r="CV77" s="158"/>
      <c r="CW77" s="250"/>
      <c r="CX77" s="250"/>
      <c r="CY77" s="250"/>
      <c r="CZ77" s="250" t="s">
        <v>168</v>
      </c>
      <c r="DA77" s="598"/>
      <c r="DB77" s="315">
        <v>42619</v>
      </c>
      <c r="DC77" s="122">
        <v>42619</v>
      </c>
      <c r="DD77" s="122">
        <v>42619</v>
      </c>
      <c r="DE77" s="523">
        <f t="shared" si="139"/>
        <v>0</v>
      </c>
      <c r="DF77" s="122">
        <v>42793</v>
      </c>
      <c r="DG77" s="122">
        <v>42775</v>
      </c>
      <c r="DH77" s="523">
        <f t="shared" si="140"/>
        <v>-18</v>
      </c>
      <c r="DI77" s="315">
        <v>42772</v>
      </c>
      <c r="DJ77" s="315">
        <v>42794</v>
      </c>
      <c r="DK77" s="523">
        <f t="shared" si="141"/>
        <v>22</v>
      </c>
      <c r="DL77" s="122">
        <v>42835</v>
      </c>
      <c r="DM77" s="122">
        <v>42948</v>
      </c>
      <c r="DN77" s="523">
        <f t="shared" si="142"/>
        <v>113</v>
      </c>
      <c r="DO77" s="315">
        <v>43143</v>
      </c>
      <c r="DP77" s="315">
        <v>43398</v>
      </c>
      <c r="DQ77" s="545">
        <f t="shared" si="143"/>
        <v>255</v>
      </c>
      <c r="DR77" s="451"/>
      <c r="DS77" s="548"/>
      <c r="DT77" s="537">
        <v>43308</v>
      </c>
      <c r="DU77" s="533">
        <f t="shared" ca="1" si="260"/>
        <v>43423</v>
      </c>
      <c r="DV77" s="529">
        <f t="shared" ca="1" si="144"/>
        <v>115</v>
      </c>
      <c r="DW77" s="537">
        <v>43322</v>
      </c>
      <c r="DX77" s="686">
        <v>43609</v>
      </c>
      <c r="DY77" s="344"/>
      <c r="DZ77" s="442">
        <f t="shared" si="286"/>
        <v>22.666666666666668</v>
      </c>
      <c r="EA77" s="529">
        <f t="shared" si="287"/>
        <v>287</v>
      </c>
      <c r="EB77" s="687">
        <v>24</v>
      </c>
      <c r="EC77" s="241">
        <f t="shared" si="288"/>
        <v>25</v>
      </c>
      <c r="ED77" s="527"/>
      <c r="EE77" s="533">
        <f t="shared" ca="1" si="261"/>
        <v>43423</v>
      </c>
      <c r="EF77" s="529" t="str">
        <f t="shared" ca="1" si="289"/>
        <v>0</v>
      </c>
      <c r="EG77" s="527"/>
      <c r="EH77" s="551">
        <f t="shared" ca="1" si="262"/>
        <v>43423</v>
      </c>
      <c r="EI77" s="530" t="str">
        <f t="shared" ca="1" si="149"/>
        <v>0</v>
      </c>
      <c r="EJ77" s="533"/>
      <c r="EK77" s="533">
        <f t="shared" ca="1" si="263"/>
        <v>43423</v>
      </c>
      <c r="EL77" s="529" t="str">
        <f t="shared" ca="1" si="290"/>
        <v>0</v>
      </c>
      <c r="EM77" s="527"/>
      <c r="EN77" s="533">
        <f t="shared" ca="1" si="264"/>
        <v>43423</v>
      </c>
      <c r="EO77" s="529" t="str">
        <f t="shared" ca="1" si="151"/>
        <v>0</v>
      </c>
      <c r="EP77" s="533"/>
      <c r="EQ77" s="533">
        <f ca="1">IF(EP77&lt;TODAY(),TODAY(),EP77)</f>
        <v>43423</v>
      </c>
      <c r="ER77" s="529" t="str">
        <f t="shared" ca="1" si="152"/>
        <v>0</v>
      </c>
      <c r="ES77" s="533"/>
      <c r="ET77" s="533">
        <f ca="1">IF(ES77&lt;TODAY(),TODAY(),ES77)</f>
        <v>43423</v>
      </c>
      <c r="EU77" s="529" t="str">
        <f t="shared" ca="1" si="153"/>
        <v>0</v>
      </c>
      <c r="EV77" s="533"/>
      <c r="EW77" s="533">
        <f t="shared" ca="1" si="265"/>
        <v>43423</v>
      </c>
      <c r="EX77" s="529" t="str">
        <f t="shared" ca="1" si="154"/>
        <v>0</v>
      </c>
      <c r="EY77" s="533"/>
      <c r="EZ77" s="533"/>
      <c r="FA77" s="533"/>
      <c r="FB77" s="616">
        <f t="shared" si="155"/>
        <v>44340</v>
      </c>
      <c r="FC77" s="730">
        <f>DATE(YEAR(FB77),MONTH(FB77)+1,DAY(FB77))</f>
        <v>44371</v>
      </c>
      <c r="FD77" s="730">
        <f t="shared" si="291"/>
        <v>1.0333333333333334</v>
      </c>
      <c r="FE77" s="730">
        <f>DATE(YEAR(CY77)+2,MONTH(CY77),DAY(CY77))</f>
        <v>731</v>
      </c>
      <c r="FF77" s="730"/>
      <c r="FG77" s="730"/>
      <c r="FH77" s="730">
        <f t="shared" si="309"/>
        <v>44401</v>
      </c>
      <c r="FI77" s="730"/>
      <c r="FJ77" s="730">
        <f t="shared" si="266"/>
        <v>44371</v>
      </c>
      <c r="FK77" s="730">
        <f>DATE(YEAR(FH77),MONTH(FH77)+1,DAY(FH77))</f>
        <v>44432</v>
      </c>
      <c r="FL77" s="574"/>
      <c r="FM77" s="724">
        <f t="shared" si="267"/>
        <v>2.0333333333333332</v>
      </c>
      <c r="FN77" s="700">
        <v>34578</v>
      </c>
      <c r="FO77" s="246">
        <f t="shared" si="292"/>
        <v>70308.599999999991</v>
      </c>
      <c r="FP77" s="117"/>
      <c r="FQ77" s="556">
        <v>0</v>
      </c>
      <c r="FR77" s="556">
        <v>0</v>
      </c>
      <c r="FS77" s="556"/>
      <c r="FT77" s="556"/>
      <c r="FU77" s="556"/>
      <c r="FV77" s="749">
        <f>FU77/GY77</f>
        <v>0</v>
      </c>
      <c r="FW77" s="553"/>
      <c r="FX77" s="566"/>
      <c r="FY77" s="566" t="s">
        <v>712</v>
      </c>
      <c r="FZ77" s="553"/>
      <c r="GA77" s="121"/>
      <c r="GB77" s="121"/>
      <c r="GC77" s="121"/>
      <c r="GD77" s="121"/>
      <c r="GE77" s="121"/>
      <c r="GF77" s="53"/>
      <c r="GG77" s="280">
        <f t="shared" si="161"/>
        <v>44736</v>
      </c>
      <c r="GH77" s="280"/>
      <c r="GI77" s="53"/>
      <c r="GJ77" s="53"/>
      <c r="GK77" s="53"/>
      <c r="GL77" s="53"/>
      <c r="GM77" s="53"/>
      <c r="GN77" s="53"/>
      <c r="GO77" s="53"/>
      <c r="GP77" s="53"/>
      <c r="GQ77" s="53"/>
      <c r="GR77" s="53"/>
      <c r="GS77" s="53"/>
      <c r="GT77" s="53"/>
      <c r="GU77" s="53"/>
      <c r="GV77" s="112"/>
      <c r="GW77" s="112"/>
      <c r="GX77" s="93">
        <f>+HI77+HN77+HU77+IO77+HZ77</f>
        <v>12734880</v>
      </c>
      <c r="GY77" s="67">
        <f t="shared" si="302"/>
        <v>12677323</v>
      </c>
      <c r="GZ77" s="67">
        <f t="shared" si="303"/>
        <v>12677323</v>
      </c>
      <c r="HA77" s="93">
        <f t="shared" si="276"/>
        <v>-57557</v>
      </c>
      <c r="HB77" s="49">
        <f t="shared" si="304"/>
        <v>1949.6135320677649</v>
      </c>
      <c r="HC77" s="49">
        <f t="shared" si="305"/>
        <v>150920.51190476189</v>
      </c>
      <c r="HD77" s="93">
        <v>14981542.360255377</v>
      </c>
      <c r="HE77" s="93">
        <v>10898468</v>
      </c>
      <c r="HF77" s="93">
        <f t="shared" si="277"/>
        <v>-4083074.3602553774</v>
      </c>
      <c r="HG77" s="93">
        <f t="shared" si="278"/>
        <v>0.87773545156181632</v>
      </c>
      <c r="HH77" s="303">
        <v>0.4</v>
      </c>
      <c r="HI77" s="93">
        <v>3890729</v>
      </c>
      <c r="HJ77" s="67">
        <v>3808325</v>
      </c>
      <c r="HK77" s="645"/>
      <c r="HL77" s="93">
        <f t="shared" si="279"/>
        <v>45337.202380952382</v>
      </c>
      <c r="HM77" s="93">
        <f>HJ77-HI77</f>
        <v>-82404</v>
      </c>
      <c r="HN77" s="403">
        <f>6070791+1203804</f>
        <v>7274595</v>
      </c>
      <c r="HO77" s="67">
        <f t="shared" si="306"/>
        <v>7299442</v>
      </c>
      <c r="HP77" s="87">
        <v>1108476</v>
      </c>
      <c r="HQ77" s="87">
        <v>6190966</v>
      </c>
      <c r="HR77" s="93">
        <f t="shared" si="280"/>
        <v>24847</v>
      </c>
      <c r="HS77" s="631">
        <f t="shared" si="307"/>
        <v>86898.119047619053</v>
      </c>
      <c r="HT77" s="387"/>
      <c r="HU77" s="93">
        <v>1512000</v>
      </c>
      <c r="HV77" s="67">
        <v>1512000</v>
      </c>
      <c r="HW77" s="93"/>
      <c r="HX77" s="693">
        <f t="shared" si="172"/>
        <v>0.11926808207063905</v>
      </c>
      <c r="HY77" s="387"/>
      <c r="HZ77" s="67">
        <v>57556</v>
      </c>
      <c r="IA77" s="89">
        <f t="shared" si="173"/>
        <v>0</v>
      </c>
      <c r="IB77" s="23">
        <f t="shared" si="174"/>
        <v>18000</v>
      </c>
      <c r="IC77" s="81">
        <f t="shared" si="175"/>
        <v>63337.202380952382</v>
      </c>
      <c r="ID77" s="89">
        <f>IA77/AE77</f>
        <v>0</v>
      </c>
      <c r="IE77" s="90">
        <v>5.31</v>
      </c>
      <c r="IF77" s="90">
        <v>5.05</v>
      </c>
      <c r="IG77" s="91"/>
      <c r="IH77" s="91"/>
      <c r="II77" s="49">
        <f>(HI77+HU77+IH77)/AE77</f>
        <v>64318.202380952382</v>
      </c>
      <c r="IJ77" s="91"/>
      <c r="IK77" s="49">
        <f>(HJ77+HV77+IH77+IJ77)/AE77</f>
        <v>63337.202380952382</v>
      </c>
      <c r="IL77" s="50">
        <f t="shared" si="272"/>
        <v>0.4242465574862111</v>
      </c>
      <c r="IM77" s="91"/>
      <c r="IN77" s="91"/>
      <c r="IO77" s="67">
        <f t="shared" si="273"/>
        <v>0</v>
      </c>
      <c r="IP77" s="41">
        <f t="shared" si="308"/>
        <v>12734880</v>
      </c>
      <c r="IQ77" s="277">
        <v>638743</v>
      </c>
      <c r="IR77" s="277">
        <f t="shared" si="275"/>
        <v>319371</v>
      </c>
      <c r="IS77" s="113">
        <v>42605</v>
      </c>
      <c r="IT77" s="314">
        <v>110767</v>
      </c>
      <c r="IU77" s="314"/>
      <c r="IV77" s="316"/>
      <c r="IW77" s="316">
        <v>42716</v>
      </c>
      <c r="IX77" s="231">
        <v>22977</v>
      </c>
      <c r="IY77" s="113">
        <v>42794</v>
      </c>
      <c r="IZ77" s="231">
        <v>22994</v>
      </c>
      <c r="JA77" s="113">
        <v>42926</v>
      </c>
      <c r="JB77" s="231">
        <v>62867</v>
      </c>
      <c r="JC77" s="113">
        <v>43290</v>
      </c>
      <c r="JD77" s="321">
        <v>99766</v>
      </c>
      <c r="JE77" s="313"/>
      <c r="JF77" s="313"/>
      <c r="JG77" s="276"/>
      <c r="JH77" s="281"/>
      <c r="JI77" s="276"/>
      <c r="JJ77" s="281"/>
      <c r="JK77" s="300"/>
      <c r="JL77" s="300"/>
      <c r="JM77" s="300"/>
      <c r="JN77" s="300"/>
      <c r="JO77" s="269"/>
      <c r="JP77" s="269"/>
      <c r="JQ77" s="269"/>
      <c r="JR77" s="269"/>
      <c r="JS77" s="269"/>
      <c r="JT77" s="269"/>
      <c r="JU77" s="326">
        <v>22994</v>
      </c>
      <c r="JV77" s="315"/>
      <c r="JW77" s="114"/>
      <c r="JX77" s="315"/>
      <c r="JY77" s="315"/>
      <c r="JZ77" s="114"/>
    </row>
    <row r="78" spans="1:286" ht="15" customHeight="1">
      <c r="A78" s="655" t="s">
        <v>422</v>
      </c>
      <c r="B78" s="655"/>
      <c r="C78" s="53" t="s">
        <v>34</v>
      </c>
      <c r="D78" s="53" t="s">
        <v>113</v>
      </c>
      <c r="E78" s="53">
        <v>2018</v>
      </c>
      <c r="F78" s="53" t="s">
        <v>579</v>
      </c>
      <c r="G78" s="53" t="s">
        <v>374</v>
      </c>
      <c r="H78" s="53" t="s">
        <v>181</v>
      </c>
      <c r="I78" s="55" t="s">
        <v>249</v>
      </c>
      <c r="J78" s="53"/>
      <c r="K78" s="53" t="s">
        <v>424</v>
      </c>
      <c r="L78" s="255" t="s">
        <v>598</v>
      </c>
      <c r="M78" s="166"/>
      <c r="N78" s="167"/>
      <c r="O78" s="168"/>
      <c r="P78" s="207">
        <f>10872*0.44</f>
        <v>4783.68</v>
      </c>
      <c r="Q78" s="207">
        <v>230090</v>
      </c>
      <c r="R78" s="207"/>
      <c r="S78" s="207">
        <f t="shared" si="310"/>
        <v>10458.636363636364</v>
      </c>
      <c r="T78" s="207">
        <f t="shared" si="295"/>
        <v>48.098953107231253</v>
      </c>
      <c r="U78" s="213">
        <f t="shared" si="296"/>
        <v>0</v>
      </c>
      <c r="V78" s="213">
        <f t="shared" si="297"/>
        <v>0</v>
      </c>
      <c r="W78" s="213">
        <f t="shared" si="298"/>
        <v>0</v>
      </c>
      <c r="X78" s="207">
        <f t="shared" si="299"/>
        <v>217.44000000000003</v>
      </c>
      <c r="Y78" s="208"/>
      <c r="Z78" s="907">
        <f t="shared" si="282"/>
        <v>45.989698307579097</v>
      </c>
      <c r="AA78" s="208"/>
      <c r="AB78" s="208"/>
      <c r="AC78" s="209"/>
      <c r="AD78" s="53" t="s">
        <v>15</v>
      </c>
      <c r="AE78" s="771">
        <f t="shared" si="130"/>
        <v>22</v>
      </c>
      <c r="AF78" s="771">
        <f t="shared" si="131"/>
        <v>22</v>
      </c>
      <c r="AG78" s="53">
        <v>22</v>
      </c>
      <c r="AH78" s="64"/>
      <c r="AI78" s="64"/>
      <c r="AJ78" s="64"/>
      <c r="AK78" s="269"/>
      <c r="AL78" s="57">
        <v>2090.21</v>
      </c>
      <c r="AM78" s="57"/>
      <c r="AN78" s="92">
        <v>2090.21</v>
      </c>
      <c r="AO78" s="9">
        <f t="shared" si="300"/>
        <v>95.00954545454546</v>
      </c>
      <c r="AP78" s="644"/>
      <c r="AQ78" s="644"/>
      <c r="AR78" s="644"/>
      <c r="AS78" s="78">
        <f>12/AE78</f>
        <v>0.54545454545454541</v>
      </c>
      <c r="AT78" s="78">
        <f>10/AE78</f>
        <v>0.45454545454545453</v>
      </c>
      <c r="AU78" s="57"/>
      <c r="AV78" s="76"/>
      <c r="AW78" s="78"/>
      <c r="AX78" s="57"/>
      <c r="AY78" s="56" t="s">
        <v>549</v>
      </c>
      <c r="AZ78" s="53" t="s">
        <v>120</v>
      </c>
      <c r="BA78" s="53"/>
      <c r="BB78" s="53"/>
      <c r="BC78" s="53"/>
      <c r="BD78" s="237" t="s">
        <v>552</v>
      </c>
      <c r="BE78" s="184"/>
      <c r="BF78" s="110" t="s">
        <v>168</v>
      </c>
      <c r="BG78" s="110" t="s">
        <v>168</v>
      </c>
      <c r="BH78" s="97"/>
      <c r="BI78" s="204">
        <v>43334</v>
      </c>
      <c r="BJ78" s="99"/>
      <c r="BK78" s="99"/>
      <c r="BL78" s="204"/>
      <c r="BM78" s="99"/>
      <c r="BN78" s="161">
        <v>43357</v>
      </c>
      <c r="BO78" s="203">
        <f t="shared" si="285"/>
        <v>43387</v>
      </c>
      <c r="BP78" s="161">
        <f t="shared" si="256"/>
        <v>43479</v>
      </c>
      <c r="BQ78" s="161"/>
      <c r="BR78" s="299">
        <f t="shared" si="257"/>
        <v>43387</v>
      </c>
      <c r="BS78" s="298">
        <f t="shared" si="258"/>
        <v>44118</v>
      </c>
      <c r="BT78" s="298">
        <f t="shared" si="259"/>
        <v>44483</v>
      </c>
      <c r="BU78" s="672">
        <f>55398+10338</f>
        <v>65736</v>
      </c>
      <c r="BV78" s="298" t="str">
        <f t="shared" si="301"/>
        <v>non</v>
      </c>
      <c r="BW78" s="672">
        <f t="shared" si="136"/>
        <v>1</v>
      </c>
      <c r="BX78" s="672">
        <f t="shared" si="137"/>
        <v>13231</v>
      </c>
      <c r="BY78" s="672">
        <f t="shared" si="138"/>
        <v>-52505</v>
      </c>
      <c r="BZ78" s="824"/>
      <c r="CA78" s="832"/>
      <c r="CB78" s="826"/>
      <c r="CC78" s="826"/>
      <c r="CD78" s="826"/>
      <c r="CE78" s="826"/>
      <c r="CF78" s="819"/>
      <c r="CG78" s="819"/>
      <c r="CH78" s="819"/>
      <c r="CI78" s="819"/>
      <c r="CJ78" s="819"/>
      <c r="CK78" s="819"/>
      <c r="CL78" s="819"/>
      <c r="CM78" s="819"/>
      <c r="CN78" s="819"/>
      <c r="CO78" s="819"/>
      <c r="CP78" s="819"/>
      <c r="CQ78" s="819"/>
      <c r="CR78" s="819"/>
      <c r="CS78" s="159"/>
      <c r="CT78" s="250"/>
      <c r="CU78" s="250"/>
      <c r="CV78" s="158"/>
      <c r="CW78" s="250"/>
      <c r="CX78" s="250"/>
      <c r="CY78" s="250"/>
      <c r="CZ78" s="250" t="s">
        <v>168</v>
      </c>
      <c r="DA78" s="598"/>
      <c r="DB78" s="315">
        <v>42619</v>
      </c>
      <c r="DC78" s="315">
        <v>42619</v>
      </c>
      <c r="DD78" s="315">
        <v>42619</v>
      </c>
      <c r="DE78" s="685">
        <f t="shared" si="139"/>
        <v>0</v>
      </c>
      <c r="DF78" s="315">
        <v>43119</v>
      </c>
      <c r="DG78" s="315">
        <f ca="1">IF(DF78&lt;TODAY(),TODAY(),DF78)</f>
        <v>43423</v>
      </c>
      <c r="DH78" s="685">
        <f t="shared" ca="1" si="140"/>
        <v>304</v>
      </c>
      <c r="DI78" s="315">
        <v>42772</v>
      </c>
      <c r="DJ78" s="315">
        <v>42849</v>
      </c>
      <c r="DK78" s="685">
        <f t="shared" si="141"/>
        <v>77</v>
      </c>
      <c r="DL78" s="315">
        <v>43053</v>
      </c>
      <c r="DM78" s="315">
        <f ca="1">IF(DL78&lt;TODAY(),TODAY(),DL78)</f>
        <v>43423</v>
      </c>
      <c r="DN78" s="685">
        <f t="shared" ca="1" si="142"/>
        <v>370</v>
      </c>
      <c r="DO78" s="315">
        <v>43151</v>
      </c>
      <c r="DP78" s="315">
        <v>43416</v>
      </c>
      <c r="DQ78" s="545">
        <f t="shared" si="143"/>
        <v>265</v>
      </c>
      <c r="DR78" s="451"/>
      <c r="DS78" s="548"/>
      <c r="DT78" s="527">
        <v>43441</v>
      </c>
      <c r="DU78" s="533">
        <f t="shared" ca="1" si="260"/>
        <v>43441</v>
      </c>
      <c r="DV78" s="529">
        <f t="shared" ca="1" si="144"/>
        <v>0</v>
      </c>
      <c r="DW78" s="527">
        <v>43455</v>
      </c>
      <c r="DX78" s="686">
        <v>43609</v>
      </c>
      <c r="DY78" s="344"/>
      <c r="DZ78" s="442">
        <f t="shared" si="286"/>
        <v>9.1666666666666661</v>
      </c>
      <c r="EA78" s="529">
        <f t="shared" si="287"/>
        <v>154</v>
      </c>
      <c r="EB78" s="687">
        <v>24</v>
      </c>
      <c r="EC78" s="241">
        <f t="shared" si="288"/>
        <v>25</v>
      </c>
      <c r="ED78" s="527"/>
      <c r="EE78" s="533">
        <f t="shared" ca="1" si="261"/>
        <v>43423</v>
      </c>
      <c r="EF78" s="529" t="str">
        <f t="shared" ca="1" si="289"/>
        <v>0</v>
      </c>
      <c r="EG78" s="527"/>
      <c r="EH78" s="551">
        <f t="shared" ca="1" si="262"/>
        <v>43423</v>
      </c>
      <c r="EI78" s="530" t="str">
        <f t="shared" ca="1" si="149"/>
        <v>0</v>
      </c>
      <c r="EJ78" s="531"/>
      <c r="EK78" s="533">
        <f t="shared" ca="1" si="263"/>
        <v>43423</v>
      </c>
      <c r="EL78" s="529" t="str">
        <f t="shared" ca="1" si="290"/>
        <v>0</v>
      </c>
      <c r="EM78" s="527"/>
      <c r="EN78" s="533">
        <f t="shared" ca="1" si="264"/>
        <v>43423</v>
      </c>
      <c r="EO78" s="529" t="str">
        <f t="shared" ca="1" si="151"/>
        <v>0</v>
      </c>
      <c r="EP78" s="533"/>
      <c r="EQ78" s="533">
        <f ca="1">IF(EP78&lt;TODAY(),TODAY(),EP78)</f>
        <v>43423</v>
      </c>
      <c r="ER78" s="529" t="str">
        <f t="shared" ca="1" si="152"/>
        <v>0</v>
      </c>
      <c r="ES78" s="533"/>
      <c r="ET78" s="533">
        <f ca="1">IF(ES78&lt;TODAY(),TODAY(),ES78)</f>
        <v>43423</v>
      </c>
      <c r="EU78" s="529" t="str">
        <f t="shared" ca="1" si="153"/>
        <v>0</v>
      </c>
      <c r="EV78" s="533"/>
      <c r="EW78" s="533">
        <f t="shared" ca="1" si="265"/>
        <v>43423</v>
      </c>
      <c r="EX78" s="529" t="str">
        <f t="shared" ca="1" si="154"/>
        <v>0</v>
      </c>
      <c r="EY78" s="533"/>
      <c r="EZ78" s="533"/>
      <c r="FA78" s="533"/>
      <c r="FB78" s="616">
        <f t="shared" si="155"/>
        <v>44340</v>
      </c>
      <c r="FC78" s="730">
        <f>DATE(YEAR(FB78),MONTH(FB78)+1,DAY(FB78))</f>
        <v>44371</v>
      </c>
      <c r="FD78" s="730">
        <f t="shared" si="291"/>
        <v>1.0333333333333334</v>
      </c>
      <c r="FE78" s="730">
        <f>DATE(YEAR(CY78)+2,MONTH(CY78),DAY(CY78))</f>
        <v>731</v>
      </c>
      <c r="FF78" s="730"/>
      <c r="FG78" s="730"/>
      <c r="FH78" s="730">
        <f t="shared" si="309"/>
        <v>44401</v>
      </c>
      <c r="FI78" s="730"/>
      <c r="FJ78" s="730">
        <f t="shared" si="266"/>
        <v>44371</v>
      </c>
      <c r="FK78" s="730">
        <f>DATE(YEAR(FH78),MONTH(FH78)+1,DAY(FH78))</f>
        <v>44432</v>
      </c>
      <c r="FL78" s="574"/>
      <c r="FM78" s="724">
        <f t="shared" si="267"/>
        <v>2.0333333333333332</v>
      </c>
      <c r="FN78" s="700">
        <v>13231</v>
      </c>
      <c r="FO78" s="246">
        <f t="shared" si="292"/>
        <v>26903.033333333333</v>
      </c>
      <c r="FP78" s="117"/>
      <c r="FQ78" s="556">
        <v>0</v>
      </c>
      <c r="FR78" s="556">
        <v>0</v>
      </c>
      <c r="FS78" s="556"/>
      <c r="FT78" s="556"/>
      <c r="FU78" s="556"/>
      <c r="FV78" s="749">
        <f>FU78/GY78</f>
        <v>0</v>
      </c>
      <c r="FW78" s="553"/>
      <c r="FX78" s="566"/>
      <c r="FY78" s="566" t="s">
        <v>715</v>
      </c>
      <c r="FZ78" s="553"/>
      <c r="GA78" s="121"/>
      <c r="GB78" s="121"/>
      <c r="GC78" s="121"/>
      <c r="GD78" s="121"/>
      <c r="GE78" s="121"/>
      <c r="GF78" s="53"/>
      <c r="GG78" s="280">
        <f t="shared" si="161"/>
        <v>44736</v>
      </c>
      <c r="GH78" s="280"/>
      <c r="GI78" s="53"/>
      <c r="GJ78" s="53"/>
      <c r="GK78" s="53"/>
      <c r="GL78" s="53"/>
      <c r="GM78" s="53"/>
      <c r="GN78" s="53"/>
      <c r="GO78" s="53"/>
      <c r="GP78" s="53"/>
      <c r="GQ78" s="53"/>
      <c r="GR78" s="53"/>
      <c r="GS78" s="53"/>
      <c r="GT78" s="53"/>
      <c r="GU78" s="53"/>
      <c r="GV78" s="112"/>
      <c r="GW78" s="112"/>
      <c r="GX78" s="93">
        <f>+HI78+HN78+HU78+IO78+HZ78</f>
        <v>4056688</v>
      </c>
      <c r="GY78" s="67">
        <f t="shared" si="302"/>
        <v>4056688</v>
      </c>
      <c r="GZ78" s="67">
        <f t="shared" si="303"/>
        <v>4056688</v>
      </c>
      <c r="HA78" s="94">
        <f t="shared" si="276"/>
        <v>0</v>
      </c>
      <c r="HB78" s="49">
        <f t="shared" si="304"/>
        <v>1940.8040340444261</v>
      </c>
      <c r="HC78" s="49">
        <f t="shared" si="305"/>
        <v>184394.90909090909</v>
      </c>
      <c r="HD78" s="93"/>
      <c r="HE78" s="67"/>
      <c r="HF78" s="94">
        <f t="shared" si="277"/>
        <v>0</v>
      </c>
      <c r="HG78" s="128">
        <f t="shared" si="278"/>
        <v>0</v>
      </c>
      <c r="HH78" s="129">
        <v>0.4</v>
      </c>
      <c r="HI78" s="93">
        <v>1260329</v>
      </c>
      <c r="HJ78" s="67">
        <v>1260329</v>
      </c>
      <c r="HK78" s="646"/>
      <c r="HL78" s="23">
        <f t="shared" si="279"/>
        <v>57287.681818181816</v>
      </c>
      <c r="HM78" s="95"/>
      <c r="HN78" s="93">
        <v>2356728</v>
      </c>
      <c r="HO78" s="67">
        <f t="shared" si="306"/>
        <v>2356728</v>
      </c>
      <c r="HP78" s="87">
        <v>438150</v>
      </c>
      <c r="HQ78" s="87">
        <v>1918578</v>
      </c>
      <c r="HR78" s="95">
        <f t="shared" si="280"/>
        <v>0</v>
      </c>
      <c r="HS78" s="630">
        <f t="shared" si="307"/>
        <v>107124</v>
      </c>
      <c r="HT78" s="67"/>
      <c r="HU78" s="287">
        <v>418000</v>
      </c>
      <c r="HV78" s="67">
        <f>HU78</f>
        <v>418000</v>
      </c>
      <c r="HW78" s="67"/>
      <c r="HX78" s="40">
        <f t="shared" si="172"/>
        <v>0.10303972107295409</v>
      </c>
      <c r="HY78" s="93"/>
      <c r="HZ78" s="67">
        <v>21631</v>
      </c>
      <c r="IA78" s="89">
        <f t="shared" si="173"/>
        <v>0</v>
      </c>
      <c r="IB78" s="23">
        <f t="shared" si="174"/>
        <v>19000</v>
      </c>
      <c r="IC78" s="81">
        <f t="shared" si="175"/>
        <v>76287.681818181823</v>
      </c>
      <c r="ID78" s="89">
        <f>IA78/AE78</f>
        <v>0</v>
      </c>
      <c r="IE78" s="90">
        <v>6.31</v>
      </c>
      <c r="IF78" s="90"/>
      <c r="IG78" s="91"/>
      <c r="IH78" s="91"/>
      <c r="II78" s="49">
        <f>(HI78+HU78+IH78)/AE78</f>
        <v>76287.681818181823</v>
      </c>
      <c r="IJ78" s="91"/>
      <c r="IK78" s="49">
        <f>(HJ78+HV78+IH78+IJ78)/AE78</f>
        <v>76287.681818181823</v>
      </c>
      <c r="IL78" s="50">
        <f t="shared" si="272"/>
        <v>0.41371902399198557</v>
      </c>
      <c r="IM78" s="91"/>
      <c r="IN78" s="91"/>
      <c r="IO78" s="67">
        <f t="shared" si="273"/>
        <v>0</v>
      </c>
      <c r="IP78" s="41">
        <f t="shared" si="308"/>
        <v>4056688</v>
      </c>
      <c r="IQ78" s="277">
        <v>461347</v>
      </c>
      <c r="IR78" s="277">
        <f t="shared" si="275"/>
        <v>161472</v>
      </c>
      <c r="IS78" s="236"/>
      <c r="IT78" s="326"/>
      <c r="IU78" s="326"/>
      <c r="IV78" s="236"/>
      <c r="IW78" s="236"/>
      <c r="IX78" s="331"/>
      <c r="IY78" s="236">
        <v>43145</v>
      </c>
      <c r="IZ78" s="331">
        <v>47870</v>
      </c>
      <c r="JA78" s="236" t="s">
        <v>632</v>
      </c>
      <c r="JB78" s="331">
        <v>113602</v>
      </c>
      <c r="JC78" s="291"/>
      <c r="JD78" s="332">
        <v>0</v>
      </c>
      <c r="JE78" s="328"/>
      <c r="JF78" s="328"/>
      <c r="JG78" s="276"/>
      <c r="JH78" s="281"/>
      <c r="JI78" s="276"/>
      <c r="JJ78" s="281"/>
      <c r="JK78" s="300"/>
      <c r="JL78" s="300"/>
      <c r="JM78" s="300"/>
      <c r="JN78" s="300"/>
      <c r="JO78" s="269"/>
      <c r="JP78" s="269"/>
      <c r="JQ78" s="269"/>
      <c r="JR78" s="269"/>
      <c r="JS78" s="269"/>
      <c r="JT78" s="269"/>
      <c r="JU78" s="326">
        <v>47870</v>
      </c>
      <c r="JV78" s="315"/>
      <c r="JW78" s="114"/>
      <c r="JX78" s="315"/>
      <c r="JY78" s="315"/>
      <c r="JZ78" s="279"/>
    </row>
    <row r="79" spans="1:286" ht="15" customHeight="1">
      <c r="A79" s="655" t="s">
        <v>423</v>
      </c>
      <c r="B79" s="655"/>
      <c r="C79" s="53" t="s">
        <v>34</v>
      </c>
      <c r="D79" s="53" t="s">
        <v>113</v>
      </c>
      <c r="E79" s="53">
        <v>2018</v>
      </c>
      <c r="F79" s="53" t="s">
        <v>579</v>
      </c>
      <c r="G79" s="53" t="s">
        <v>374</v>
      </c>
      <c r="H79" s="114"/>
      <c r="I79" s="55" t="s">
        <v>174</v>
      </c>
      <c r="J79" s="53"/>
      <c r="K79" s="53" t="s">
        <v>424</v>
      </c>
      <c r="L79" s="255" t="s">
        <v>598</v>
      </c>
      <c r="M79" s="166"/>
      <c r="N79" s="167"/>
      <c r="O79" s="168"/>
      <c r="P79" s="207">
        <f>10872*0.56</f>
        <v>6088.3200000000006</v>
      </c>
      <c r="Q79" s="207">
        <v>290092</v>
      </c>
      <c r="R79" s="207"/>
      <c r="S79" s="207">
        <f t="shared" si="310"/>
        <v>8532.1176470588234</v>
      </c>
      <c r="T79" s="207">
        <f t="shared" si="295"/>
        <v>47.64729843372227</v>
      </c>
      <c r="U79" s="213">
        <f t="shared" si="296"/>
        <v>0</v>
      </c>
      <c r="V79" s="213">
        <f t="shared" si="297"/>
        <v>0</v>
      </c>
      <c r="W79" s="213">
        <f t="shared" si="298"/>
        <v>0</v>
      </c>
      <c r="X79" s="207">
        <f t="shared" si="299"/>
        <v>179.06823529411767</v>
      </c>
      <c r="Y79" s="208"/>
      <c r="Z79" s="907">
        <f t="shared" si="282"/>
        <v>55.84463365920319</v>
      </c>
      <c r="AA79" s="208"/>
      <c r="AB79" s="208"/>
      <c r="AC79" s="209"/>
      <c r="AD79" s="53" t="s">
        <v>16</v>
      </c>
      <c r="AE79" s="771">
        <f t="shared" si="130"/>
        <v>34</v>
      </c>
      <c r="AF79" s="771">
        <f t="shared" si="131"/>
        <v>34</v>
      </c>
      <c r="AG79" s="64"/>
      <c r="AH79" s="53">
        <v>34</v>
      </c>
      <c r="AI79" s="114"/>
      <c r="AJ79" s="114"/>
      <c r="AK79" s="269"/>
      <c r="AL79" s="57">
        <v>2635.29</v>
      </c>
      <c r="AM79" s="57"/>
      <c r="AN79" s="92">
        <v>2635.29</v>
      </c>
      <c r="AO79" s="9">
        <f t="shared" si="300"/>
        <v>77.508529411764698</v>
      </c>
      <c r="AP79" s="78">
        <f>1/AE79</f>
        <v>2.9411764705882353E-2</v>
      </c>
      <c r="AQ79" s="78">
        <f>10/AE79</f>
        <v>0.29411764705882354</v>
      </c>
      <c r="AR79" s="78">
        <f>16/AE79</f>
        <v>0.47058823529411764</v>
      </c>
      <c r="AS79" s="78">
        <f>7/AE79</f>
        <v>0.20588235294117646</v>
      </c>
      <c r="AT79" s="78"/>
      <c r="AU79" s="57"/>
      <c r="AV79" s="76"/>
      <c r="AW79" s="78"/>
      <c r="AX79" s="57"/>
      <c r="AY79" s="56" t="s">
        <v>549</v>
      </c>
      <c r="AZ79" s="53" t="s">
        <v>120</v>
      </c>
      <c r="BA79" s="53"/>
      <c r="BB79" s="53"/>
      <c r="BC79" s="53"/>
      <c r="BD79" s="237" t="s">
        <v>552</v>
      </c>
      <c r="BE79" s="184"/>
      <c r="BF79" s="110" t="s">
        <v>168</v>
      </c>
      <c r="BG79" s="110" t="s">
        <v>168</v>
      </c>
      <c r="BH79" s="97"/>
      <c r="BI79" s="204">
        <v>43334</v>
      </c>
      <c r="BJ79" s="99"/>
      <c r="BK79" s="99"/>
      <c r="BL79" s="204"/>
      <c r="BM79" s="99"/>
      <c r="BN79" s="161">
        <v>43357</v>
      </c>
      <c r="BO79" s="203">
        <f t="shared" si="285"/>
        <v>43387</v>
      </c>
      <c r="BP79" s="161">
        <f t="shared" si="256"/>
        <v>43479</v>
      </c>
      <c r="BQ79" s="161"/>
      <c r="BR79" s="299">
        <f t="shared" si="257"/>
        <v>43387</v>
      </c>
      <c r="BS79" s="298">
        <f t="shared" si="258"/>
        <v>44118</v>
      </c>
      <c r="BT79" s="298">
        <f t="shared" si="259"/>
        <v>44483</v>
      </c>
      <c r="BU79" s="672">
        <f>12774+71092</f>
        <v>83866</v>
      </c>
      <c r="BV79" s="298" t="str">
        <f t="shared" si="301"/>
        <v>non</v>
      </c>
      <c r="BW79" s="672">
        <f t="shared" si="136"/>
        <v>1</v>
      </c>
      <c r="BX79" s="672">
        <f t="shared" si="137"/>
        <v>14099</v>
      </c>
      <c r="BY79" s="672">
        <f t="shared" si="138"/>
        <v>-69767</v>
      </c>
      <c r="BZ79" s="824"/>
      <c r="CA79" s="832"/>
      <c r="CB79" s="826"/>
      <c r="CC79" s="826"/>
      <c r="CD79" s="826"/>
      <c r="CE79" s="826"/>
      <c r="CF79" s="819"/>
      <c r="CG79" s="819"/>
      <c r="CH79" s="819"/>
      <c r="CI79" s="819"/>
      <c r="CJ79" s="819"/>
      <c r="CK79" s="819"/>
      <c r="CL79" s="819"/>
      <c r="CM79" s="819"/>
      <c r="CN79" s="819"/>
      <c r="CO79" s="819"/>
      <c r="CP79" s="819"/>
      <c r="CQ79" s="819"/>
      <c r="CR79" s="819"/>
      <c r="CS79" s="159"/>
      <c r="CT79" s="250"/>
      <c r="CU79" s="250"/>
      <c r="CV79" s="158"/>
      <c r="CW79" s="250"/>
      <c r="CX79" s="250"/>
      <c r="CY79" s="250"/>
      <c r="CZ79" s="250" t="s">
        <v>168</v>
      </c>
      <c r="DA79" s="598"/>
      <c r="DB79" s="540"/>
      <c r="DC79" s="543"/>
      <c r="DD79" s="543"/>
      <c r="DE79" s="545" t="str">
        <f t="shared" si="139"/>
        <v>0</v>
      </c>
      <c r="DF79" s="543"/>
      <c r="DG79" s="543"/>
      <c r="DH79" s="545" t="str">
        <f t="shared" si="140"/>
        <v>0</v>
      </c>
      <c r="DI79" s="543"/>
      <c r="DJ79" s="543"/>
      <c r="DK79" s="545" t="str">
        <f t="shared" si="141"/>
        <v>0</v>
      </c>
      <c r="DL79" s="543"/>
      <c r="DM79" s="543"/>
      <c r="DN79" s="545" t="str">
        <f t="shared" si="142"/>
        <v>0</v>
      </c>
      <c r="DO79" s="546"/>
      <c r="DP79" s="547"/>
      <c r="DQ79" s="545" t="str">
        <f t="shared" si="143"/>
        <v>0</v>
      </c>
      <c r="DR79" s="451"/>
      <c r="DS79" s="548"/>
      <c r="DT79" s="527"/>
      <c r="DU79" s="528"/>
      <c r="DV79" s="529" t="str">
        <f t="shared" si="144"/>
        <v>0</v>
      </c>
      <c r="DW79" s="527"/>
      <c r="DX79" s="686">
        <v>43609</v>
      </c>
      <c r="DY79" s="344"/>
      <c r="DZ79" s="442">
        <f t="shared" si="286"/>
        <v>9.1666666666666661</v>
      </c>
      <c r="EA79" s="529" t="str">
        <f t="shared" si="287"/>
        <v>0</v>
      </c>
      <c r="EB79" s="687">
        <v>24</v>
      </c>
      <c r="EC79" s="241">
        <f t="shared" si="288"/>
        <v>25</v>
      </c>
      <c r="ED79" s="527"/>
      <c r="EE79" s="533">
        <f t="shared" ca="1" si="261"/>
        <v>43423</v>
      </c>
      <c r="EF79" s="529" t="str">
        <f t="shared" ca="1" si="289"/>
        <v>0</v>
      </c>
      <c r="EG79" s="527"/>
      <c r="EH79" s="551">
        <f t="shared" ca="1" si="262"/>
        <v>43423</v>
      </c>
      <c r="EI79" s="530" t="str">
        <f t="shared" ca="1" si="149"/>
        <v>0</v>
      </c>
      <c r="EJ79" s="531"/>
      <c r="EK79" s="533">
        <f t="shared" ref="EK79:EK80" ca="1" si="311">IF(EJ79&lt;TODAY(),TODAY(),EJ79)</f>
        <v>43423</v>
      </c>
      <c r="EL79" s="529" t="str">
        <f t="shared" ca="1" si="290"/>
        <v>0</v>
      </c>
      <c r="EM79" s="527"/>
      <c r="EN79" s="533">
        <f t="shared" ref="EN79:EN80" ca="1" si="312">IF(EM79&lt;TODAY(),TODAY(),EM79)</f>
        <v>43423</v>
      </c>
      <c r="EO79" s="529" t="str">
        <f t="shared" ref="EO79:EO80" ca="1" si="313">IF(AND(EM79&gt;0,EN79&gt;0),EN79-EM79,"0")</f>
        <v>0</v>
      </c>
      <c r="EP79" s="533"/>
      <c r="EQ79" s="533">
        <f t="shared" ref="EQ79:EQ80" ca="1" si="314">IF(EP79&lt;TODAY(),TODAY(),EP79)</f>
        <v>43423</v>
      </c>
      <c r="ER79" s="529" t="str">
        <f t="shared" ref="ER79:ER80" ca="1" si="315">IF(AND(EP79&gt;0,EQ79&gt;0),EQ79-EP79,"0")</f>
        <v>0</v>
      </c>
      <c r="ES79" s="533"/>
      <c r="ET79" s="533">
        <f t="shared" ref="ET79:ET80" ca="1" si="316">IF(ES79&lt;TODAY(),TODAY(),ES79)</f>
        <v>43423</v>
      </c>
      <c r="EU79" s="529" t="str">
        <f t="shared" ref="EU79:EU80" ca="1" si="317">IF(AND(ES79&gt;0,ET79&gt;0),ET79-ES79,"0")</f>
        <v>0</v>
      </c>
      <c r="EV79" s="533"/>
      <c r="EW79" s="533">
        <f t="shared" ref="EW79:EW80" ca="1" si="318">IF(EV79&lt;TODAY(),TODAY(),EV79)</f>
        <v>43423</v>
      </c>
      <c r="EX79" s="529" t="str">
        <f t="shared" ref="EX79:EX80" ca="1" si="319">IF(AND(EV79&gt;0,EW79&gt;0),EW79-EV79,"0")</f>
        <v>0</v>
      </c>
      <c r="EY79" s="533"/>
      <c r="EZ79" s="533"/>
      <c r="FA79" s="533"/>
      <c r="FB79" s="616">
        <f t="shared" si="155"/>
        <v>44340</v>
      </c>
      <c r="FC79" s="730">
        <f>DATE(YEAR(FB79),MONTH(FB79)+1,DAY(FB79))</f>
        <v>44371</v>
      </c>
      <c r="FD79" s="730">
        <f t="shared" si="291"/>
        <v>1.0333333333333334</v>
      </c>
      <c r="FE79" s="573">
        <f>DATE(YEAR(CY79)+2,MONTH(CY79),DAY(CY79))</f>
        <v>731</v>
      </c>
      <c r="FF79" s="242"/>
      <c r="FG79" s="242"/>
      <c r="FH79" s="186">
        <f t="shared" si="309"/>
        <v>44401</v>
      </c>
      <c r="FI79" s="461"/>
      <c r="FJ79" s="571">
        <f t="shared" si="266"/>
        <v>44371</v>
      </c>
      <c r="FK79" s="730">
        <f>DATE(YEAR(FH79),MONTH(FH79)+1,DAY(FH79))</f>
        <v>44432</v>
      </c>
      <c r="FL79" s="574"/>
      <c r="FM79" s="724">
        <f t="shared" si="267"/>
        <v>2.0333333333333332</v>
      </c>
      <c r="FN79" s="700">
        <v>14099</v>
      </c>
      <c r="FO79" s="246">
        <f t="shared" si="292"/>
        <v>28667.966666666664</v>
      </c>
      <c r="FP79" s="117"/>
      <c r="FQ79" s="556"/>
      <c r="FR79" s="556">
        <v>0</v>
      </c>
      <c r="FS79" s="556"/>
      <c r="FT79" s="556"/>
      <c r="FU79" s="556"/>
      <c r="FV79" s="749">
        <f>FU79/GY79</f>
        <v>0</v>
      </c>
      <c r="FW79" s="553"/>
      <c r="FX79" s="566"/>
      <c r="FY79" s="566"/>
      <c r="FZ79" s="553"/>
      <c r="GA79" s="121"/>
      <c r="GB79" s="121"/>
      <c r="GC79" s="121"/>
      <c r="GD79" s="121"/>
      <c r="GE79" s="121"/>
      <c r="GF79" s="53"/>
      <c r="GG79" s="280">
        <f t="shared" si="161"/>
        <v>44736</v>
      </c>
      <c r="GH79" s="280"/>
      <c r="GI79" s="53"/>
      <c r="GJ79" s="53"/>
      <c r="GK79" s="53"/>
      <c r="GL79" s="53"/>
      <c r="GM79" s="53"/>
      <c r="GN79" s="53"/>
      <c r="GO79" s="53"/>
      <c r="GP79" s="53"/>
      <c r="GQ79" s="53"/>
      <c r="GR79" s="53"/>
      <c r="GS79" s="53"/>
      <c r="GT79" s="53"/>
      <c r="GU79" s="53"/>
      <c r="GV79" s="112"/>
      <c r="GW79" s="112"/>
      <c r="GX79" s="93">
        <f>+HI79+HN79+HU79+IO79+HZ79</f>
        <v>5275081.05</v>
      </c>
      <c r="GY79" s="67">
        <f t="shared" si="302"/>
        <v>5275083.05</v>
      </c>
      <c r="GZ79" s="67">
        <f t="shared" si="303"/>
        <v>5275083.05</v>
      </c>
      <c r="HA79" s="94">
        <f t="shared" si="276"/>
        <v>2</v>
      </c>
      <c r="HB79" s="49">
        <f t="shared" si="304"/>
        <v>2001.7087493217066</v>
      </c>
      <c r="HC79" s="49">
        <f t="shared" si="305"/>
        <v>155149.50147058823</v>
      </c>
      <c r="HD79" s="93"/>
      <c r="HE79" s="67"/>
      <c r="HF79" s="94">
        <f t="shared" si="277"/>
        <v>0</v>
      </c>
      <c r="HG79" s="128">
        <f t="shared" si="278"/>
        <v>0</v>
      </c>
      <c r="HH79" s="129">
        <v>0.4</v>
      </c>
      <c r="HI79" s="93">
        <v>1530341</v>
      </c>
      <c r="HJ79" s="67">
        <v>1530342</v>
      </c>
      <c r="HK79" s="874"/>
      <c r="HL79" s="49">
        <f t="shared" si="279"/>
        <v>45010.058823529413</v>
      </c>
      <c r="HM79" s="95"/>
      <c r="HN79" s="93">
        <v>3003468</v>
      </c>
      <c r="HO79" s="67">
        <f t="shared" si="306"/>
        <v>3003469</v>
      </c>
      <c r="HP79" s="87">
        <v>541398</v>
      </c>
      <c r="HQ79" s="87">
        <v>2462071</v>
      </c>
      <c r="HR79" s="95">
        <f t="shared" si="280"/>
        <v>1</v>
      </c>
      <c r="HS79" s="630">
        <f t="shared" si="307"/>
        <v>88337.323529411762</v>
      </c>
      <c r="HT79" s="67"/>
      <c r="HU79" s="287">
        <v>714000</v>
      </c>
      <c r="HV79" s="67">
        <f>HU79</f>
        <v>714000</v>
      </c>
      <c r="HW79" s="67"/>
      <c r="HX79" s="88">
        <f t="shared" si="172"/>
        <v>0.1353533192240452</v>
      </c>
      <c r="HY79" s="93"/>
      <c r="HZ79" s="67">
        <v>27272.05</v>
      </c>
      <c r="IA79" s="89">
        <f t="shared" si="173"/>
        <v>0</v>
      </c>
      <c r="IB79" s="49">
        <f t="shared" si="174"/>
        <v>21000</v>
      </c>
      <c r="IC79" s="81">
        <f t="shared" si="175"/>
        <v>66010.058823529413</v>
      </c>
      <c r="ID79" s="89">
        <f>IA79/AE79</f>
        <v>0</v>
      </c>
      <c r="IE79" s="90">
        <v>6.31</v>
      </c>
      <c r="IF79" s="90"/>
      <c r="IG79" s="91"/>
      <c r="IH79" s="91"/>
      <c r="II79" s="49">
        <f>(HI79+HU79+IH79)/AE79</f>
        <v>66010.029411764699</v>
      </c>
      <c r="IJ79" s="91"/>
      <c r="IK79" s="49">
        <f>(HJ79+HV79+IH79+IJ79)/AE79</f>
        <v>66010.058823529413</v>
      </c>
      <c r="IL79" s="50">
        <f t="shared" si="272"/>
        <v>0.42546095097439313</v>
      </c>
      <c r="IM79" s="91"/>
      <c r="IN79" s="91"/>
      <c r="IO79" s="67">
        <f t="shared" si="273"/>
        <v>0</v>
      </c>
      <c r="IP79" s="96">
        <f t="shared" si="308"/>
        <v>5275081.05</v>
      </c>
      <c r="IQ79" s="231"/>
      <c r="IR79" s="231">
        <f t="shared" si="275"/>
        <v>0</v>
      </c>
      <c r="IS79" s="113"/>
      <c r="IT79" s="314"/>
      <c r="IU79" s="314"/>
      <c r="IV79" s="239"/>
      <c r="IW79" s="239"/>
      <c r="IX79" s="330"/>
      <c r="IY79" s="236"/>
      <c r="IZ79" s="331"/>
      <c r="JA79" s="236"/>
      <c r="JB79" s="331"/>
      <c r="JC79" s="291"/>
      <c r="JD79" s="332"/>
      <c r="JE79" s="328"/>
      <c r="JF79" s="328"/>
      <c r="JG79" s="194"/>
      <c r="JH79" s="330"/>
      <c r="JI79" s="194"/>
      <c r="JJ79" s="330"/>
      <c r="JK79" s="291"/>
      <c r="JL79" s="291"/>
      <c r="JM79" s="291"/>
      <c r="JN79" s="291"/>
      <c r="JO79" s="269"/>
      <c r="JP79" s="269"/>
      <c r="JQ79" s="269"/>
      <c r="JR79" s="269"/>
      <c r="JS79" s="269"/>
      <c r="JT79" s="269"/>
      <c r="JU79" s="330"/>
      <c r="JV79" s="329"/>
      <c r="JW79" s="291"/>
      <c r="JX79" s="329"/>
      <c r="JY79" s="329"/>
      <c r="JZ79" s="291"/>
    </row>
    <row r="80" spans="1:286" ht="15" customHeight="1">
      <c r="A80" s="98" t="s">
        <v>163</v>
      </c>
      <c r="B80" s="98"/>
      <c r="C80" s="54" t="s">
        <v>28</v>
      </c>
      <c r="D80" s="54" t="s">
        <v>112</v>
      </c>
      <c r="E80" s="53">
        <v>2020</v>
      </c>
      <c r="F80" s="54" t="s">
        <v>164</v>
      </c>
      <c r="G80" s="53" t="s">
        <v>54</v>
      </c>
      <c r="H80" s="53"/>
      <c r="I80" s="54" t="s">
        <v>174</v>
      </c>
      <c r="J80" s="53" t="s">
        <v>120</v>
      </c>
      <c r="K80" s="54" t="s">
        <v>952</v>
      </c>
      <c r="L80" s="206" t="s">
        <v>373</v>
      </c>
      <c r="M80" s="166" t="s">
        <v>199</v>
      </c>
      <c r="N80" s="167" t="s">
        <v>149</v>
      </c>
      <c r="O80" s="168"/>
      <c r="P80" s="212">
        <v>1736</v>
      </c>
      <c r="Q80" s="212">
        <f>R80</f>
        <v>448408</v>
      </c>
      <c r="R80" s="212">
        <v>448408</v>
      </c>
      <c r="S80" s="207">
        <f t="shared" si="310"/>
        <v>23600.42105263158</v>
      </c>
      <c r="T80" s="212">
        <f t="shared" si="295"/>
        <v>258.29953917050693</v>
      </c>
      <c r="U80" s="213">
        <f t="shared" si="296"/>
        <v>258.29953917050693</v>
      </c>
      <c r="V80" s="213">
        <f>R80/AM80</f>
        <v>274.7126718455167</v>
      </c>
      <c r="W80" s="213">
        <f t="shared" si="298"/>
        <v>23600.42105263158</v>
      </c>
      <c r="X80" s="207">
        <f t="shared" si="299"/>
        <v>91.368421052631575</v>
      </c>
      <c r="Y80" s="214"/>
      <c r="Z80" s="906">
        <f t="shared" si="282"/>
        <v>109.44700460829493</v>
      </c>
      <c r="AA80" s="214" t="s">
        <v>194</v>
      </c>
      <c r="AB80" s="208">
        <v>50</v>
      </c>
      <c r="AC80" s="209"/>
      <c r="AD80" s="54" t="s">
        <v>16</v>
      </c>
      <c r="AE80" s="771">
        <f>SUM(AF80:AI80)</f>
        <v>19</v>
      </c>
      <c r="AF80" s="52"/>
      <c r="AG80" s="54">
        <v>19</v>
      </c>
      <c r="AH80" s="257"/>
      <c r="AI80" s="257"/>
      <c r="AJ80" s="269"/>
      <c r="AK80" s="57">
        <v>1584.58</v>
      </c>
      <c r="AL80" s="57"/>
      <c r="AM80" s="92">
        <v>1632.28</v>
      </c>
      <c r="AN80" s="57">
        <f>AM80/AE80</f>
        <v>85.909473684210525</v>
      </c>
      <c r="AO80" s="881"/>
      <c r="AP80" s="78">
        <f>8/AE80</f>
        <v>0.42105263157894735</v>
      </c>
      <c r="AQ80" s="78">
        <f>7/AE80</f>
        <v>0.36842105263157893</v>
      </c>
      <c r="AR80" s="78">
        <f>4/AE80</f>
        <v>0.21052631578947367</v>
      </c>
      <c r="AS80" s="59"/>
      <c r="AT80" s="57"/>
      <c r="AU80" s="76">
        <v>0</v>
      </c>
      <c r="AV80" s="78">
        <f>AU80/P80</f>
        <v>0</v>
      </c>
      <c r="AW80" s="57">
        <v>3</v>
      </c>
      <c r="AX80" s="56" t="s">
        <v>549</v>
      </c>
      <c r="AY80" s="53" t="s">
        <v>120</v>
      </c>
      <c r="AZ80" s="53"/>
      <c r="BA80" s="53"/>
      <c r="BB80" s="236">
        <v>41591</v>
      </c>
      <c r="BC80" s="236">
        <v>42475</v>
      </c>
      <c r="BD80" s="110"/>
      <c r="BE80" s="110"/>
      <c r="BF80" s="258" t="s">
        <v>168</v>
      </c>
      <c r="BG80" s="204"/>
      <c r="BH80" s="99"/>
      <c r="BI80" s="99"/>
      <c r="BJ80" s="204"/>
      <c r="BK80" s="99"/>
      <c r="BL80" s="161"/>
      <c r="BM80" s="203"/>
      <c r="BN80" s="161"/>
      <c r="BO80" s="161"/>
      <c r="BP80" s="299">
        <f>BM80</f>
        <v>0</v>
      </c>
      <c r="BQ80" s="298">
        <f>DATE(YEAR(BP80),MONTH(BP80)+24,DAY(BP80))</f>
        <v>731</v>
      </c>
      <c r="BR80" s="298">
        <f>DATE(YEAR(BP80),MONTH(BP80)+36,DAY(BP80))</f>
        <v>1096</v>
      </c>
      <c r="BS80" s="298"/>
      <c r="BT80" s="298" t="str">
        <f>IF(DG80&gt;BQ80,"oui","non")</f>
        <v>non</v>
      </c>
      <c r="BU80" s="672">
        <f>DATEDIF(DG80,BR80,"M")</f>
        <v>33</v>
      </c>
      <c r="BV80" s="672"/>
      <c r="BW80" s="672"/>
      <c r="BX80" s="161"/>
      <c r="BY80" s="165"/>
      <c r="BZ80" s="100"/>
      <c r="CA80" s="101"/>
      <c r="CB80" s="101"/>
      <c r="CC80" s="101"/>
      <c r="CD80" s="159" t="s">
        <v>149</v>
      </c>
      <c r="CE80" s="250"/>
      <c r="CF80" s="250"/>
      <c r="CG80" s="158"/>
      <c r="CH80" s="250"/>
      <c r="CI80" s="250"/>
      <c r="CJ80" s="250"/>
      <c r="CK80" s="250" t="s">
        <v>168</v>
      </c>
      <c r="CL80" s="598"/>
      <c r="CM80" s="451"/>
      <c r="CN80" s="781"/>
      <c r="CO80" s="333"/>
      <c r="CP80" s="245">
        <f>(DATEDIF(BG80,CN80,"d"))/30</f>
        <v>0</v>
      </c>
      <c r="CQ80" s="245">
        <v>14</v>
      </c>
      <c r="CR80" s="245">
        <f>CQ80+1</f>
        <v>15</v>
      </c>
      <c r="CS80" s="159"/>
      <c r="CT80" s="250"/>
      <c r="CU80" s="250"/>
      <c r="CV80" s="158"/>
      <c r="CW80" s="250"/>
      <c r="CX80" s="250"/>
      <c r="CY80" s="250"/>
      <c r="CZ80" s="250" t="s">
        <v>168</v>
      </c>
      <c r="DA80" s="598"/>
      <c r="DB80" s="120">
        <f>DATE(YEAR(CJ80)+2,MONTH(CJ80),DAY(CJ80))</f>
        <v>731</v>
      </c>
      <c r="DC80" s="242"/>
      <c r="DD80" s="856">
        <f>(DATEDIF(BG80,DC80,"d"))/30/12</f>
        <v>0</v>
      </c>
      <c r="DE80" s="242"/>
      <c r="DF80" s="186">
        <f>DATE(YEAR(DA80),MONTH(DA80)+1,DAY(DA80))</f>
        <v>31</v>
      </c>
      <c r="DG80" s="117">
        <f>DATE(YEAR(DF80),MONTH(DF80)+1,DAY(DF80))</f>
        <v>62</v>
      </c>
      <c r="DH80" s="334"/>
      <c r="DI80" s="117"/>
      <c r="DJ80" s="121"/>
      <c r="DK80" s="121"/>
      <c r="DL80" s="121"/>
      <c r="DM80" s="121"/>
      <c r="DN80" s="121"/>
      <c r="DO80" s="53"/>
      <c r="DP80" s="280">
        <f>DATE(YEAR(DA80)+1,MONTH(DA80),DAY(DA80))</f>
        <v>366</v>
      </c>
      <c r="DQ80" s="280"/>
      <c r="DR80" s="53"/>
      <c r="DS80" s="53"/>
      <c r="DT80" s="53"/>
      <c r="DU80" s="53"/>
      <c r="DV80" s="53"/>
      <c r="DW80" s="53"/>
      <c r="DX80" s="686">
        <v>44378</v>
      </c>
      <c r="DY80" s="782"/>
      <c r="DZ80" s="442">
        <f t="shared" si="286"/>
        <v>1479.2666666666667</v>
      </c>
      <c r="EA80" s="529" t="str">
        <f t="shared" si="287"/>
        <v>0</v>
      </c>
      <c r="EB80" s="398">
        <v>16</v>
      </c>
      <c r="EC80" s="241">
        <f t="shared" si="288"/>
        <v>3</v>
      </c>
      <c r="ED80" s="53"/>
      <c r="EE80" s="533">
        <f t="shared" ca="1" si="261"/>
        <v>43423</v>
      </c>
      <c r="EF80" s="529" t="str">
        <f t="shared" ca="1" si="289"/>
        <v>0</v>
      </c>
      <c r="EG80" s="527"/>
      <c r="EH80" s="551">
        <f t="shared" ca="1" si="262"/>
        <v>43423</v>
      </c>
      <c r="EI80" s="530" t="str">
        <f t="shared" ca="1" si="149"/>
        <v>0</v>
      </c>
      <c r="EJ80" s="531"/>
      <c r="EK80" s="533">
        <f t="shared" ca="1" si="311"/>
        <v>43423</v>
      </c>
      <c r="EL80" s="529" t="str">
        <f t="shared" ca="1" si="290"/>
        <v>0</v>
      </c>
      <c r="EM80" s="527"/>
      <c r="EN80" s="533">
        <f t="shared" ca="1" si="312"/>
        <v>43423</v>
      </c>
      <c r="EO80" s="529" t="str">
        <f t="shared" ca="1" si="313"/>
        <v>0</v>
      </c>
      <c r="EP80" s="533"/>
      <c r="EQ80" s="533">
        <f t="shared" ca="1" si="314"/>
        <v>43423</v>
      </c>
      <c r="ER80" s="529" t="str">
        <f t="shared" ca="1" si="315"/>
        <v>0</v>
      </c>
      <c r="ES80" s="533"/>
      <c r="ET80" s="533">
        <f t="shared" ca="1" si="316"/>
        <v>43423</v>
      </c>
      <c r="EU80" s="529" t="str">
        <f t="shared" ca="1" si="317"/>
        <v>0</v>
      </c>
      <c r="EV80" s="533"/>
      <c r="EW80" s="533">
        <f t="shared" ca="1" si="318"/>
        <v>43423</v>
      </c>
      <c r="EX80" s="529" t="str">
        <f t="shared" ca="1" si="319"/>
        <v>0</v>
      </c>
      <c r="EY80" s="533"/>
      <c r="EZ80" s="533"/>
      <c r="FA80" s="533"/>
      <c r="FB80" s="731">
        <v>42965</v>
      </c>
      <c r="FC80" s="730">
        <f>DATE(YEAR(DX80),MONTH(DX80)+3,DAY(DX80))</f>
        <v>44470</v>
      </c>
      <c r="FD80" s="727">
        <f t="shared" si="291"/>
        <v>50.166666666666664</v>
      </c>
      <c r="FE80" s="731">
        <v>43182</v>
      </c>
      <c r="FF80" s="533">
        <v>43182</v>
      </c>
      <c r="FG80" s="530">
        <f>IF(AND(FE80&gt;0,FF80&gt;0),FF80-FE80,"0")</f>
        <v>0</v>
      </c>
      <c r="FH80" s="186">
        <f t="shared" si="309"/>
        <v>44501</v>
      </c>
      <c r="FI80" s="461">
        <f>DATE(YEAR(FA80),MONTH(FA80)+1,DAY(FA80))</f>
        <v>31</v>
      </c>
      <c r="FJ80" s="753">
        <v>42996</v>
      </c>
      <c r="FK80" s="730">
        <f>DATE(YEAR(FH80),MONTH(FH80)+1,DAY(FH80))</f>
        <v>44531</v>
      </c>
      <c r="FL80" s="574"/>
      <c r="FM80" s="724">
        <f t="shared" si="267"/>
        <v>51.166666666666664</v>
      </c>
      <c r="FN80" s="700"/>
      <c r="FO80" s="246">
        <f t="shared" si="292"/>
        <v>0</v>
      </c>
      <c r="FP80" s="186"/>
      <c r="FQ80" s="556"/>
      <c r="FR80" s="556"/>
      <c r="FS80" s="556"/>
      <c r="FT80" s="556"/>
      <c r="FU80" s="556"/>
      <c r="FV80" s="529" t="str">
        <f>IF(AND(FT80&gt;0,FU80&gt;0),FU80-FT80,"0")</f>
        <v>0</v>
      </c>
      <c r="FW80" s="533"/>
      <c r="FX80" s="533"/>
      <c r="FY80" s="533"/>
      <c r="FZ80" s="533"/>
      <c r="GA80" s="533">
        <f>DA80</f>
        <v>0</v>
      </c>
      <c r="GB80" s="531">
        <f>(DATEDIF(EZ80,FZ80,"d"))/30</f>
        <v>0</v>
      </c>
      <c r="GC80" s="533"/>
      <c r="GD80" s="533">
        <f>DG80</f>
        <v>62</v>
      </c>
      <c r="GE80" s="556"/>
      <c r="GF80" s="556"/>
      <c r="GG80" s="556"/>
      <c r="GH80" s="556"/>
      <c r="GI80" s="557">
        <f ca="1">(EH80+EK80+EN80+EQ80+ET80+EX80+FA80)/30</f>
        <v>7237.166666666667</v>
      </c>
      <c r="GJ80" s="557">
        <f>(GD80-GC80)/30</f>
        <v>2.0666666666666669</v>
      </c>
      <c r="GK80" s="553"/>
      <c r="GL80" s="566"/>
      <c r="GM80" s="553"/>
      <c r="GN80" s="553"/>
      <c r="GO80" s="112"/>
      <c r="GP80" s="112"/>
      <c r="GQ80" s="93">
        <f>+HA80+HF80+HM80+IG80+HR80</f>
        <v>0</v>
      </c>
      <c r="GR80" s="67">
        <f>HB80+HG80+HN80+IG80+HO80+HR80</f>
        <v>0</v>
      </c>
      <c r="GS80" s="94">
        <f>GR80-GQ80</f>
        <v>0</v>
      </c>
      <c r="GT80" s="49">
        <f>GQ80/AK80</f>
        <v>0</v>
      </c>
      <c r="GU80" s="49">
        <f>GQ80/AE80</f>
        <v>0</v>
      </c>
      <c r="GV80" s="93"/>
      <c r="GW80" s="67"/>
      <c r="GX80" s="94">
        <f>GW80-GV80</f>
        <v>0</v>
      </c>
      <c r="GY80" s="128" t="e">
        <f>GW80*1.021/GR80</f>
        <v>#DIV/0!</v>
      </c>
      <c r="GZ80" s="129">
        <v>0.4</v>
      </c>
      <c r="HA80" s="93"/>
      <c r="HB80" s="67"/>
      <c r="HC80" s="67"/>
      <c r="HD80" s="49">
        <f>HB80/AE80</f>
        <v>0</v>
      </c>
      <c r="HE80" s="95"/>
      <c r="HF80" s="93"/>
      <c r="HG80" s="67">
        <f>HH80+HI80</f>
        <v>0</v>
      </c>
      <c r="HH80" s="87"/>
      <c r="HI80" s="87"/>
      <c r="HJ80" s="95">
        <f>HG80-HF80</f>
        <v>0</v>
      </c>
      <c r="HK80" s="630">
        <f>HG80/AE80</f>
        <v>0</v>
      </c>
      <c r="HL80" s="67"/>
      <c r="HM80" s="93"/>
      <c r="HN80" s="67"/>
      <c r="HO80" s="72"/>
      <c r="HP80" s="88" t="e">
        <f>HN80/GR80</f>
        <v>#DIV/0!</v>
      </c>
      <c r="HQ80" s="303"/>
      <c r="HR80" s="67"/>
      <c r="HS80" s="89">
        <f>HN80-HM80</f>
        <v>0</v>
      </c>
      <c r="HT80" s="49">
        <f>HN80/AE80</f>
        <v>0</v>
      </c>
      <c r="HU80" s="81">
        <f>(HB80+HN80)/AE80</f>
        <v>0</v>
      </c>
      <c r="HV80" s="89">
        <f>HS80/AE80</f>
        <v>0</v>
      </c>
      <c r="HW80" s="259">
        <v>6.31</v>
      </c>
      <c r="HX80" s="897"/>
      <c r="HY80" s="91"/>
      <c r="HZ80" s="91"/>
      <c r="IA80" s="49">
        <f>(HA80+HM80+HZ80)/AE80</f>
        <v>0</v>
      </c>
      <c r="IB80" s="39"/>
      <c r="IC80" s="49">
        <f>(HB80+HN80+HZ80+IB80)/AE80</f>
        <v>0</v>
      </c>
      <c r="ID80" s="50" t="e">
        <f>(HA80+HM80+HZ80+IB80)/(HY80+GQ80-IE80)</f>
        <v>#DIV/0!</v>
      </c>
      <c r="IE80" s="91"/>
      <c r="IF80" s="91"/>
      <c r="IG80" s="67"/>
      <c r="IH80" s="96">
        <f>GQ80+HY80</f>
        <v>0</v>
      </c>
      <c r="II80" s="277">
        <v>183150</v>
      </c>
      <c r="IJ80" s="277">
        <f>IL80+IN80+IP80+IR80+IT80+IV80+IX80+IZ80+JB80+JD80+JF80+JH80+JJ80+JL80+JN80+JP80+JR80</f>
        <v>45788</v>
      </c>
      <c r="IK80" s="113">
        <v>41641</v>
      </c>
      <c r="IL80" s="231">
        <v>17413</v>
      </c>
      <c r="IM80" s="231"/>
      <c r="IN80" s="113"/>
      <c r="IO80" s="113">
        <v>41696</v>
      </c>
      <c r="IP80" s="898">
        <v>8707</v>
      </c>
      <c r="IQ80" s="113">
        <v>41820</v>
      </c>
      <c r="IR80" s="231">
        <v>19668</v>
      </c>
      <c r="IS80" s="113"/>
      <c r="IT80" s="231"/>
      <c r="IU80" s="114"/>
      <c r="IV80" s="321"/>
      <c r="IW80" s="313"/>
      <c r="IX80" s="313"/>
      <c r="IY80" s="276"/>
      <c r="IZ80" s="281"/>
      <c r="JA80" s="276"/>
      <c r="JB80" s="281"/>
      <c r="JC80" s="300"/>
      <c r="JD80" s="300"/>
      <c r="JE80" s="300"/>
      <c r="JF80" s="300"/>
      <c r="JG80" s="269"/>
      <c r="JH80" s="269"/>
      <c r="JI80" s="269"/>
      <c r="JJ80" s="269"/>
      <c r="JK80" s="269"/>
      <c r="JL80" s="269"/>
      <c r="JM80" s="231">
        <v>19668</v>
      </c>
      <c r="JN80" s="122"/>
      <c r="JO80" s="114"/>
      <c r="JP80" s="122"/>
      <c r="JQ80" s="658"/>
      <c r="JR80" s="658"/>
      <c r="JS80" s="658"/>
      <c r="JT80" s="658"/>
      <c r="JU80" s="658"/>
      <c r="JV80" s="658"/>
      <c r="JW80" s="658"/>
      <c r="JX80" s="658"/>
      <c r="JY80" s="658"/>
      <c r="JZ80" s="658"/>
    </row>
    <row r="81" spans="1:286" ht="15" customHeight="1">
      <c r="A81" s="98" t="s">
        <v>613</v>
      </c>
      <c r="B81" s="98"/>
      <c r="C81" s="54" t="s">
        <v>428</v>
      </c>
      <c r="D81" s="54" t="s">
        <v>113</v>
      </c>
      <c r="E81" s="53">
        <v>2020</v>
      </c>
      <c r="F81" s="54"/>
      <c r="G81" s="53"/>
      <c r="H81" s="53"/>
      <c r="I81" s="54" t="s">
        <v>404</v>
      </c>
      <c r="J81" s="53"/>
      <c r="K81" s="54" t="s">
        <v>613</v>
      </c>
      <c r="L81" s="206"/>
      <c r="M81" s="166"/>
      <c r="N81" s="167"/>
      <c r="O81" s="168"/>
      <c r="P81" s="212">
        <v>1681</v>
      </c>
      <c r="Q81" s="212">
        <v>375000</v>
      </c>
      <c r="R81" s="212">
        <v>375000</v>
      </c>
      <c r="S81" s="207">
        <f t="shared" ref="S81" si="320">Q81/AE81</f>
        <v>15625</v>
      </c>
      <c r="T81" s="207">
        <f t="shared" ref="T81" si="321">Q81/P81</f>
        <v>223.08149910767401</v>
      </c>
      <c r="U81" s="213">
        <f t="shared" ref="U81" si="322">R81/P81</f>
        <v>223.08149910767401</v>
      </c>
      <c r="V81" s="213" t="e">
        <f t="shared" ref="V81" si="323">R81/AN81</f>
        <v>#DIV/0!</v>
      </c>
      <c r="W81" s="213">
        <f t="shared" ref="W81" si="324">R81/AE81</f>
        <v>15625</v>
      </c>
      <c r="X81" s="207">
        <f t="shared" ref="X81" si="325">P81/AE81</f>
        <v>70.041666666666671</v>
      </c>
      <c r="Y81" s="214"/>
      <c r="Z81" s="907">
        <f t="shared" si="282"/>
        <v>142.77215942891135</v>
      </c>
      <c r="AA81" s="214" t="s">
        <v>962</v>
      </c>
      <c r="AB81" s="208">
        <v>160</v>
      </c>
      <c r="AC81" s="209">
        <v>0.15</v>
      </c>
      <c r="AD81" s="54" t="s">
        <v>425</v>
      </c>
      <c r="AE81" s="771">
        <f t="shared" ref="AE81:AE88" si="326">SUM(AG81:AJ81)</f>
        <v>24</v>
      </c>
      <c r="AF81" s="257"/>
      <c r="AG81" s="64"/>
      <c r="AH81" s="64"/>
      <c r="AI81" s="53">
        <v>24</v>
      </c>
      <c r="AJ81" s="269"/>
      <c r="AK81" s="57"/>
      <c r="AL81" s="57"/>
      <c r="AM81" s="92"/>
      <c r="AN81" s="57"/>
      <c r="AO81" s="59"/>
      <c r="AP81" s="78"/>
      <c r="AQ81" s="78"/>
      <c r="AR81" s="78"/>
      <c r="AS81" s="59"/>
      <c r="AT81" s="57"/>
      <c r="AU81" s="76"/>
      <c r="AV81" s="78"/>
      <c r="AW81" s="57"/>
      <c r="AX81" s="56"/>
      <c r="AY81" s="53"/>
      <c r="AZ81" s="53"/>
      <c r="BA81" s="53"/>
      <c r="BB81" s="236"/>
      <c r="BC81" s="236"/>
      <c r="BD81" s="110"/>
      <c r="BE81" s="110"/>
      <c r="BF81" s="258"/>
      <c r="BG81" s="204"/>
      <c r="BH81" s="99"/>
      <c r="BI81" s="99"/>
      <c r="BJ81" s="204"/>
      <c r="BK81" s="99"/>
      <c r="BL81" s="161"/>
      <c r="BM81" s="203"/>
      <c r="BN81" s="161"/>
      <c r="BO81" s="161"/>
      <c r="BP81" s="299"/>
      <c r="BQ81" s="298"/>
      <c r="BR81" s="298"/>
      <c r="BS81" s="298"/>
      <c r="BT81" s="298"/>
      <c r="BU81" s="672"/>
      <c r="BV81" s="672"/>
      <c r="BW81" s="672"/>
      <c r="BX81" s="161"/>
      <c r="BY81" s="165"/>
      <c r="BZ81" s="100"/>
      <c r="CA81" s="101"/>
      <c r="CB81" s="101"/>
      <c r="CC81" s="101"/>
      <c r="CD81" s="159"/>
      <c r="CE81" s="250"/>
      <c r="CF81" s="250"/>
      <c r="CG81" s="158"/>
      <c r="CH81" s="250"/>
      <c r="CI81" s="250"/>
      <c r="CJ81" s="250"/>
      <c r="CK81" s="250"/>
      <c r="CL81" s="598"/>
      <c r="CM81" s="451"/>
      <c r="CN81" s="781"/>
      <c r="CO81" s="333"/>
      <c r="CP81" s="245"/>
      <c r="CQ81" s="245"/>
      <c r="CR81" s="245"/>
      <c r="CS81" s="159"/>
      <c r="CT81" s="250"/>
      <c r="CU81" s="250"/>
      <c r="CV81" s="158"/>
      <c r="CW81" s="250"/>
      <c r="CX81" s="250"/>
      <c r="CY81" s="250"/>
      <c r="CZ81" s="250"/>
      <c r="DA81" s="598"/>
      <c r="DB81" s="120"/>
      <c r="DC81" s="242"/>
      <c r="DD81" s="856"/>
      <c r="DE81" s="242"/>
      <c r="DF81" s="186"/>
      <c r="DG81" s="117"/>
      <c r="DH81" s="334"/>
      <c r="DI81" s="117"/>
      <c r="DJ81" s="121"/>
      <c r="DK81" s="121"/>
      <c r="DL81" s="121"/>
      <c r="DM81" s="121"/>
      <c r="DN81" s="121"/>
      <c r="DO81" s="53"/>
      <c r="DP81" s="280"/>
      <c r="DQ81" s="280"/>
      <c r="DR81" s="53"/>
      <c r="DS81" s="53"/>
      <c r="DT81" s="53"/>
      <c r="DU81" s="53"/>
      <c r="DV81" s="53"/>
      <c r="DW81" s="53"/>
      <c r="DX81" s="686">
        <v>44336</v>
      </c>
      <c r="DY81" s="782"/>
      <c r="DZ81" s="442">
        <f t="shared" ref="DZ81" si="327">(DATEDIF(BI81,DX81,"d"))/30</f>
        <v>1477.8666666666666</v>
      </c>
      <c r="EA81" s="529" t="str">
        <f t="shared" ref="EA81" si="328">IF(AND(DW81&gt;0,DX81&gt;0),DX81-DW81,"0")</f>
        <v>0</v>
      </c>
      <c r="EB81" s="687">
        <v>20</v>
      </c>
      <c r="EC81" s="241">
        <f t="shared" ref="EC81" si="329">DATEDIF(DX81,FC81,"M")</f>
        <v>23</v>
      </c>
      <c r="ED81" s="53"/>
      <c r="EE81" s="533">
        <f t="shared" ca="1" si="261"/>
        <v>43423</v>
      </c>
      <c r="EF81" s="529" t="str">
        <f t="shared" ref="EF81" ca="1" si="330">IF(AND(ED81&gt;0,EE81&gt;0),EE81-ED81,"0")</f>
        <v>0</v>
      </c>
      <c r="EG81" s="527"/>
      <c r="EH81" s="551">
        <f t="shared" ref="EH81" ca="1" si="331">IF(EG81&lt;TODAY(),TODAY(),EG81)</f>
        <v>43423</v>
      </c>
      <c r="EI81" s="530" t="str">
        <f t="shared" ref="EI81" ca="1" si="332">IF(AND(EG81&gt;0,EH81&gt;0),EH81-EG81,"0")</f>
        <v>0</v>
      </c>
      <c r="EJ81" s="531"/>
      <c r="EK81" s="532"/>
      <c r="EL81" s="529" t="str">
        <f t="shared" ref="EL81" si="333">IF(AND(EJ81&gt;0,EK81&gt;0),EK81-EJ81,"0")</f>
        <v>0</v>
      </c>
      <c r="EM81" s="527"/>
      <c r="EN81" s="533">
        <f ca="1">IF(EM81&lt;TODAY(),TODAY(),EM81)</f>
        <v>43423</v>
      </c>
      <c r="EO81" s="529" t="str">
        <f ca="1">IF(AND(EM81&gt;0,EN81&gt;0),EN81-EM81,"0")</f>
        <v>0</v>
      </c>
      <c r="EP81" s="533"/>
      <c r="EQ81" s="533">
        <f ca="1">IF(EP81&lt;TODAY(),TODAY(),EP81)</f>
        <v>43423</v>
      </c>
      <c r="ER81" s="529" t="str">
        <f ca="1">IF(AND(EP81&gt;0,EQ81&gt;0),EQ81-EP81,"0")</f>
        <v>0</v>
      </c>
      <c r="ES81" s="533"/>
      <c r="ET81" s="533">
        <f ca="1">IF(ES81&lt;TODAY(),TODAY(),ES81)</f>
        <v>43423</v>
      </c>
      <c r="EU81" s="529" t="str">
        <f ca="1">IF(AND(ES81&gt;0,ET81&gt;0),ET81-ES81,"0")</f>
        <v>0</v>
      </c>
      <c r="EV81" s="533"/>
      <c r="EW81" s="533">
        <f ca="1">IF(EV81&lt;TODAY(),TODAY(),EV81)</f>
        <v>43423</v>
      </c>
      <c r="EX81" s="529" t="str">
        <f ca="1">IF(AND(EV81&gt;0,EW81&gt;0),EW81-EV81,"0")</f>
        <v>0</v>
      </c>
      <c r="EY81" s="533"/>
      <c r="EZ81" s="533"/>
      <c r="FA81" s="533"/>
      <c r="FB81" s="731">
        <f>DATE(YEAR(DX81),MONTH(DX81)+EB81,DAY(DX81))</f>
        <v>44946</v>
      </c>
      <c r="FC81" s="730">
        <f>DATE(YEAR(FB81),MONTH(FB81)+3,DAY(FB81))</f>
        <v>45036</v>
      </c>
      <c r="FD81" s="727">
        <f t="shared" ref="FD81" si="334">(DATEDIF(FB81,FC81,"d"))/30</f>
        <v>3</v>
      </c>
      <c r="FE81" s="573">
        <f>DATE(YEAR(CY81)+2,MONTH(CY81),DAY(CY81))</f>
        <v>731</v>
      </c>
      <c r="FF81" s="242"/>
      <c r="FG81" s="242"/>
      <c r="FH81" s="186">
        <f t="shared" ref="FH81" si="335">DATE(YEAR(FC81),MONTH(FC81)+1,DAY(FC81))</f>
        <v>45066</v>
      </c>
      <c r="FI81" s="461"/>
      <c r="FJ81" s="571">
        <f t="shared" ref="FJ81" si="336">DATE(YEAR(FB81),MONTH(FB81)+1,DAY(FB81))</f>
        <v>44977</v>
      </c>
      <c r="FK81" s="730">
        <f>FH81</f>
        <v>45066</v>
      </c>
      <c r="FL81" s="574"/>
      <c r="FM81" s="724">
        <f t="shared" ref="FM81" si="337">(DATEDIF(FJ81,FK81,"d"))/30</f>
        <v>2.9666666666666668</v>
      </c>
      <c r="FN81" s="700"/>
      <c r="FO81" s="246">
        <f t="shared" ref="FO81" si="338">FN81*FM81</f>
        <v>0</v>
      </c>
      <c r="FP81" s="186"/>
      <c r="FQ81" s="556"/>
      <c r="FR81" s="556"/>
      <c r="FS81" s="556"/>
      <c r="FT81" s="556"/>
      <c r="FU81" s="556"/>
      <c r="FV81" s="529"/>
      <c r="FW81" s="533"/>
      <c r="FX81" s="533"/>
      <c r="FY81" s="533"/>
      <c r="FZ81" s="533"/>
      <c r="GA81" s="533"/>
      <c r="GB81" s="531"/>
      <c r="GC81" s="533"/>
      <c r="GD81" s="533"/>
      <c r="GE81" s="556"/>
      <c r="GF81" s="556"/>
      <c r="GG81" s="556"/>
      <c r="GH81" s="556"/>
      <c r="GI81" s="557"/>
      <c r="GJ81" s="557"/>
      <c r="GK81" s="553"/>
      <c r="GL81" s="566"/>
      <c r="GM81" s="553"/>
      <c r="GN81" s="553"/>
      <c r="GO81" s="112"/>
      <c r="GP81" s="112"/>
      <c r="GQ81" s="93"/>
      <c r="GR81" s="67"/>
      <c r="GS81" s="94"/>
      <c r="GT81" s="49"/>
      <c r="GU81" s="49"/>
      <c r="GV81" s="93"/>
      <c r="GW81" s="67"/>
      <c r="GX81" s="94"/>
      <c r="GY81" s="128"/>
      <c r="GZ81" s="129"/>
      <c r="HA81" s="93"/>
      <c r="HB81" s="67"/>
      <c r="HC81" s="67"/>
      <c r="HD81" s="49"/>
      <c r="HE81" s="95"/>
      <c r="HF81" s="93"/>
      <c r="HG81" s="67"/>
      <c r="HH81" s="87"/>
      <c r="HI81" s="87"/>
      <c r="HJ81" s="95"/>
      <c r="HK81" s="630"/>
      <c r="HL81" s="67"/>
      <c r="HM81" s="93"/>
      <c r="HN81" s="67"/>
      <c r="HO81" s="72"/>
      <c r="HP81" s="88"/>
      <c r="HQ81" s="303"/>
      <c r="HR81" s="67"/>
      <c r="HS81" s="89"/>
      <c r="HT81" s="49"/>
      <c r="HU81" s="81"/>
      <c r="HV81" s="89"/>
      <c r="HW81" s="259"/>
      <c r="HX81" s="259"/>
      <c r="HY81" s="91"/>
      <c r="HZ81" s="91"/>
      <c r="IA81" s="49"/>
      <c r="IB81" s="91"/>
      <c r="IC81" s="49"/>
      <c r="ID81" s="50"/>
      <c r="IE81" s="91"/>
      <c r="IF81" s="91"/>
      <c r="IG81" s="67"/>
      <c r="IH81" s="96"/>
      <c r="II81" s="277"/>
      <c r="IJ81" s="277"/>
      <c r="IK81" s="113"/>
      <c r="IL81" s="231"/>
      <c r="IM81" s="231"/>
      <c r="IN81" s="113"/>
      <c r="IO81" s="113"/>
      <c r="IP81" s="231"/>
      <c r="IQ81" s="113"/>
      <c r="IR81" s="231"/>
      <c r="IS81" s="113"/>
      <c r="IT81" s="231"/>
      <c r="IU81" s="114"/>
      <c r="IV81" s="321"/>
      <c r="IW81" s="313"/>
      <c r="IX81" s="313"/>
      <c r="IY81" s="276"/>
      <c r="IZ81" s="281"/>
      <c r="JA81" s="276"/>
      <c r="JB81" s="281"/>
      <c r="JC81" s="300"/>
      <c r="JD81" s="300"/>
      <c r="JE81" s="300"/>
      <c r="JF81" s="300"/>
      <c r="JG81" s="269"/>
      <c r="JH81" s="269"/>
      <c r="JI81" s="269"/>
      <c r="JJ81" s="269"/>
      <c r="JK81" s="269"/>
      <c r="JL81" s="269"/>
      <c r="JM81" s="231"/>
      <c r="JN81" s="122"/>
      <c r="JO81" s="114"/>
      <c r="JP81" s="122"/>
      <c r="JQ81" s="658"/>
      <c r="JR81" s="658"/>
      <c r="JS81" s="658"/>
      <c r="JT81" s="658"/>
      <c r="JU81" s="658"/>
      <c r="JV81" s="658"/>
      <c r="JW81" s="658"/>
      <c r="JX81" s="658"/>
      <c r="JY81" s="658"/>
      <c r="JZ81" s="658"/>
    </row>
    <row r="82" spans="1:286" ht="15" customHeight="1">
      <c r="A82" s="86" t="s">
        <v>618</v>
      </c>
      <c r="B82" s="86"/>
      <c r="C82" s="53" t="s">
        <v>35</v>
      </c>
      <c r="D82" s="53" t="s">
        <v>112</v>
      </c>
      <c r="E82" s="53">
        <v>2019</v>
      </c>
      <c r="F82" s="53"/>
      <c r="G82" s="53" t="s">
        <v>54</v>
      </c>
      <c r="H82" s="53" t="s">
        <v>179</v>
      </c>
      <c r="I82" s="53" t="s">
        <v>243</v>
      </c>
      <c r="J82" s="53"/>
      <c r="K82" s="53" t="s">
        <v>619</v>
      </c>
      <c r="L82" s="255" t="s">
        <v>930</v>
      </c>
      <c r="M82" s="166"/>
      <c r="N82" s="167"/>
      <c r="O82" s="168"/>
      <c r="P82" s="207">
        <v>1043</v>
      </c>
      <c r="Q82" s="207">
        <v>320000</v>
      </c>
      <c r="R82" s="207">
        <v>320000</v>
      </c>
      <c r="S82" s="207">
        <f>Q82/AE82</f>
        <v>10666.666666666666</v>
      </c>
      <c r="T82" s="207">
        <f>Q82/P82</f>
        <v>306.80728667305851</v>
      </c>
      <c r="U82" s="213">
        <f>R82/P82</f>
        <v>306.80728667305851</v>
      </c>
      <c r="V82" s="213" t="e">
        <f>R82/AN82</f>
        <v>#DIV/0!</v>
      </c>
      <c r="W82" s="213">
        <f>R82/AE82</f>
        <v>10666.666666666666</v>
      </c>
      <c r="X82" s="207">
        <f>P82/AE82</f>
        <v>34.766666666666666</v>
      </c>
      <c r="Y82" s="208"/>
      <c r="Z82" s="907">
        <f>10000*AE82/P82</f>
        <v>287.63183125599232</v>
      </c>
      <c r="AA82" s="208" t="s">
        <v>207</v>
      </c>
      <c r="AB82" s="208">
        <v>600</v>
      </c>
      <c r="AC82" s="209">
        <v>0.2</v>
      </c>
      <c r="AD82" s="54" t="s">
        <v>425</v>
      </c>
      <c r="AE82" s="771">
        <f>SUM(AG82:AJ82)</f>
        <v>30</v>
      </c>
      <c r="AF82" s="771">
        <f>AE82-AJ82</f>
        <v>30</v>
      </c>
      <c r="AG82" s="64"/>
      <c r="AH82" s="114"/>
      <c r="AI82" s="53">
        <v>30</v>
      </c>
      <c r="AJ82" s="114"/>
      <c r="AK82" s="807"/>
      <c r="AL82" s="57"/>
      <c r="AM82" s="804"/>
      <c r="AN82" s="92"/>
      <c r="AO82" s="9">
        <f>AN82/AE82</f>
        <v>0</v>
      </c>
      <c r="AP82" s="78"/>
      <c r="AQ82" s="78"/>
      <c r="AR82" s="78"/>
      <c r="AS82" s="78"/>
      <c r="AT82" s="78"/>
      <c r="AU82" s="57"/>
      <c r="AV82" s="76"/>
      <c r="AW82" s="78"/>
      <c r="AX82" s="57"/>
      <c r="AY82" s="53" t="s">
        <v>549</v>
      </c>
      <c r="AZ82" s="53" t="s">
        <v>120</v>
      </c>
      <c r="BA82" s="53"/>
      <c r="BB82" s="53"/>
      <c r="BC82" s="184">
        <v>43229</v>
      </c>
      <c r="BD82" s="184"/>
      <c r="BE82" s="53"/>
      <c r="BF82" s="110" t="s">
        <v>168</v>
      </c>
      <c r="BG82" s="110" t="s">
        <v>168</v>
      </c>
      <c r="BH82" s="97"/>
      <c r="BI82" s="204"/>
      <c r="BJ82" s="99"/>
      <c r="BK82" s="99"/>
      <c r="BL82" s="204"/>
      <c r="BM82" s="99"/>
      <c r="BN82" s="161"/>
      <c r="BO82" s="203"/>
      <c r="BP82" s="161"/>
      <c r="BQ82" s="161"/>
      <c r="BR82" s="299">
        <f>BO82</f>
        <v>0</v>
      </c>
      <c r="BS82" s="298">
        <f>DATE(YEAR(BR82),MONTH(BR82)+24,DAY(BR82))</f>
        <v>731</v>
      </c>
      <c r="BT82" s="298">
        <f>DATE(YEAR(BR82),MONTH(BR82)+36,DAY(BR82))</f>
        <v>1096</v>
      </c>
      <c r="BU82" s="298"/>
      <c r="BV82" s="298" t="str">
        <f>IF(FK82&gt;BS82,"oui","non")</f>
        <v>oui</v>
      </c>
      <c r="BW82" s="672" t="e">
        <f>DATEDIF(FK82,BT82,"M")</f>
        <v>#NUM!</v>
      </c>
      <c r="BX82" s="672" t="e">
        <f>BW82*FN82</f>
        <v>#NUM!</v>
      </c>
      <c r="BY82" s="672" t="e">
        <f>IF((BX82-BU82&gt;0),0,(BX82-BU82))</f>
        <v>#NUM!</v>
      </c>
      <c r="BZ82" s="824"/>
      <c r="CA82" s="832"/>
      <c r="CB82" s="826"/>
      <c r="CC82" s="826"/>
      <c r="CD82" s="826"/>
      <c r="CE82" s="826"/>
      <c r="CF82" s="819"/>
      <c r="CG82" s="819"/>
      <c r="CH82" s="819"/>
      <c r="CI82" s="819"/>
      <c r="CJ82" s="819"/>
      <c r="CK82" s="819"/>
      <c r="CL82" s="819"/>
      <c r="CM82" s="819"/>
      <c r="CN82" s="819"/>
      <c r="CO82" s="819"/>
      <c r="CP82" s="819"/>
      <c r="CQ82" s="819"/>
      <c r="CR82" s="819"/>
      <c r="CS82" s="159"/>
      <c r="CT82" s="250"/>
      <c r="CU82" s="250"/>
      <c r="CV82" s="158"/>
      <c r="CW82" s="250"/>
      <c r="CX82" s="250"/>
      <c r="CY82" s="250"/>
      <c r="CZ82" s="250" t="s">
        <v>168</v>
      </c>
      <c r="DA82" s="598"/>
      <c r="DB82" s="543"/>
      <c r="DC82" s="543"/>
      <c r="DD82" s="543"/>
      <c r="DE82" s="545" t="str">
        <f>IF(AND(DC82&gt;0,DD82&gt;0),DD82-DC82,"0")</f>
        <v>0</v>
      </c>
      <c r="DF82" s="543"/>
      <c r="DG82" s="543"/>
      <c r="DH82" s="545" t="str">
        <f>IF(AND(DF82&gt;0,DG82&gt;0),DG82-DF82,"0")</f>
        <v>0</v>
      </c>
      <c r="DI82" s="543"/>
      <c r="DJ82" s="543"/>
      <c r="DK82" s="545" t="str">
        <f>IF(AND(DI82&gt;0,DJ82&gt;0),DJ82-DI82,"0")</f>
        <v>0</v>
      </c>
      <c r="DL82" s="543"/>
      <c r="DM82" s="543"/>
      <c r="DN82" s="545" t="str">
        <f>IF(AND(DL82&gt;0,DM82&gt;0),DM82-DL82,"0")</f>
        <v>0</v>
      </c>
      <c r="DO82" s="546"/>
      <c r="DP82" s="547"/>
      <c r="DQ82" s="545" t="str">
        <f>IF(AND(DO82&gt;0,DP82&gt;0),DP82-DO82,"0")</f>
        <v>0</v>
      </c>
      <c r="DR82" s="451"/>
      <c r="DS82" s="544"/>
      <c r="DT82" s="527"/>
      <c r="DU82" s="528"/>
      <c r="DV82" s="529" t="str">
        <f>IF(AND(DT82&gt;0,DU82&gt;0),DU82-DT82,"0")</f>
        <v>0</v>
      </c>
      <c r="DW82" s="527"/>
      <c r="DX82" s="686">
        <v>44378</v>
      </c>
      <c r="DY82" s="344"/>
      <c r="DZ82" s="442">
        <f>(DATEDIF(BI82,DX82,"d"))/30</f>
        <v>1479.2666666666667</v>
      </c>
      <c r="EA82" s="529" t="str">
        <f>IF(AND(DW82&gt;0,DX82&gt;0),DX82-DW82,"0")</f>
        <v>0</v>
      </c>
      <c r="EB82" s="687">
        <v>16</v>
      </c>
      <c r="EC82" s="241">
        <f>DATEDIF(DX82,FC82,"M")</f>
        <v>19</v>
      </c>
      <c r="ED82" s="527"/>
      <c r="EE82" s="533">
        <f ca="1">IF(ED82&lt;TODAY(),TODAY(),ED82)</f>
        <v>43423</v>
      </c>
      <c r="EF82" s="529" t="str">
        <f ca="1">IF(AND(ED82&gt;0,EE82&gt;0),EE82-ED82,"0")</f>
        <v>0</v>
      </c>
      <c r="EG82" s="527"/>
      <c r="EH82" s="551">
        <f ca="1">IF(EG82&lt;TODAY(),TODAY(),EG82)</f>
        <v>43423</v>
      </c>
      <c r="EI82" s="530" t="str">
        <f ca="1">IF(AND(EG82&gt;0,EH82&gt;0),EH82-EG82,"0")</f>
        <v>0</v>
      </c>
      <c r="EJ82" s="531"/>
      <c r="EK82" s="532"/>
      <c r="EL82" s="529" t="str">
        <f>IF(AND(EJ82&gt;0,EK82&gt;0),EK82-EJ82,"0")</f>
        <v>0</v>
      </c>
      <c r="EM82" s="527"/>
      <c r="EN82" s="533">
        <f ca="1">IF(EM82&lt;TODAY(),TODAY(),EM82)</f>
        <v>43423</v>
      </c>
      <c r="EO82" s="529" t="str">
        <f ca="1">IF(AND(EM82&gt;0,EN82&gt;0),EN82-EM82,"0")</f>
        <v>0</v>
      </c>
      <c r="EP82" s="533"/>
      <c r="EQ82" s="533">
        <f ca="1">IF(EP82&lt;TODAY(),TODAY(),EP82)</f>
        <v>43423</v>
      </c>
      <c r="ER82" s="529" t="str">
        <f ca="1">IF(AND(EP82&gt;0,EQ82&gt;0),EQ82-EP82,"0")</f>
        <v>0</v>
      </c>
      <c r="ES82" s="533"/>
      <c r="ET82" s="533">
        <f ca="1">IF(ES82&lt;TODAY(),TODAY(),ES82)</f>
        <v>43423</v>
      </c>
      <c r="EU82" s="529" t="str">
        <f ca="1">IF(AND(ES82&gt;0,ET82&gt;0),ET82-ES82,"0")</f>
        <v>0</v>
      </c>
      <c r="EV82" s="533"/>
      <c r="EW82" s="533">
        <f ca="1">IF(EV82&lt;TODAY(),TODAY(),EV82)</f>
        <v>43423</v>
      </c>
      <c r="EX82" s="529" t="str">
        <f ca="1">IF(AND(EV82&gt;0,EW82&gt;0),EW82-EV82,"0")</f>
        <v>0</v>
      </c>
      <c r="EY82" s="533"/>
      <c r="EZ82" s="533"/>
      <c r="FA82" s="533"/>
      <c r="FB82" s="616">
        <f>DATE(YEAR(DX82),MONTH(DX82)+EB82,DAY(DX82))</f>
        <v>44866</v>
      </c>
      <c r="FC82" s="401">
        <f>DATE(YEAR(FB82),MONTH(FB82)+3,DAY(FB82))</f>
        <v>44958</v>
      </c>
      <c r="FD82" s="727">
        <f>(DATEDIF(FB82,FC82,"d"))/30</f>
        <v>3.0666666666666669</v>
      </c>
      <c r="FE82" s="573">
        <f>DATE(YEAR(CY82)+2,MONTH(CY82),DAY(CY82))</f>
        <v>731</v>
      </c>
      <c r="FF82" s="242"/>
      <c r="FG82" s="242"/>
      <c r="FH82" s="186">
        <f>DATE(YEAR(FC82),MONTH(FC82)+1,DAY(FC82))</f>
        <v>44986</v>
      </c>
      <c r="FI82" s="461"/>
      <c r="FJ82" s="571">
        <f>DATE(YEAR(FB82),MONTH(FB82)+1,DAY(FB82))</f>
        <v>44896</v>
      </c>
      <c r="FK82" s="450">
        <f>DATE(YEAR(FH82),MONTH(FH82)+1,DAY(FH82))</f>
        <v>45017</v>
      </c>
      <c r="FL82" s="574"/>
      <c r="FM82" s="724">
        <f>(DATEDIF(FJ82,FK82,"d"))/30</f>
        <v>4.0333333333333332</v>
      </c>
      <c r="FN82" s="700"/>
      <c r="FO82" s="246">
        <f>FN82*FM82</f>
        <v>0</v>
      </c>
      <c r="FP82" s="117"/>
      <c r="FQ82" s="556"/>
      <c r="FR82" s="556">
        <v>0</v>
      </c>
      <c r="FS82" s="556"/>
      <c r="FT82" s="556"/>
      <c r="FU82" s="556"/>
      <c r="FV82" s="749" t="e">
        <f>FU82/GY82</f>
        <v>#DIV/0!</v>
      </c>
      <c r="FW82" s="553"/>
      <c r="FX82" s="566"/>
      <c r="FY82" s="553"/>
      <c r="FZ82" s="553"/>
      <c r="GA82" s="121"/>
      <c r="GB82" s="121"/>
      <c r="GC82" s="121"/>
      <c r="GD82" s="121"/>
      <c r="GE82" s="121"/>
      <c r="GF82" s="53"/>
      <c r="GG82" s="280">
        <f>DATE(YEAR(FC82)+1,MONTH(FC82),DAY(FC82))</f>
        <v>45323</v>
      </c>
      <c r="GH82" s="280"/>
      <c r="GI82" s="53"/>
      <c r="GJ82" s="53"/>
      <c r="GK82" s="53"/>
      <c r="GL82" s="53"/>
      <c r="GM82" s="53"/>
      <c r="GN82" s="53"/>
      <c r="GO82" s="53"/>
      <c r="GP82" s="53"/>
      <c r="GQ82" s="53"/>
      <c r="GR82" s="53"/>
      <c r="GS82" s="53"/>
      <c r="GT82" s="53"/>
      <c r="GU82" s="53"/>
      <c r="GV82" s="112"/>
      <c r="GW82" s="112"/>
      <c r="GX82" s="93">
        <f>+HI82+HN82+HU82+IO82+HZ82</f>
        <v>0</v>
      </c>
      <c r="GY82" s="67">
        <f>HJ82+HO82+HV82+IO82+HW82+HZ82</f>
        <v>0</v>
      </c>
      <c r="GZ82" s="67">
        <f>GY82</f>
        <v>0</v>
      </c>
      <c r="HA82" s="94">
        <f>GY82-GX82</f>
        <v>0</v>
      </c>
      <c r="HB82" s="49" t="e">
        <f>GY82/AL82</f>
        <v>#DIV/0!</v>
      </c>
      <c r="HC82" s="49">
        <f>GY82/AE82</f>
        <v>0</v>
      </c>
      <c r="HD82" s="93"/>
      <c r="HE82" s="67"/>
      <c r="HF82" s="94">
        <f>HE82-HD82</f>
        <v>0</v>
      </c>
      <c r="HG82" s="128" t="e">
        <f>HE82*1.021/GY82</f>
        <v>#DIV/0!</v>
      </c>
      <c r="HH82" s="129">
        <v>0.4</v>
      </c>
      <c r="HI82" s="93"/>
      <c r="HJ82" s="67"/>
      <c r="HK82" s="67"/>
      <c r="HL82" s="49">
        <f>HJ82/AE82</f>
        <v>0</v>
      </c>
      <c r="HM82" s="95"/>
      <c r="HN82" s="93"/>
      <c r="HO82" s="67">
        <f>HP82+HQ82</f>
        <v>0</v>
      </c>
      <c r="HP82" s="87"/>
      <c r="HQ82" s="87"/>
      <c r="HR82" s="95">
        <f>HO82-HN82</f>
        <v>0</v>
      </c>
      <c r="HS82" s="630">
        <f>HO82/AE82</f>
        <v>0</v>
      </c>
      <c r="HT82" s="67"/>
      <c r="HU82" s="93"/>
      <c r="HV82" s="67"/>
      <c r="HW82" s="67"/>
      <c r="HX82" s="88" t="e">
        <f>HV82/GY82</f>
        <v>#DIV/0!</v>
      </c>
      <c r="HY82" s="303"/>
      <c r="HZ82" s="67"/>
      <c r="IA82" s="89">
        <f>HV82-HU82</f>
        <v>0</v>
      </c>
      <c r="IB82" s="49">
        <f>HV82/AE82</f>
        <v>0</v>
      </c>
      <c r="IC82" s="81">
        <f>(HJ82+HV82)/AE82</f>
        <v>0</v>
      </c>
      <c r="ID82" s="89">
        <f>IA82/AE82</f>
        <v>0</v>
      </c>
      <c r="IE82" s="90">
        <v>6.31</v>
      </c>
      <c r="IF82" s="90"/>
      <c r="IG82" s="91"/>
      <c r="IH82" s="91"/>
      <c r="II82" s="49">
        <f>(HI82+HU82+IH82)/AE82</f>
        <v>0</v>
      </c>
      <c r="IJ82" s="91"/>
      <c r="IK82" s="49">
        <f>(HJ82+HV82+IH82+IJ82)/AE82</f>
        <v>0</v>
      </c>
      <c r="IL82" s="50" t="e">
        <f>(HI82+HU82+IH82+IJ82)/(IG82+GX82-IM82)</f>
        <v>#DIV/0!</v>
      </c>
      <c r="IM82" s="91"/>
      <c r="IN82" s="91"/>
      <c r="IO82" s="67">
        <f>FR82</f>
        <v>0</v>
      </c>
      <c r="IP82" s="41">
        <f>GX82+IG82</f>
        <v>0</v>
      </c>
      <c r="IQ82" s="277"/>
      <c r="IR82" s="277">
        <f>IT82+IV82+IX82+IZ82+JB82+JD82+JF82+JH82+JJ82+JL82+JN82+JP82+JR82+JT82+JV82+JX82+JZ82</f>
        <v>0</v>
      </c>
      <c r="IS82" s="278"/>
      <c r="IT82" s="281"/>
      <c r="IU82" s="281"/>
      <c r="IV82" s="253"/>
      <c r="IW82" s="253"/>
      <c r="IX82" s="385"/>
      <c r="IY82" s="261"/>
      <c r="IZ82" s="274"/>
      <c r="JA82" s="261"/>
      <c r="JB82" s="460"/>
      <c r="JC82" s="279"/>
      <c r="JD82" s="284"/>
      <c r="JE82" s="282"/>
      <c r="JF82" s="282"/>
      <c r="JG82" s="276"/>
      <c r="JH82" s="277"/>
      <c r="JI82" s="276"/>
      <c r="JJ82" s="277"/>
      <c r="JK82" s="300"/>
      <c r="JL82" s="300"/>
      <c r="JM82" s="300"/>
      <c r="JN82" s="300"/>
      <c r="JO82" s="269"/>
      <c r="JP82" s="269"/>
      <c r="JQ82" s="269"/>
      <c r="JR82" s="269"/>
      <c r="JS82" s="269"/>
      <c r="JT82" s="269"/>
      <c r="JU82" s="281"/>
      <c r="JV82" s="117"/>
      <c r="JW82" s="279"/>
      <c r="JX82" s="117"/>
      <c r="JY82" s="271"/>
      <c r="JZ82" s="279"/>
    </row>
    <row r="83" spans="1:286" ht="15" customHeight="1">
      <c r="A83" s="86" t="s">
        <v>893</v>
      </c>
      <c r="B83" s="86"/>
      <c r="C83" s="53" t="s">
        <v>35</v>
      </c>
      <c r="D83" s="53" t="s">
        <v>112</v>
      </c>
      <c r="E83" s="53">
        <v>2019</v>
      </c>
      <c r="F83" s="53"/>
      <c r="G83" s="53"/>
      <c r="H83" s="53"/>
      <c r="I83" s="53" t="s">
        <v>243</v>
      </c>
      <c r="J83" s="53"/>
      <c r="K83" s="53" t="s">
        <v>894</v>
      </c>
      <c r="L83" s="255"/>
      <c r="M83" s="166"/>
      <c r="N83" s="167"/>
      <c r="O83" s="168"/>
      <c r="P83" s="207">
        <v>1278</v>
      </c>
      <c r="Q83" s="207"/>
      <c r="R83" s="207"/>
      <c r="S83" s="207">
        <f>Q83/AE83</f>
        <v>0</v>
      </c>
      <c r="T83" s="207">
        <f>Q83/P83</f>
        <v>0</v>
      </c>
      <c r="U83" s="213">
        <f>R83/P83</f>
        <v>0</v>
      </c>
      <c r="V83" s="213" t="e">
        <f>R83/AN83</f>
        <v>#DIV/0!</v>
      </c>
      <c r="W83" s="213">
        <f>R83/AE83</f>
        <v>0</v>
      </c>
      <c r="X83" s="207">
        <f>P83/AE83</f>
        <v>31.170731707317074</v>
      </c>
      <c r="Y83" s="208"/>
      <c r="Z83" s="907">
        <f>10000*AE83/P83</f>
        <v>320.81377151799688</v>
      </c>
      <c r="AA83" s="208" t="s">
        <v>207</v>
      </c>
      <c r="AB83" s="208"/>
      <c r="AC83" s="209"/>
      <c r="AD83" s="54" t="s">
        <v>16</v>
      </c>
      <c r="AE83" s="771">
        <f>SUM(AG83:AJ83)</f>
        <v>41</v>
      </c>
      <c r="AF83" s="771">
        <f>AE83-AJ83</f>
        <v>41</v>
      </c>
      <c r="AG83" s="64"/>
      <c r="AH83" s="53">
        <v>41</v>
      </c>
      <c r="AI83" s="114"/>
      <c r="AJ83" s="114"/>
      <c r="AK83" s="807"/>
      <c r="AL83" s="57"/>
      <c r="AM83" s="57"/>
      <c r="AN83" s="92"/>
      <c r="AO83" s="57"/>
      <c r="AP83" s="78"/>
      <c r="AQ83" s="78"/>
      <c r="AR83" s="78"/>
      <c r="AS83" s="78"/>
      <c r="AT83" s="78"/>
      <c r="AU83" s="57"/>
      <c r="AV83" s="76"/>
      <c r="AW83" s="78"/>
      <c r="AX83" s="57"/>
      <c r="AY83" s="53"/>
      <c r="AZ83" s="53"/>
      <c r="BA83" s="53"/>
      <c r="BB83" s="53"/>
      <c r="BC83" s="184"/>
      <c r="BD83" s="184"/>
      <c r="BE83" s="53"/>
      <c r="BF83" s="110"/>
      <c r="BG83" s="110"/>
      <c r="BH83" s="97"/>
      <c r="BI83" s="204"/>
      <c r="BJ83" s="99"/>
      <c r="BK83" s="99"/>
      <c r="BL83" s="204"/>
      <c r="BM83" s="99"/>
      <c r="BN83" s="161"/>
      <c r="BO83" s="203"/>
      <c r="BP83" s="161"/>
      <c r="BQ83" s="161"/>
      <c r="BR83" s="299"/>
      <c r="BS83" s="298"/>
      <c r="BT83" s="298"/>
      <c r="BU83" s="298"/>
      <c r="BV83" s="298"/>
      <c r="BW83" s="672"/>
      <c r="BX83" s="672"/>
      <c r="BY83" s="672"/>
      <c r="BZ83" s="824"/>
      <c r="CA83" s="832"/>
      <c r="CB83" s="826"/>
      <c r="CC83" s="826"/>
      <c r="CD83" s="826"/>
      <c r="CE83" s="826"/>
      <c r="CF83" s="819"/>
      <c r="CG83" s="819"/>
      <c r="CH83" s="819"/>
      <c r="CI83" s="819"/>
      <c r="CJ83" s="819"/>
      <c r="CK83" s="819"/>
      <c r="CL83" s="819"/>
      <c r="CM83" s="819"/>
      <c r="CN83" s="819"/>
      <c r="CO83" s="819"/>
      <c r="CP83" s="819"/>
      <c r="CQ83" s="819"/>
      <c r="CR83" s="819"/>
      <c r="CS83" s="159"/>
      <c r="CT83" s="250"/>
      <c r="CU83" s="250"/>
      <c r="CV83" s="158"/>
      <c r="CW83" s="250"/>
      <c r="CX83" s="250"/>
      <c r="CY83" s="250"/>
      <c r="CZ83" s="250"/>
      <c r="DA83" s="598"/>
      <c r="DB83" s="543"/>
      <c r="DC83" s="543"/>
      <c r="DD83" s="543"/>
      <c r="DE83" s="545"/>
      <c r="DF83" s="543"/>
      <c r="DG83" s="543"/>
      <c r="DH83" s="545"/>
      <c r="DI83" s="543"/>
      <c r="DJ83" s="543"/>
      <c r="DK83" s="545"/>
      <c r="DL83" s="543"/>
      <c r="DM83" s="543"/>
      <c r="DN83" s="545"/>
      <c r="DO83" s="546"/>
      <c r="DP83" s="547"/>
      <c r="DQ83" s="545"/>
      <c r="DR83" s="451"/>
      <c r="DS83" s="544"/>
      <c r="DT83" s="527"/>
      <c r="DU83" s="528"/>
      <c r="DV83" s="529"/>
      <c r="DW83" s="527"/>
      <c r="DX83" s="686">
        <v>43850</v>
      </c>
      <c r="DY83" s="344"/>
      <c r="DZ83" s="442"/>
      <c r="EA83" s="529"/>
      <c r="EB83" s="687">
        <v>20</v>
      </c>
      <c r="EC83" s="241"/>
      <c r="ED83" s="527"/>
      <c r="EE83" s="533"/>
      <c r="EF83" s="529"/>
      <c r="EG83" s="527"/>
      <c r="EH83" s="551"/>
      <c r="EI83" s="530"/>
      <c r="EJ83" s="531"/>
      <c r="EK83" s="532"/>
      <c r="EL83" s="529"/>
      <c r="EM83" s="527"/>
      <c r="EN83" s="533"/>
      <c r="EO83" s="529"/>
      <c r="EP83" s="533"/>
      <c r="EQ83" s="533"/>
      <c r="ER83" s="529"/>
      <c r="ES83" s="533"/>
      <c r="ET83" s="533"/>
      <c r="EU83" s="529"/>
      <c r="EV83" s="533"/>
      <c r="EW83" s="533"/>
      <c r="EX83" s="529"/>
      <c r="EY83" s="533"/>
      <c r="EZ83" s="533"/>
      <c r="FA83" s="533"/>
      <c r="FB83" s="616">
        <f>DATE(YEAR(DX83),MONTH(DX83)+EB83,DAY(DX83))</f>
        <v>44459</v>
      </c>
      <c r="FC83" s="401">
        <f>DATE(YEAR(FB83),MONTH(FB83)+3,DAY(FB83))</f>
        <v>44550</v>
      </c>
      <c r="FD83" s="727">
        <f>(DATEDIF(FB83,FC83,"d"))/30</f>
        <v>3.0333333333333332</v>
      </c>
      <c r="FE83" s="573"/>
      <c r="FF83" s="242"/>
      <c r="FG83" s="242"/>
      <c r="FH83" s="186">
        <f>DATE(YEAR(FC83),MONTH(FC83)+1,DAY(FC83))</f>
        <v>44581</v>
      </c>
      <c r="FI83" s="461"/>
      <c r="FJ83" s="571">
        <f>DATE(YEAR(FB83),MONTH(FB83)+1,DAY(FB83))</f>
        <v>44489</v>
      </c>
      <c r="FK83" s="450">
        <f>DATE(YEAR(FH83),MONTH(FH83)+1,DAY(FH83))</f>
        <v>44612</v>
      </c>
      <c r="FL83" s="574"/>
      <c r="FM83" s="724">
        <f>(DATEDIF(FJ83,FK83,"d"))/30</f>
        <v>4.0999999999999996</v>
      </c>
      <c r="FN83" s="700"/>
      <c r="FO83" s="246">
        <f>FN83*FM83</f>
        <v>0</v>
      </c>
      <c r="FP83" s="117"/>
      <c r="FQ83" s="556"/>
      <c r="FR83" s="556"/>
      <c r="FS83" s="556"/>
      <c r="FT83" s="556"/>
      <c r="FU83" s="556"/>
      <c r="FV83" s="749" t="e">
        <f>FU83/GY83</f>
        <v>#DIV/0!</v>
      </c>
      <c r="FW83" s="553"/>
      <c r="FX83" s="566"/>
      <c r="FY83" s="553"/>
      <c r="FZ83" s="553"/>
      <c r="GA83" s="121"/>
      <c r="GB83" s="121"/>
      <c r="GC83" s="121"/>
      <c r="GD83" s="121"/>
      <c r="GE83" s="121"/>
      <c r="GF83" s="53"/>
      <c r="GG83" s="280"/>
      <c r="GH83" s="280"/>
      <c r="GI83" s="53"/>
      <c r="GJ83" s="53"/>
      <c r="GK83" s="53"/>
      <c r="GL83" s="53"/>
      <c r="GM83" s="53"/>
      <c r="GN83" s="53"/>
      <c r="GO83" s="53"/>
      <c r="GP83" s="53"/>
      <c r="GQ83" s="53"/>
      <c r="GR83" s="53"/>
      <c r="GS83" s="53"/>
      <c r="GT83" s="53"/>
      <c r="GU83" s="53"/>
      <c r="GV83" s="112"/>
      <c r="GW83" s="112"/>
      <c r="GX83" s="93"/>
      <c r="GY83" s="67"/>
      <c r="GZ83" s="67"/>
      <c r="HA83" s="94"/>
      <c r="HB83" s="49"/>
      <c r="HC83" s="49"/>
      <c r="HD83" s="93"/>
      <c r="HE83" s="67"/>
      <c r="HF83" s="94"/>
      <c r="HG83" s="128"/>
      <c r="HH83" s="129"/>
      <c r="HI83" s="93"/>
      <c r="HJ83" s="67"/>
      <c r="HK83" s="67"/>
      <c r="HL83" s="49"/>
      <c r="HM83" s="95"/>
      <c r="HN83" s="93"/>
      <c r="HO83" s="67"/>
      <c r="HP83" s="87"/>
      <c r="HQ83" s="87"/>
      <c r="HR83" s="95"/>
      <c r="HS83" s="630"/>
      <c r="HT83" s="67"/>
      <c r="HU83" s="93"/>
      <c r="HV83" s="67"/>
      <c r="HW83" s="67"/>
      <c r="HX83" s="88"/>
      <c r="HY83" s="303"/>
      <c r="HZ83" s="67"/>
      <c r="IA83" s="89"/>
      <c r="IB83" s="49"/>
      <c r="IC83" s="81"/>
      <c r="ID83" s="89"/>
      <c r="IE83" s="90"/>
      <c r="IF83" s="90"/>
      <c r="IG83" s="91"/>
      <c r="IH83" s="91"/>
      <c r="II83" s="49"/>
      <c r="IJ83" s="91"/>
      <c r="IK83" s="49"/>
      <c r="IL83" s="50"/>
      <c r="IM83" s="91"/>
      <c r="IN83" s="91"/>
      <c r="IO83" s="67"/>
      <c r="IP83" s="96"/>
      <c r="IQ83" s="277"/>
      <c r="IR83" s="277"/>
      <c r="IS83" s="278"/>
      <c r="IT83" s="281"/>
      <c r="IU83" s="281"/>
      <c r="IV83" s="253"/>
      <c r="IW83" s="253"/>
      <c r="IX83" s="385"/>
      <c r="IY83" s="261"/>
      <c r="IZ83" s="274"/>
      <c r="JA83" s="261"/>
      <c r="JB83" s="460"/>
      <c r="JC83" s="279"/>
      <c r="JD83" s="284"/>
      <c r="JE83" s="282"/>
      <c r="JF83" s="282"/>
      <c r="JG83" s="276"/>
      <c r="JH83" s="277"/>
      <c r="JI83" s="276"/>
      <c r="JJ83" s="277"/>
      <c r="JK83" s="300"/>
      <c r="JL83" s="300"/>
      <c r="JM83" s="300"/>
      <c r="JN83" s="300"/>
      <c r="JO83" s="269"/>
      <c r="JP83" s="269"/>
      <c r="JQ83" s="269"/>
      <c r="JR83" s="269"/>
      <c r="JS83" s="269"/>
      <c r="JT83" s="269"/>
      <c r="JU83" s="281"/>
      <c r="JV83" s="117"/>
      <c r="JW83" s="279"/>
      <c r="JX83" s="117"/>
      <c r="JY83" s="271"/>
      <c r="JZ83" s="279"/>
    </row>
    <row r="84" spans="1:286" ht="15" customHeight="1">
      <c r="A84" s="86" t="s">
        <v>848</v>
      </c>
      <c r="B84" s="86"/>
      <c r="C84" s="53" t="s">
        <v>35</v>
      </c>
      <c r="D84" s="53" t="s">
        <v>112</v>
      </c>
      <c r="E84" s="53">
        <v>2019</v>
      </c>
      <c r="F84" s="53"/>
      <c r="G84" s="53" t="s">
        <v>378</v>
      </c>
      <c r="H84" s="53" t="s">
        <v>838</v>
      </c>
      <c r="I84" s="53" t="s">
        <v>243</v>
      </c>
      <c r="J84" s="53"/>
      <c r="K84" s="53" t="s">
        <v>845</v>
      </c>
      <c r="L84" s="255"/>
      <c r="M84" s="166"/>
      <c r="N84" s="167"/>
      <c r="O84" s="168"/>
      <c r="P84" s="207">
        <v>1048</v>
      </c>
      <c r="Q84" s="207"/>
      <c r="R84" s="207"/>
      <c r="S84" s="207">
        <f>Q84/AE84</f>
        <v>0</v>
      </c>
      <c r="T84" s="207">
        <f>Q84/P84</f>
        <v>0</v>
      </c>
      <c r="U84" s="213">
        <f>R84/P84</f>
        <v>0</v>
      </c>
      <c r="V84" s="213" t="e">
        <f>R84/AN84</f>
        <v>#DIV/0!</v>
      </c>
      <c r="W84" s="213">
        <f>R84/AE84</f>
        <v>0</v>
      </c>
      <c r="X84" s="207">
        <f>P84/AE84</f>
        <v>31.757575757575758</v>
      </c>
      <c r="Y84" s="208"/>
      <c r="Z84" s="907">
        <f>10000*AE84/P84</f>
        <v>314.8854961832061</v>
      </c>
      <c r="AA84" s="208" t="s">
        <v>207</v>
      </c>
      <c r="AB84" s="208">
        <v>600</v>
      </c>
      <c r="AC84" s="209"/>
      <c r="AD84" s="54" t="s">
        <v>15</v>
      </c>
      <c r="AE84" s="771">
        <f>SUM(AG84:AJ84)</f>
        <v>33</v>
      </c>
      <c r="AF84" s="771">
        <f>AE84-AJ84</f>
        <v>33</v>
      </c>
      <c r="AG84" s="53">
        <v>33</v>
      </c>
      <c r="AH84" s="114"/>
      <c r="AI84" s="114"/>
      <c r="AJ84" s="114"/>
      <c r="AK84" s="807"/>
      <c r="AL84" s="57"/>
      <c r="AM84" s="57"/>
      <c r="AN84" s="92"/>
      <c r="AO84" s="9">
        <f>AN84/AE84</f>
        <v>0</v>
      </c>
      <c r="AP84" s="78"/>
      <c r="AQ84" s="78"/>
      <c r="AR84" s="78"/>
      <c r="AS84" s="78"/>
      <c r="AT84" s="78"/>
      <c r="AU84" s="57"/>
      <c r="AV84" s="76"/>
      <c r="AW84" s="78"/>
      <c r="AX84" s="57"/>
      <c r="AY84" s="53" t="s">
        <v>549</v>
      </c>
      <c r="AZ84" s="53" t="s">
        <v>120</v>
      </c>
      <c r="BA84" s="53"/>
      <c r="BB84" s="53"/>
      <c r="BC84" s="184"/>
      <c r="BD84" s="184"/>
      <c r="BE84" s="53"/>
      <c r="BF84" s="110" t="s">
        <v>168</v>
      </c>
      <c r="BG84" s="110" t="s">
        <v>168</v>
      </c>
      <c r="BH84" s="97"/>
      <c r="BI84" s="204"/>
      <c r="BJ84" s="99"/>
      <c r="BK84" s="99"/>
      <c r="BL84" s="204"/>
      <c r="BM84" s="99"/>
      <c r="BN84" s="161"/>
      <c r="BO84" s="203"/>
      <c r="BP84" s="161"/>
      <c r="BQ84" s="161"/>
      <c r="BR84" s="299"/>
      <c r="BS84" s="298"/>
      <c r="BT84" s="298"/>
      <c r="BU84" s="298"/>
      <c r="BV84" s="298"/>
      <c r="BW84" s="672"/>
      <c r="BX84" s="672"/>
      <c r="BY84" s="672"/>
      <c r="BZ84" s="824"/>
      <c r="CA84" s="832"/>
      <c r="CB84" s="826"/>
      <c r="CC84" s="826"/>
      <c r="CD84" s="826"/>
      <c r="CE84" s="826"/>
      <c r="CF84" s="819"/>
      <c r="CG84" s="819"/>
      <c r="CH84" s="819"/>
      <c r="CI84" s="819"/>
      <c r="CJ84" s="819"/>
      <c r="CK84" s="819"/>
      <c r="CL84" s="819"/>
      <c r="CM84" s="819"/>
      <c r="CN84" s="819"/>
      <c r="CO84" s="819"/>
      <c r="CP84" s="819"/>
      <c r="CQ84" s="819"/>
      <c r="CR84" s="819"/>
      <c r="CS84" s="159"/>
      <c r="CT84" s="250"/>
      <c r="CU84" s="250"/>
      <c r="CV84" s="158"/>
      <c r="CW84" s="250"/>
      <c r="CX84" s="250"/>
      <c r="CY84" s="250"/>
      <c r="CZ84" s="250"/>
      <c r="DA84" s="598"/>
      <c r="DB84" s="543"/>
      <c r="DC84" s="543"/>
      <c r="DD84" s="543"/>
      <c r="DE84" s="545"/>
      <c r="DF84" s="543"/>
      <c r="DG84" s="543"/>
      <c r="DH84" s="545"/>
      <c r="DI84" s="543"/>
      <c r="DJ84" s="543"/>
      <c r="DK84" s="545"/>
      <c r="DL84" s="543"/>
      <c r="DM84" s="543"/>
      <c r="DN84" s="545"/>
      <c r="DO84" s="546"/>
      <c r="DP84" s="547"/>
      <c r="DQ84" s="545"/>
      <c r="DR84" s="451"/>
      <c r="DS84" s="544"/>
      <c r="DT84" s="527"/>
      <c r="DU84" s="528"/>
      <c r="DV84" s="529"/>
      <c r="DW84" s="527"/>
      <c r="DX84" s="686">
        <v>43850</v>
      </c>
      <c r="DY84" s="344"/>
      <c r="DZ84" s="442"/>
      <c r="EA84" s="529"/>
      <c r="EB84" s="687">
        <v>20</v>
      </c>
      <c r="EC84" s="241"/>
      <c r="ED84" s="527"/>
      <c r="EE84" s="533"/>
      <c r="EF84" s="529"/>
      <c r="EG84" s="527"/>
      <c r="EH84" s="551"/>
      <c r="EI84" s="530"/>
      <c r="EJ84" s="531"/>
      <c r="EK84" s="532"/>
      <c r="EL84" s="529"/>
      <c r="EM84" s="527"/>
      <c r="EN84" s="533"/>
      <c r="EO84" s="529"/>
      <c r="EP84" s="533"/>
      <c r="EQ84" s="533"/>
      <c r="ER84" s="529"/>
      <c r="ES84" s="533"/>
      <c r="ET84" s="533"/>
      <c r="EU84" s="529"/>
      <c r="EV84" s="533"/>
      <c r="EW84" s="533"/>
      <c r="EX84" s="529"/>
      <c r="EY84" s="533"/>
      <c r="EZ84" s="533"/>
      <c r="FA84" s="533"/>
      <c r="FB84" s="616">
        <f>DATE(YEAR(DX84),MONTH(DX84)+EB84,DAY(DX84))</f>
        <v>44459</v>
      </c>
      <c r="FC84" s="401">
        <f>DATE(YEAR(FB84),MONTH(FB84)+3,DAY(FB84))</f>
        <v>44550</v>
      </c>
      <c r="FD84" s="727">
        <f>(DATEDIF(FB84,FC84,"d"))/30</f>
        <v>3.0333333333333332</v>
      </c>
      <c r="FE84" s="573"/>
      <c r="FF84" s="242"/>
      <c r="FG84" s="242"/>
      <c r="FH84" s="186">
        <f>DATE(YEAR(FC84),MONTH(FC84)+1,DAY(FC84))</f>
        <v>44581</v>
      </c>
      <c r="FI84" s="461"/>
      <c r="FJ84" s="571">
        <f>DATE(YEAR(FB84),MONTH(FB84)+1,DAY(FB84))</f>
        <v>44489</v>
      </c>
      <c r="FK84" s="450">
        <f>DATE(YEAR(FH84),MONTH(FH84)+1,DAY(FH84))</f>
        <v>44612</v>
      </c>
      <c r="FL84" s="574"/>
      <c r="FM84" s="724">
        <f>(DATEDIF(FJ84,FK84,"d"))/30</f>
        <v>4.0999999999999996</v>
      </c>
      <c r="FN84" s="700"/>
      <c r="FO84" s="246">
        <f>FN84*FM84</f>
        <v>0</v>
      </c>
      <c r="FP84" s="117"/>
      <c r="FQ84" s="556"/>
      <c r="FR84" s="556"/>
      <c r="FS84" s="556"/>
      <c r="FT84" s="556"/>
      <c r="FU84" s="556"/>
      <c r="FV84" s="749" t="e">
        <f>FU84/GY84</f>
        <v>#DIV/0!</v>
      </c>
      <c r="FW84" s="553"/>
      <c r="FX84" s="566"/>
      <c r="FY84" s="553"/>
      <c r="FZ84" s="553"/>
      <c r="GA84" s="121"/>
      <c r="GB84" s="121"/>
      <c r="GC84" s="121"/>
      <c r="GD84" s="121"/>
      <c r="GE84" s="121"/>
      <c r="GF84" s="53"/>
      <c r="GG84" s="280"/>
      <c r="GH84" s="280"/>
      <c r="GI84" s="53"/>
      <c r="GJ84" s="53"/>
      <c r="GK84" s="53"/>
      <c r="GL84" s="53"/>
      <c r="GM84" s="53"/>
      <c r="GN84" s="53"/>
      <c r="GO84" s="53"/>
      <c r="GP84" s="53"/>
      <c r="GQ84" s="53"/>
      <c r="GR84" s="53"/>
      <c r="GS84" s="53"/>
      <c r="GT84" s="53"/>
      <c r="GU84" s="53"/>
      <c r="GV84" s="112"/>
      <c r="GW84" s="112"/>
      <c r="GX84" s="93"/>
      <c r="GY84" s="67"/>
      <c r="GZ84" s="67"/>
      <c r="HA84" s="94"/>
      <c r="HB84" s="49"/>
      <c r="HC84" s="49"/>
      <c r="HD84" s="93"/>
      <c r="HE84" s="67"/>
      <c r="HF84" s="94"/>
      <c r="HG84" s="128"/>
      <c r="HH84" s="129"/>
      <c r="HI84" s="93"/>
      <c r="HJ84" s="67"/>
      <c r="HK84" s="67"/>
      <c r="HL84" s="49"/>
      <c r="HM84" s="95"/>
      <c r="HN84" s="93"/>
      <c r="HO84" s="67"/>
      <c r="HP84" s="87"/>
      <c r="HQ84" s="87"/>
      <c r="HR84" s="95"/>
      <c r="HS84" s="630"/>
      <c r="HT84" s="67"/>
      <c r="HU84" s="93"/>
      <c r="HV84" s="67"/>
      <c r="HW84" s="67"/>
      <c r="HX84" s="88"/>
      <c r="HY84" s="303"/>
      <c r="HZ84" s="67"/>
      <c r="IA84" s="89"/>
      <c r="IB84" s="49"/>
      <c r="IC84" s="81"/>
      <c r="ID84" s="89"/>
      <c r="IE84" s="90"/>
      <c r="IF84" s="90"/>
      <c r="IG84" s="91"/>
      <c r="IH84" s="91"/>
      <c r="II84" s="49"/>
      <c r="IJ84" s="91"/>
      <c r="IK84" s="49"/>
      <c r="IL84" s="50"/>
      <c r="IM84" s="91"/>
      <c r="IN84" s="91"/>
      <c r="IO84" s="67"/>
      <c r="IP84" s="41"/>
      <c r="IQ84" s="277"/>
      <c r="IR84" s="277"/>
      <c r="IS84" s="278"/>
      <c r="IT84" s="281"/>
      <c r="IU84" s="281"/>
      <c r="IV84" s="253"/>
      <c r="IW84" s="253"/>
      <c r="IX84" s="385"/>
      <c r="IY84" s="261"/>
      <c r="IZ84" s="274"/>
      <c r="JA84" s="261"/>
      <c r="JB84" s="460"/>
      <c r="JC84" s="279"/>
      <c r="JD84" s="284"/>
      <c r="JE84" s="282"/>
      <c r="JF84" s="282"/>
      <c r="JG84" s="276"/>
      <c r="JH84" s="277"/>
      <c r="JI84" s="276"/>
      <c r="JJ84" s="277"/>
      <c r="JK84" s="300"/>
      <c r="JL84" s="300"/>
      <c r="JM84" s="300"/>
      <c r="JN84" s="300"/>
      <c r="JO84" s="269"/>
      <c r="JP84" s="269"/>
      <c r="JQ84" s="269"/>
      <c r="JR84" s="269"/>
      <c r="JS84" s="269"/>
      <c r="JT84" s="269"/>
      <c r="JU84" s="281"/>
      <c r="JV84" s="117"/>
      <c r="JW84" s="279"/>
      <c r="JX84" s="117"/>
      <c r="JY84" s="271"/>
      <c r="JZ84" s="279"/>
    </row>
    <row r="85" spans="1:286" ht="15" customHeight="1">
      <c r="A85" s="86" t="s">
        <v>852</v>
      </c>
      <c r="B85" s="86"/>
      <c r="C85" s="53" t="s">
        <v>35</v>
      </c>
      <c r="D85" s="53" t="s">
        <v>112</v>
      </c>
      <c r="E85" s="53">
        <v>2019</v>
      </c>
      <c r="F85" s="53"/>
      <c r="G85" s="53" t="s">
        <v>379</v>
      </c>
      <c r="H85" s="53" t="s">
        <v>610</v>
      </c>
      <c r="I85" s="55" t="s">
        <v>789</v>
      </c>
      <c r="J85" s="53"/>
      <c r="K85" s="53" t="s">
        <v>849</v>
      </c>
      <c r="L85" s="255"/>
      <c r="M85" s="166"/>
      <c r="N85" s="167"/>
      <c r="O85" s="168"/>
      <c r="P85" s="207">
        <f>4764/66*AE85</f>
        <v>3320.3636363636365</v>
      </c>
      <c r="Q85" s="207">
        <f>860000/66*AE85</f>
        <v>599393.93939393933</v>
      </c>
      <c r="R85" s="207">
        <f>860000/66*AE85</f>
        <v>599393.93939393933</v>
      </c>
      <c r="S85" s="207">
        <f>Q85/AE85</f>
        <v>13030.303030303028</v>
      </c>
      <c r="T85" s="207">
        <f>Q85/P85</f>
        <v>180.52057094878251</v>
      </c>
      <c r="U85" s="213">
        <f>R85/P85</f>
        <v>180.52057094878251</v>
      </c>
      <c r="V85" s="213">
        <f>R85/AN85</f>
        <v>145.34779051518223</v>
      </c>
      <c r="W85" s="213">
        <f>R85/AE85</f>
        <v>13030.303030303028</v>
      </c>
      <c r="X85" s="207">
        <f>P85/AE85</f>
        <v>72.181818181818187</v>
      </c>
      <c r="Y85" s="208"/>
      <c r="Z85" s="907">
        <f>10000*AE85/P85</f>
        <v>138.53904282115869</v>
      </c>
      <c r="AA85" s="208" t="s">
        <v>194</v>
      </c>
      <c r="AB85" s="208">
        <v>580</v>
      </c>
      <c r="AC85" s="209"/>
      <c r="AD85" s="53" t="s">
        <v>15</v>
      </c>
      <c r="AE85" s="771">
        <f>SUM(AG85:AJ85)</f>
        <v>46</v>
      </c>
      <c r="AF85" s="771">
        <f>AE85-AJ85</f>
        <v>46</v>
      </c>
      <c r="AG85" s="53">
        <v>46</v>
      </c>
      <c r="AH85" s="114"/>
      <c r="AI85" s="64"/>
      <c r="AJ85" s="114"/>
      <c r="AK85" s="807"/>
      <c r="AL85" s="57">
        <v>4123.8599999999997</v>
      </c>
      <c r="AM85" s="57">
        <v>4123.8599999999997</v>
      </c>
      <c r="AN85" s="400">
        <v>4123.8599999999997</v>
      </c>
      <c r="AO85" s="9">
        <f>AN85/AE85</f>
        <v>89.649130434782606</v>
      </c>
      <c r="AP85" s="78"/>
      <c r="AQ85" s="78"/>
      <c r="AR85" s="78"/>
      <c r="AS85" s="78"/>
      <c r="AT85" s="78"/>
      <c r="AU85" s="57"/>
      <c r="AV85" s="76"/>
      <c r="AW85" s="78"/>
      <c r="AX85" s="57"/>
      <c r="AY85" s="56" t="s">
        <v>549</v>
      </c>
      <c r="AZ85" s="53" t="s">
        <v>120</v>
      </c>
      <c r="BA85" s="232">
        <v>8225038</v>
      </c>
      <c r="BB85" s="606">
        <f>BA85/AN85</f>
        <v>1994.4998132817313</v>
      </c>
      <c r="BC85" s="53"/>
      <c r="BD85" s="237"/>
      <c r="BE85" s="184"/>
      <c r="BF85" s="110" t="s">
        <v>168</v>
      </c>
      <c r="BG85" s="110" t="s">
        <v>168</v>
      </c>
      <c r="BH85" s="97"/>
      <c r="BI85" s="204"/>
      <c r="BJ85" s="99"/>
      <c r="BK85" s="99"/>
      <c r="BL85" s="204"/>
      <c r="BM85" s="99"/>
      <c r="BN85" s="161"/>
      <c r="BO85" s="203"/>
      <c r="BP85" s="161"/>
      <c r="BQ85" s="161"/>
      <c r="BR85" s="299"/>
      <c r="BS85" s="298"/>
      <c r="BT85" s="298"/>
      <c r="BU85" s="298"/>
      <c r="BV85" s="298"/>
      <c r="BW85" s="672"/>
      <c r="BX85" s="672">
        <f>BW85*FN85</f>
        <v>0</v>
      </c>
      <c r="BY85" s="672">
        <f>IF((BX85-BU85&gt;0),0,(BX85-BU85))</f>
        <v>0</v>
      </c>
      <c r="BZ85" s="824"/>
      <c r="CA85" s="832"/>
      <c r="CB85" s="826"/>
      <c r="CC85" s="826"/>
      <c r="CD85" s="826"/>
      <c r="CE85" s="826"/>
      <c r="CF85" s="819"/>
      <c r="CG85" s="819"/>
      <c r="CH85" s="819"/>
      <c r="CI85" s="819"/>
      <c r="CJ85" s="819"/>
      <c r="CK85" s="819"/>
      <c r="CL85" s="819"/>
      <c r="CM85" s="819"/>
      <c r="CN85" s="819"/>
      <c r="CO85" s="819"/>
      <c r="CP85" s="819"/>
      <c r="CQ85" s="819"/>
      <c r="CR85" s="819"/>
      <c r="CS85" s="159"/>
      <c r="CT85" s="250"/>
      <c r="CU85" s="250"/>
      <c r="CV85" s="158"/>
      <c r="CW85" s="250"/>
      <c r="CX85" s="250"/>
      <c r="CY85" s="250"/>
      <c r="CZ85" s="250"/>
      <c r="DA85" s="598"/>
      <c r="DB85" s="540"/>
      <c r="DC85" s="543"/>
      <c r="DD85" s="543"/>
      <c r="DE85" s="545"/>
      <c r="DF85" s="543"/>
      <c r="DG85" s="543"/>
      <c r="DH85" s="545"/>
      <c r="DI85" s="543"/>
      <c r="DJ85" s="543"/>
      <c r="DK85" s="545"/>
      <c r="DL85" s="543"/>
      <c r="DM85" s="543"/>
      <c r="DN85" s="545"/>
      <c r="DO85" s="546"/>
      <c r="DP85" s="547"/>
      <c r="DQ85" s="545"/>
      <c r="DR85" s="451"/>
      <c r="DS85" s="548"/>
      <c r="DT85" s="527"/>
      <c r="DU85" s="528"/>
      <c r="DV85" s="529"/>
      <c r="DW85" s="527"/>
      <c r="DX85" s="686">
        <v>43850</v>
      </c>
      <c r="DY85" s="344"/>
      <c r="DZ85" s="442">
        <f>(DATEDIF(BI85,DX85,"d"))/30</f>
        <v>1461.6666666666667</v>
      </c>
      <c r="EA85" s="529" t="str">
        <f>IF(AND(DW85&gt;0,DX85&gt;0),DX85-DW85,"0")</f>
        <v>0</v>
      </c>
      <c r="EB85" s="687">
        <v>20</v>
      </c>
      <c r="EC85" s="241">
        <f>DATEDIF(DX85,FC85,"M")</f>
        <v>23</v>
      </c>
      <c r="ED85" s="527"/>
      <c r="EE85" s="533">
        <f ca="1">IF(ED85&lt;TODAY(),TODAY(),ED85)</f>
        <v>43423</v>
      </c>
      <c r="EF85" s="529" t="str">
        <f ca="1">IF(AND(ED85&gt;0,EE85&gt;0),EE85-ED85,"0")</f>
        <v>0</v>
      </c>
      <c r="EG85" s="527"/>
      <c r="EH85" s="551">
        <f ca="1">IF(EG85&lt;TODAY(),TODAY(),EG85)</f>
        <v>43423</v>
      </c>
      <c r="EI85" s="530"/>
      <c r="EJ85" s="531"/>
      <c r="EK85" s="532"/>
      <c r="EL85" s="529" t="str">
        <f>IF(AND(EJ85&gt;0,EK85&gt;0),EK85-EJ85,"0")</f>
        <v>0</v>
      </c>
      <c r="EM85" s="527"/>
      <c r="EN85" s="533">
        <f ca="1">IF(EM85&lt;TODAY(),TODAY(),EM85)</f>
        <v>43423</v>
      </c>
      <c r="EO85" s="529" t="str">
        <f ca="1">IF(AND(EM85&gt;0,EN85&gt;0),EN85-EM85,"0")</f>
        <v>0</v>
      </c>
      <c r="EP85" s="533"/>
      <c r="EQ85" s="533">
        <f ca="1">IF(EP85&lt;TODAY(),TODAY(),EP85)</f>
        <v>43423</v>
      </c>
      <c r="ER85" s="529" t="str">
        <f ca="1">IF(AND(EP85&gt;0,EQ85&gt;0),EQ85-EP85,"0")</f>
        <v>0</v>
      </c>
      <c r="ES85" s="533"/>
      <c r="ET85" s="533">
        <f ca="1">IF(ES85&lt;TODAY(),TODAY(),ES85)</f>
        <v>43423</v>
      </c>
      <c r="EU85" s="529" t="str">
        <f ca="1">IF(AND(ES85&gt;0,ET85&gt;0),ET85-ES85,"0")</f>
        <v>0</v>
      </c>
      <c r="EV85" s="533"/>
      <c r="EW85" s="533">
        <f ca="1">IF(EV85&lt;TODAY(),TODAY(),EV85)</f>
        <v>43423</v>
      </c>
      <c r="EX85" s="529" t="str">
        <f ca="1">IF(AND(EV85&gt;0,EW85&gt;0),EW85-EV85,"0")</f>
        <v>0</v>
      </c>
      <c r="EY85" s="533"/>
      <c r="EZ85" s="533"/>
      <c r="FA85" s="533"/>
      <c r="FB85" s="731">
        <f>DATE(YEAR(DX85),MONTH(DX85)+EB85,DAY(DX85))</f>
        <v>44459</v>
      </c>
      <c r="FC85" s="730">
        <f>DATE(YEAR(FB85),MONTH(FB85)+3,DAY(FB85))</f>
        <v>44550</v>
      </c>
      <c r="FD85" s="727">
        <f>(DATEDIF(FB85,FC85,"d"))/30</f>
        <v>3.0333333333333332</v>
      </c>
      <c r="FE85" s="573">
        <f>DATE(YEAR(CY85)+2,MONTH(CY85),DAY(CY85))</f>
        <v>731</v>
      </c>
      <c r="FF85" s="242"/>
      <c r="FG85" s="242"/>
      <c r="FH85" s="186">
        <f>DATE(YEAR(FC85),MONTH(FC85),DAY(FC85)+15)</f>
        <v>44565</v>
      </c>
      <c r="FI85" s="461"/>
      <c r="FJ85" s="571">
        <f>DATE(YEAR(FB85),MONTH(FB85)+1,DAY(FB85))</f>
        <v>44489</v>
      </c>
      <c r="FK85" s="730">
        <f>DATE(YEAR(FH85),MONTH(FH85)+1,DAY(FH85))</f>
        <v>44596</v>
      </c>
      <c r="FL85" s="574"/>
      <c r="FM85" s="724">
        <f>(DATEDIF(FJ85,FK85,"d"))/30</f>
        <v>3.5666666666666669</v>
      </c>
      <c r="FN85" s="700"/>
      <c r="FO85" s="246">
        <f>FN85*FM85</f>
        <v>0</v>
      </c>
      <c r="FP85" s="117"/>
      <c r="FQ85" s="556"/>
      <c r="FR85" s="556">
        <v>0</v>
      </c>
      <c r="FS85" s="556"/>
      <c r="FT85" s="556"/>
      <c r="FU85" s="556"/>
      <c r="FV85" s="749" t="e">
        <f>FU85/GY85</f>
        <v>#DIV/0!</v>
      </c>
      <c r="FW85" s="553"/>
      <c r="FX85" s="566"/>
      <c r="FY85" s="553"/>
      <c r="FZ85" s="553"/>
      <c r="GA85" s="121"/>
      <c r="GB85" s="121"/>
      <c r="GC85" s="121"/>
      <c r="GD85" s="121"/>
      <c r="GE85" s="121"/>
      <c r="GF85" s="53"/>
      <c r="GG85" s="280">
        <f>DATE(YEAR(FC85)+1,MONTH(FC85),DAY(FC85))</f>
        <v>44915</v>
      </c>
      <c r="GH85" s="280"/>
      <c r="GI85" s="53"/>
      <c r="GJ85" s="53"/>
      <c r="GK85" s="53"/>
      <c r="GL85" s="53"/>
      <c r="GM85" s="53"/>
      <c r="GN85" s="53"/>
      <c r="GO85" s="53"/>
      <c r="GP85" s="53"/>
      <c r="GQ85" s="53"/>
      <c r="GR85" s="53"/>
      <c r="GS85" s="53"/>
      <c r="GT85" s="53"/>
      <c r="GU85" s="53"/>
      <c r="GV85" s="112"/>
      <c r="GW85" s="112"/>
      <c r="GX85" s="93"/>
      <c r="GY85" s="67"/>
      <c r="GZ85" s="67">
        <f>GY85</f>
        <v>0</v>
      </c>
      <c r="HA85" s="94"/>
      <c r="HB85" s="49"/>
      <c r="HC85" s="49"/>
      <c r="HD85" s="93"/>
      <c r="HE85" s="67"/>
      <c r="HF85" s="94"/>
      <c r="HG85" s="128"/>
      <c r="HH85" s="129"/>
      <c r="HI85" s="93"/>
      <c r="HJ85" s="67"/>
      <c r="HK85" s="67"/>
      <c r="HL85" s="49"/>
      <c r="HM85" s="95"/>
      <c r="HN85" s="93"/>
      <c r="HO85" s="67"/>
      <c r="HP85" s="87"/>
      <c r="HQ85" s="87"/>
      <c r="HR85" s="95"/>
      <c r="HS85" s="630"/>
      <c r="HT85" s="67"/>
      <c r="HU85" s="287"/>
      <c r="HV85" s="67"/>
      <c r="HW85" s="67"/>
      <c r="HX85" s="88"/>
      <c r="HY85" s="93"/>
      <c r="HZ85" s="67"/>
      <c r="IA85" s="89"/>
      <c r="IB85" s="49">
        <f>HV85/AE85</f>
        <v>0</v>
      </c>
      <c r="IC85" s="81">
        <f>(HJ85+HV85)/AE85</f>
        <v>0</v>
      </c>
      <c r="ID85" s="89"/>
      <c r="IE85" s="90"/>
      <c r="IF85" s="90"/>
      <c r="IG85" s="91"/>
      <c r="IH85" s="91"/>
      <c r="II85" s="49">
        <f>(HI85+HU85+IH85)/AE85</f>
        <v>0</v>
      </c>
      <c r="IJ85" s="91"/>
      <c r="IK85" s="49">
        <f>(HJ85+HV85+IH85+IJ85)/AE85</f>
        <v>0</v>
      </c>
      <c r="IL85" s="50"/>
      <c r="IM85" s="91"/>
      <c r="IN85" s="91"/>
      <c r="IO85" s="67">
        <f>FR85</f>
        <v>0</v>
      </c>
      <c r="IP85" s="41"/>
      <c r="IQ85" s="231"/>
      <c r="IR85" s="231"/>
      <c r="IS85" s="113"/>
      <c r="IT85" s="314"/>
      <c r="IU85" s="314"/>
      <c r="IV85" s="239"/>
      <c r="IW85" s="239"/>
      <c r="IX85" s="330"/>
      <c r="IY85" s="236"/>
      <c r="IZ85" s="331"/>
      <c r="JA85" s="236"/>
      <c r="JB85" s="331"/>
      <c r="JC85" s="291"/>
      <c r="JD85" s="332"/>
      <c r="JE85" s="328"/>
      <c r="JF85" s="328"/>
      <c r="JG85" s="194"/>
      <c r="JH85" s="330"/>
      <c r="JI85" s="194"/>
      <c r="JJ85" s="330"/>
      <c r="JK85" s="291"/>
      <c r="JL85" s="291"/>
      <c r="JM85" s="291"/>
      <c r="JN85" s="291"/>
      <c r="JO85" s="269"/>
      <c r="JP85" s="269"/>
      <c r="JQ85" s="269"/>
      <c r="JR85" s="269"/>
      <c r="JS85" s="269"/>
      <c r="JT85" s="269"/>
      <c r="JU85" s="330"/>
      <c r="JV85" s="329"/>
      <c r="JW85" s="291"/>
      <c r="JX85" s="329"/>
      <c r="JY85" s="329"/>
      <c r="JZ85" s="291"/>
    </row>
    <row r="86" spans="1:286" ht="15" customHeight="1">
      <c r="A86" s="86" t="s">
        <v>853</v>
      </c>
      <c r="B86" s="86"/>
      <c r="C86" s="53" t="s">
        <v>35</v>
      </c>
      <c r="D86" s="53" t="s">
        <v>112</v>
      </c>
      <c r="E86" s="53">
        <v>2019</v>
      </c>
      <c r="F86" s="53"/>
      <c r="G86" s="53" t="s">
        <v>379</v>
      </c>
      <c r="H86" s="114"/>
      <c r="I86" s="55" t="s">
        <v>789</v>
      </c>
      <c r="J86" s="53"/>
      <c r="K86" s="53" t="s">
        <v>849</v>
      </c>
      <c r="L86" s="255"/>
      <c r="M86" s="166"/>
      <c r="N86" s="167"/>
      <c r="O86" s="168"/>
      <c r="P86" s="207">
        <f>4764/66*AE86</f>
        <v>1443.6363636363637</v>
      </c>
      <c r="Q86" s="207">
        <f>860000/66*AE86</f>
        <v>260606.06060606061</v>
      </c>
      <c r="R86" s="207">
        <f>860000/66*AE86</f>
        <v>260606.06060606061</v>
      </c>
      <c r="S86" s="207">
        <f>Q86/AE86</f>
        <v>13030.30303030303</v>
      </c>
      <c r="T86" s="207">
        <f>Q86/P86</f>
        <v>180.52057094878253</v>
      </c>
      <c r="U86" s="213">
        <f>R86/P86</f>
        <v>180.52057094878253</v>
      </c>
      <c r="V86" s="213">
        <f>R86/AN86</f>
        <v>208.78549960427864</v>
      </c>
      <c r="W86" s="213">
        <f>R86/AE86</f>
        <v>13030.30303030303</v>
      </c>
      <c r="X86" s="207">
        <f>P86/AE86</f>
        <v>72.181818181818187</v>
      </c>
      <c r="Y86" s="208"/>
      <c r="Z86" s="907">
        <f>10000*AE86/P86</f>
        <v>138.53904282115869</v>
      </c>
      <c r="AA86" s="208" t="s">
        <v>194</v>
      </c>
      <c r="AB86" s="208">
        <v>580</v>
      </c>
      <c r="AC86" s="209"/>
      <c r="AD86" s="53" t="s">
        <v>16</v>
      </c>
      <c r="AE86" s="771">
        <f>SUM(AG86:AJ86)</f>
        <v>20</v>
      </c>
      <c r="AF86" s="771">
        <f>AE86-AJ86</f>
        <v>20</v>
      </c>
      <c r="AG86" s="64"/>
      <c r="AH86" s="53">
        <v>20</v>
      </c>
      <c r="AI86" s="64"/>
      <c r="AJ86" s="114"/>
      <c r="AK86" s="807"/>
      <c r="AL86" s="57">
        <v>1248.2</v>
      </c>
      <c r="AM86" s="57">
        <v>1248.2</v>
      </c>
      <c r="AN86" s="400">
        <v>1248.2</v>
      </c>
      <c r="AO86" s="57">
        <f>AN86/AE86</f>
        <v>62.410000000000004</v>
      </c>
      <c r="AP86" s="78"/>
      <c r="AQ86" s="78"/>
      <c r="AR86" s="78"/>
      <c r="AS86" s="78"/>
      <c r="AT86" s="78"/>
      <c r="AU86" s="57"/>
      <c r="AV86" s="76"/>
      <c r="AW86" s="78"/>
      <c r="AX86" s="57"/>
      <c r="AY86" s="56" t="s">
        <v>549</v>
      </c>
      <c r="AZ86" s="53" t="s">
        <v>120</v>
      </c>
      <c r="BA86" s="232">
        <v>2324962.3582085599</v>
      </c>
      <c r="BB86" s="606">
        <f>BA86/AN86</f>
        <v>1862.6521055989103</v>
      </c>
      <c r="BC86" s="53"/>
      <c r="BD86" s="237"/>
      <c r="BE86" s="184"/>
      <c r="BF86" s="110" t="s">
        <v>168</v>
      </c>
      <c r="BG86" s="110" t="s">
        <v>168</v>
      </c>
      <c r="BH86" s="97"/>
      <c r="BI86" s="204"/>
      <c r="BJ86" s="99"/>
      <c r="BK86" s="99"/>
      <c r="BL86" s="204"/>
      <c r="BM86" s="99"/>
      <c r="BN86" s="161"/>
      <c r="BO86" s="203"/>
      <c r="BP86" s="161"/>
      <c r="BQ86" s="161"/>
      <c r="BR86" s="299"/>
      <c r="BS86" s="298"/>
      <c r="BT86" s="298"/>
      <c r="BU86" s="298"/>
      <c r="BV86" s="298"/>
      <c r="BW86" s="672"/>
      <c r="BX86" s="672">
        <f>BW86*FN86</f>
        <v>0</v>
      </c>
      <c r="BY86" s="672">
        <f>IF((BX86-BU86&gt;0),0,(BX86-BU86))</f>
        <v>0</v>
      </c>
      <c r="BZ86" s="824"/>
      <c r="CA86" s="832"/>
      <c r="CB86" s="826"/>
      <c r="CC86" s="826"/>
      <c r="CD86" s="826"/>
      <c r="CE86" s="826"/>
      <c r="CF86" s="819"/>
      <c r="CG86" s="819"/>
      <c r="CH86" s="819"/>
      <c r="CI86" s="819"/>
      <c r="CJ86" s="819"/>
      <c r="CK86" s="819"/>
      <c r="CL86" s="819"/>
      <c r="CM86" s="819"/>
      <c r="CN86" s="819"/>
      <c r="CO86" s="819"/>
      <c r="CP86" s="819"/>
      <c r="CQ86" s="819"/>
      <c r="CR86" s="819"/>
      <c r="CS86" s="159"/>
      <c r="CT86" s="250"/>
      <c r="CU86" s="250"/>
      <c r="CV86" s="158"/>
      <c r="CW86" s="250"/>
      <c r="CX86" s="250"/>
      <c r="CY86" s="250"/>
      <c r="CZ86" s="250"/>
      <c r="DA86" s="598"/>
      <c r="DB86" s="540"/>
      <c r="DC86" s="543"/>
      <c r="DD86" s="543"/>
      <c r="DE86" s="545"/>
      <c r="DF86" s="543"/>
      <c r="DG86" s="543"/>
      <c r="DH86" s="545"/>
      <c r="DI86" s="543"/>
      <c r="DJ86" s="543"/>
      <c r="DK86" s="545"/>
      <c r="DL86" s="543"/>
      <c r="DM86" s="543"/>
      <c r="DN86" s="545"/>
      <c r="DO86" s="546"/>
      <c r="DP86" s="547"/>
      <c r="DQ86" s="545"/>
      <c r="DR86" s="451"/>
      <c r="DS86" s="548"/>
      <c r="DT86" s="527"/>
      <c r="DU86" s="528"/>
      <c r="DV86" s="529"/>
      <c r="DW86" s="527"/>
      <c r="DX86" s="686">
        <v>43850</v>
      </c>
      <c r="DY86" s="344"/>
      <c r="DZ86" s="442">
        <f>(DATEDIF(BI86,DX86,"d"))/30</f>
        <v>1461.6666666666667</v>
      </c>
      <c r="EA86" s="529" t="str">
        <f>IF(AND(DW86&gt;0,DX86&gt;0),DX86-DW86,"0")</f>
        <v>0</v>
      </c>
      <c r="EB86" s="687">
        <v>20</v>
      </c>
      <c r="EC86" s="241">
        <f>DATEDIF(DX86,FC86,"M")</f>
        <v>23</v>
      </c>
      <c r="ED86" s="527"/>
      <c r="EE86" s="533">
        <f ca="1">IF(ED86&lt;TODAY(),TODAY(),ED86)</f>
        <v>43423</v>
      </c>
      <c r="EF86" s="529" t="str">
        <f ca="1">IF(AND(ED86&gt;0,EE86&gt;0),EE86-ED86,"0")</f>
        <v>0</v>
      </c>
      <c r="EG86" s="527"/>
      <c r="EH86" s="551">
        <f ca="1">IF(EG86&lt;TODAY(),TODAY(),EG86)</f>
        <v>43423</v>
      </c>
      <c r="EI86" s="530"/>
      <c r="EJ86" s="531"/>
      <c r="EK86" s="532"/>
      <c r="EL86" s="529" t="str">
        <f>IF(AND(EJ86&gt;0,EK86&gt;0),EK86-EJ86,"0")</f>
        <v>0</v>
      </c>
      <c r="EM86" s="527"/>
      <c r="EN86" s="533">
        <f ca="1">IF(EM86&lt;TODAY(),TODAY(),EM86)</f>
        <v>43423</v>
      </c>
      <c r="EO86" s="529" t="str">
        <f ca="1">IF(AND(EM86&gt;0,EN86&gt;0),EN86-EM86,"0")</f>
        <v>0</v>
      </c>
      <c r="EP86" s="533"/>
      <c r="EQ86" s="533">
        <f ca="1">IF(EP86&lt;TODAY(),TODAY(),EP86)</f>
        <v>43423</v>
      </c>
      <c r="ER86" s="529" t="str">
        <f ca="1">IF(AND(EP86&gt;0,EQ86&gt;0),EQ86-EP86,"0")</f>
        <v>0</v>
      </c>
      <c r="ES86" s="533"/>
      <c r="ET86" s="533">
        <f ca="1">IF(ES86&lt;TODAY(),TODAY(),ES86)</f>
        <v>43423</v>
      </c>
      <c r="EU86" s="529" t="str">
        <f ca="1">IF(AND(ES86&gt;0,ET86&gt;0),ET86-ES86,"0")</f>
        <v>0</v>
      </c>
      <c r="EV86" s="533"/>
      <c r="EW86" s="533">
        <f ca="1">IF(EV86&lt;TODAY(),TODAY(),EV86)</f>
        <v>43423</v>
      </c>
      <c r="EX86" s="529" t="str">
        <f ca="1">IF(AND(EV86&gt;0,EW86&gt;0),EW86-EV86,"0")</f>
        <v>0</v>
      </c>
      <c r="EY86" s="533"/>
      <c r="EZ86" s="533"/>
      <c r="FA86" s="533"/>
      <c r="FB86" s="731">
        <f>DATE(YEAR(DX86),MONTH(DX86)+EB86,DAY(DX86))</f>
        <v>44459</v>
      </c>
      <c r="FC86" s="730">
        <f>DATE(YEAR(FB86),MONTH(FB86)+3,DAY(FB86))</f>
        <v>44550</v>
      </c>
      <c r="FD86" s="727">
        <f>(DATEDIF(FB86,FC86,"d"))/30</f>
        <v>3.0333333333333332</v>
      </c>
      <c r="FE86" s="573">
        <f>DATE(YEAR(CY86)+2,MONTH(CY86),DAY(CY86))</f>
        <v>731</v>
      </c>
      <c r="FF86" s="242"/>
      <c r="FG86" s="242"/>
      <c r="FH86" s="186">
        <f>DATE(YEAR(FC86),MONTH(FC86),DAY(FC86)+15)</f>
        <v>44565</v>
      </c>
      <c r="FI86" s="461"/>
      <c r="FJ86" s="571">
        <f>DATE(YEAR(FB86),MONTH(FB86)+1,DAY(FB86))</f>
        <v>44489</v>
      </c>
      <c r="FK86" s="730">
        <f>DATE(YEAR(FH86),MONTH(FH86)+1,DAY(FH86))</f>
        <v>44596</v>
      </c>
      <c r="FL86" s="574"/>
      <c r="FM86" s="724">
        <f>(DATEDIF(FJ86,FK86,"d"))/30</f>
        <v>3.5666666666666669</v>
      </c>
      <c r="FN86" s="700"/>
      <c r="FO86" s="246">
        <f>FN86*FM86</f>
        <v>0</v>
      </c>
      <c r="FP86" s="117"/>
      <c r="FQ86" s="556"/>
      <c r="FR86" s="556">
        <v>0</v>
      </c>
      <c r="FS86" s="556"/>
      <c r="FT86" s="556"/>
      <c r="FU86" s="556"/>
      <c r="FV86" s="749" t="e">
        <f>FU86/GY86</f>
        <v>#DIV/0!</v>
      </c>
      <c r="FW86" s="553"/>
      <c r="FX86" s="566"/>
      <c r="FY86" s="553"/>
      <c r="FZ86" s="553"/>
      <c r="GA86" s="121"/>
      <c r="GB86" s="121"/>
      <c r="GC86" s="121"/>
      <c r="GD86" s="121"/>
      <c r="GE86" s="121"/>
      <c r="GF86" s="53"/>
      <c r="GG86" s="280">
        <f>DATE(YEAR(FC86)+1,MONTH(FC86),DAY(FC86))</f>
        <v>44915</v>
      </c>
      <c r="GH86" s="280"/>
      <c r="GI86" s="53"/>
      <c r="GJ86" s="53"/>
      <c r="GK86" s="53"/>
      <c r="GL86" s="53"/>
      <c r="GM86" s="53"/>
      <c r="GN86" s="53"/>
      <c r="GO86" s="53"/>
      <c r="GP86" s="53"/>
      <c r="GQ86" s="53"/>
      <c r="GR86" s="53"/>
      <c r="GS86" s="53"/>
      <c r="GT86" s="53"/>
      <c r="GU86" s="53"/>
      <c r="GV86" s="112"/>
      <c r="GW86" s="112"/>
      <c r="GX86" s="93"/>
      <c r="GY86" s="67"/>
      <c r="GZ86" s="67">
        <f>GY86</f>
        <v>0</v>
      </c>
      <c r="HA86" s="94"/>
      <c r="HB86" s="49"/>
      <c r="HC86" s="49"/>
      <c r="HD86" s="93"/>
      <c r="HE86" s="67"/>
      <c r="HF86" s="94"/>
      <c r="HG86" s="128"/>
      <c r="HH86" s="129"/>
      <c r="HI86" s="93"/>
      <c r="HJ86" s="67"/>
      <c r="HK86" s="67"/>
      <c r="HL86" s="49"/>
      <c r="HM86" s="95"/>
      <c r="HN86" s="93"/>
      <c r="HO86" s="67"/>
      <c r="HP86" s="87"/>
      <c r="HQ86" s="87"/>
      <c r="HR86" s="95"/>
      <c r="HS86" s="630"/>
      <c r="HT86" s="67"/>
      <c r="HU86" s="287"/>
      <c r="HV86" s="67"/>
      <c r="HW86" s="67"/>
      <c r="HX86" s="88"/>
      <c r="HY86" s="93"/>
      <c r="HZ86" s="67"/>
      <c r="IA86" s="89"/>
      <c r="IB86" s="49">
        <f>HV86/AE86</f>
        <v>0</v>
      </c>
      <c r="IC86" s="81">
        <f>(HJ86+HV86)/AE86</f>
        <v>0</v>
      </c>
      <c r="ID86" s="89"/>
      <c r="IE86" s="90"/>
      <c r="IF86" s="90"/>
      <c r="IG86" s="91"/>
      <c r="IH86" s="91"/>
      <c r="II86" s="49">
        <f>(HI86+HU86+IH86)/AE86</f>
        <v>0</v>
      </c>
      <c r="IJ86" s="91"/>
      <c r="IK86" s="49">
        <f>(HJ86+HV86+IH86+IJ86)/AE86</f>
        <v>0</v>
      </c>
      <c r="IL86" s="50"/>
      <c r="IM86" s="91"/>
      <c r="IN86" s="91"/>
      <c r="IO86" s="67">
        <f>FR86</f>
        <v>0</v>
      </c>
      <c r="IP86" s="96"/>
      <c r="IQ86" s="231"/>
      <c r="IR86" s="231"/>
      <c r="IS86" s="113"/>
      <c r="IT86" s="314"/>
      <c r="IU86" s="314"/>
      <c r="IV86" s="239"/>
      <c r="IW86" s="239"/>
      <c r="IX86" s="330"/>
      <c r="IY86" s="236"/>
      <c r="IZ86" s="331"/>
      <c r="JA86" s="236"/>
      <c r="JB86" s="331"/>
      <c r="JC86" s="291"/>
      <c r="JD86" s="332"/>
      <c r="JE86" s="328"/>
      <c r="JF86" s="328"/>
      <c r="JG86" s="194"/>
      <c r="JH86" s="330"/>
      <c r="JI86" s="194"/>
      <c r="JJ86" s="330"/>
      <c r="JK86" s="291"/>
      <c r="JL86" s="291"/>
      <c r="JM86" s="291"/>
      <c r="JN86" s="291"/>
      <c r="JO86" s="269"/>
      <c r="JP86" s="269"/>
      <c r="JQ86" s="269"/>
      <c r="JR86" s="269"/>
      <c r="JS86" s="269"/>
      <c r="JT86" s="269"/>
      <c r="JU86" s="330"/>
      <c r="JV86" s="329"/>
      <c r="JW86" s="291"/>
      <c r="JX86" s="329"/>
      <c r="JY86" s="329"/>
      <c r="JZ86" s="291"/>
    </row>
    <row r="87" spans="1:286" ht="15" customHeight="1">
      <c r="A87" s="98" t="s">
        <v>850</v>
      </c>
      <c r="B87" s="98"/>
      <c r="C87" s="53" t="s">
        <v>35</v>
      </c>
      <c r="D87" s="53" t="s">
        <v>112</v>
      </c>
      <c r="E87" s="53">
        <v>2019</v>
      </c>
      <c r="F87" s="53"/>
      <c r="G87" s="53"/>
      <c r="H87" s="114"/>
      <c r="I87" s="55" t="s">
        <v>243</v>
      </c>
      <c r="J87" s="53"/>
      <c r="K87" s="53" t="s">
        <v>855</v>
      </c>
      <c r="L87" s="255"/>
      <c r="M87" s="166"/>
      <c r="N87" s="167"/>
      <c r="O87" s="168"/>
      <c r="P87" s="207">
        <f>1954/58*AE87</f>
        <v>1145.4482758620691</v>
      </c>
      <c r="Q87" s="207">
        <v>533000</v>
      </c>
      <c r="R87" s="207">
        <v>533000</v>
      </c>
      <c r="S87" s="207">
        <f>Q87/AE87</f>
        <v>15676.470588235294</v>
      </c>
      <c r="T87" s="207">
        <f>Q87/P87</f>
        <v>465.32000722499845</v>
      </c>
      <c r="U87" s="213">
        <f>R87/P87</f>
        <v>465.32000722499845</v>
      </c>
      <c r="V87" s="213">
        <f>R87/AN87</f>
        <v>197.22114299457917</v>
      </c>
      <c r="W87" s="213">
        <f>R87/AE87</f>
        <v>15676.470588235294</v>
      </c>
      <c r="X87" s="207">
        <f>P87/AE87</f>
        <v>33.689655172413794</v>
      </c>
      <c r="Y87" s="208"/>
      <c r="Z87" s="907">
        <f>10000*AE87/P87</f>
        <v>296.82702149437051</v>
      </c>
      <c r="AA87" s="208" t="s">
        <v>207</v>
      </c>
      <c r="AB87" s="208">
        <v>600</v>
      </c>
      <c r="AC87" s="209"/>
      <c r="AD87" s="53" t="s">
        <v>15</v>
      </c>
      <c r="AE87" s="771">
        <f>SUM(AG87:AJ87)</f>
        <v>34</v>
      </c>
      <c r="AF87" s="771">
        <f>AE87-AJ87</f>
        <v>34</v>
      </c>
      <c r="AG87" s="53">
        <v>34</v>
      </c>
      <c r="AH87" s="64"/>
      <c r="AI87" s="64"/>
      <c r="AJ87" s="114"/>
      <c r="AK87" s="807">
        <v>2277.5500000000002</v>
      </c>
      <c r="AL87" s="57">
        <v>2702.55</v>
      </c>
      <c r="AM87" s="57">
        <v>2702.55</v>
      </c>
      <c r="AN87" s="400">
        <v>2702.55</v>
      </c>
      <c r="AO87" s="57">
        <f>AN87/AE87</f>
        <v>79.486764705882365</v>
      </c>
      <c r="AP87" s="78"/>
      <c r="AQ87" s="78"/>
      <c r="AR87" s="78"/>
      <c r="AS87" s="78"/>
      <c r="AT87" s="78"/>
      <c r="AU87" s="57"/>
      <c r="AV87" s="76"/>
      <c r="AW87" s="78"/>
      <c r="AX87" s="57"/>
      <c r="AY87" s="53" t="s">
        <v>549</v>
      </c>
      <c r="AZ87" s="53" t="s">
        <v>120</v>
      </c>
      <c r="BA87" s="232"/>
      <c r="BB87" s="606"/>
      <c r="BC87" s="53"/>
      <c r="BD87" s="237"/>
      <c r="BE87" s="184"/>
      <c r="BF87" s="110"/>
      <c r="BG87" s="110"/>
      <c r="BH87" s="97"/>
      <c r="BI87" s="204"/>
      <c r="BJ87" s="99"/>
      <c r="BK87" s="99"/>
      <c r="BL87" s="204"/>
      <c r="BM87" s="99"/>
      <c r="BN87" s="161"/>
      <c r="BO87" s="203"/>
      <c r="BP87" s="161"/>
      <c r="BQ87" s="161"/>
      <c r="BR87" s="299"/>
      <c r="BS87" s="298"/>
      <c r="BT87" s="298"/>
      <c r="BU87" s="298"/>
      <c r="BV87" s="298"/>
      <c r="BW87" s="672"/>
      <c r="BX87" s="672"/>
      <c r="BY87" s="672"/>
      <c r="BZ87" s="824"/>
      <c r="CA87" s="832"/>
      <c r="CB87" s="826"/>
      <c r="CC87" s="826"/>
      <c r="CD87" s="826"/>
      <c r="CE87" s="826"/>
      <c r="CF87" s="819"/>
      <c r="CG87" s="819"/>
      <c r="CH87" s="819"/>
      <c r="CI87" s="819"/>
      <c r="CJ87" s="819"/>
      <c r="CK87" s="819"/>
      <c r="CL87" s="819"/>
      <c r="CM87" s="819"/>
      <c r="CN87" s="819"/>
      <c r="CO87" s="819"/>
      <c r="CP87" s="819"/>
      <c r="CQ87" s="819"/>
      <c r="CR87" s="819"/>
      <c r="CS87" s="159"/>
      <c r="CT87" s="250"/>
      <c r="CU87" s="250"/>
      <c r="CV87" s="158"/>
      <c r="CW87" s="250"/>
      <c r="CX87" s="250"/>
      <c r="CY87" s="250"/>
      <c r="CZ87" s="250"/>
      <c r="DA87" s="598"/>
      <c r="DB87" s="540"/>
      <c r="DC87" s="543"/>
      <c r="DD87" s="543"/>
      <c r="DE87" s="545"/>
      <c r="DF87" s="543"/>
      <c r="DG87" s="543"/>
      <c r="DH87" s="545"/>
      <c r="DI87" s="543"/>
      <c r="DJ87" s="543"/>
      <c r="DK87" s="545"/>
      <c r="DL87" s="543"/>
      <c r="DM87" s="543"/>
      <c r="DN87" s="545"/>
      <c r="DO87" s="546"/>
      <c r="DP87" s="547"/>
      <c r="DQ87" s="545"/>
      <c r="DR87" s="451"/>
      <c r="DS87" s="548"/>
      <c r="DT87" s="527"/>
      <c r="DU87" s="528"/>
      <c r="DV87" s="529"/>
      <c r="DW87" s="527"/>
      <c r="DX87" s="686">
        <v>43850</v>
      </c>
      <c r="DY87" s="344"/>
      <c r="DZ87" s="442"/>
      <c r="EA87" s="529"/>
      <c r="EB87" s="687">
        <v>20</v>
      </c>
      <c r="EC87" s="241"/>
      <c r="ED87" s="527"/>
      <c r="EE87" s="533"/>
      <c r="EF87" s="529"/>
      <c r="EG87" s="527"/>
      <c r="EH87" s="551"/>
      <c r="EI87" s="530"/>
      <c r="EJ87" s="531"/>
      <c r="EK87" s="532"/>
      <c r="EL87" s="529"/>
      <c r="EM87" s="527"/>
      <c r="EN87" s="533"/>
      <c r="EO87" s="529"/>
      <c r="EP87" s="533"/>
      <c r="EQ87" s="533"/>
      <c r="ER87" s="529"/>
      <c r="ES87" s="533"/>
      <c r="ET87" s="533"/>
      <c r="EU87" s="529"/>
      <c r="EV87" s="533"/>
      <c r="EW87" s="533"/>
      <c r="EX87" s="529"/>
      <c r="EY87" s="533"/>
      <c r="EZ87" s="533"/>
      <c r="FA87" s="533"/>
      <c r="FB87" s="731">
        <f>DATE(YEAR(DX87),MONTH(DX87)+EB87,DAY(DX87))</f>
        <v>44459</v>
      </c>
      <c r="FC87" s="730">
        <f>DATE(YEAR(FB87),MONTH(FB87)+3,DAY(FB87))</f>
        <v>44550</v>
      </c>
      <c r="FD87" s="727">
        <f>(DATEDIF(FB87,FC87,"d"))/30</f>
        <v>3.0333333333333332</v>
      </c>
      <c r="FE87" s="573"/>
      <c r="FF87" s="242"/>
      <c r="FG87" s="242"/>
      <c r="FH87" s="186">
        <f>DATE(YEAR(FC87),MONTH(FC87)+1,DAY(FC87))</f>
        <v>44581</v>
      </c>
      <c r="FI87" s="461"/>
      <c r="FJ87" s="571">
        <f>DATE(YEAR(FB87),MONTH(FB87)+1,DAY(FB87))</f>
        <v>44489</v>
      </c>
      <c r="FK87" s="730">
        <f>DATE(YEAR(FH87),MONTH(FH87)+1,DAY(FH87))</f>
        <v>44612</v>
      </c>
      <c r="FL87" s="574"/>
      <c r="FM87" s="724">
        <f>(DATEDIF(FJ87,FK87,"d"))/30</f>
        <v>4.0999999999999996</v>
      </c>
      <c r="FN87" s="700"/>
      <c r="FO87" s="246">
        <f>FN87*FM87</f>
        <v>0</v>
      </c>
      <c r="FP87" s="117"/>
      <c r="FQ87" s="556"/>
      <c r="FR87" s="556"/>
      <c r="FS87" s="556"/>
      <c r="FT87" s="556"/>
      <c r="FU87" s="556"/>
      <c r="FV87" s="749" t="e">
        <f>FU87/GY87</f>
        <v>#DIV/0!</v>
      </c>
      <c r="FW87" s="553"/>
      <c r="FX87" s="566"/>
      <c r="FY87" s="553"/>
      <c r="FZ87" s="553"/>
      <c r="GA87" s="121"/>
      <c r="GB87" s="121"/>
      <c r="GC87" s="121"/>
      <c r="GD87" s="121"/>
      <c r="GE87" s="121"/>
      <c r="GF87" s="53"/>
      <c r="GG87" s="280"/>
      <c r="GH87" s="280"/>
      <c r="GI87" s="53"/>
      <c r="GJ87" s="53"/>
      <c r="GK87" s="53"/>
      <c r="GL87" s="53"/>
      <c r="GM87" s="53"/>
      <c r="GN87" s="53"/>
      <c r="GO87" s="53"/>
      <c r="GP87" s="53"/>
      <c r="GQ87" s="53"/>
      <c r="GR87" s="53"/>
      <c r="GS87" s="53"/>
      <c r="GT87" s="53"/>
      <c r="GU87" s="53"/>
      <c r="GV87" s="112"/>
      <c r="GW87" s="112"/>
      <c r="GX87" s="93"/>
      <c r="GY87" s="67"/>
      <c r="GZ87" s="67"/>
      <c r="HA87" s="94"/>
      <c r="HB87" s="49"/>
      <c r="HC87" s="49"/>
      <c r="HD87" s="93"/>
      <c r="HE87" s="67"/>
      <c r="HF87" s="94"/>
      <c r="HG87" s="128"/>
      <c r="HH87" s="129"/>
      <c r="HI87" s="93"/>
      <c r="HJ87" s="67"/>
      <c r="HK87" s="67"/>
      <c r="HL87" s="49"/>
      <c r="HM87" s="95"/>
      <c r="HN87" s="93"/>
      <c r="HO87" s="67"/>
      <c r="HP87" s="87"/>
      <c r="HQ87" s="87"/>
      <c r="HR87" s="95"/>
      <c r="HS87" s="630"/>
      <c r="HT87" s="67"/>
      <c r="HU87" s="287"/>
      <c r="HV87" s="67"/>
      <c r="HW87" s="67"/>
      <c r="HX87" s="88"/>
      <c r="HY87" s="93"/>
      <c r="HZ87" s="67"/>
      <c r="IA87" s="89"/>
      <c r="IB87" s="49"/>
      <c r="IC87" s="81"/>
      <c r="ID87" s="89"/>
      <c r="IE87" s="90"/>
      <c r="IF87" s="90"/>
      <c r="IG87" s="91"/>
      <c r="IH87" s="91"/>
      <c r="II87" s="49"/>
      <c r="IJ87" s="91"/>
      <c r="IK87" s="49"/>
      <c r="IL87" s="50"/>
      <c r="IM87" s="91"/>
      <c r="IN87" s="91"/>
      <c r="IO87" s="67"/>
      <c r="IP87" s="96"/>
      <c r="IQ87" s="231"/>
      <c r="IR87" s="231"/>
      <c r="IS87" s="113"/>
      <c r="IT87" s="314"/>
      <c r="IU87" s="314"/>
      <c r="IV87" s="239"/>
      <c r="IW87" s="239"/>
      <c r="IX87" s="330"/>
      <c r="IY87" s="236"/>
      <c r="IZ87" s="331"/>
      <c r="JA87" s="236"/>
      <c r="JB87" s="331"/>
      <c r="JC87" s="291"/>
      <c r="JD87" s="332"/>
      <c r="JE87" s="328"/>
      <c r="JF87" s="328"/>
      <c r="JG87" s="194"/>
      <c r="JH87" s="330"/>
      <c r="JI87" s="194"/>
      <c r="JJ87" s="330"/>
      <c r="JK87" s="291"/>
      <c r="JL87" s="291"/>
      <c r="JM87" s="291"/>
      <c r="JN87" s="291"/>
      <c r="JO87" s="269"/>
      <c r="JP87" s="269"/>
      <c r="JQ87" s="269"/>
      <c r="JR87" s="269"/>
      <c r="JS87" s="269"/>
      <c r="JT87" s="269"/>
      <c r="JU87" s="330"/>
      <c r="JV87" s="329"/>
      <c r="JW87" s="291"/>
      <c r="JX87" s="329"/>
      <c r="JY87" s="329"/>
      <c r="JZ87" s="291"/>
    </row>
    <row r="88" spans="1:286" ht="26.25" customHeight="1">
      <c r="A88" s="98" t="s">
        <v>851</v>
      </c>
      <c r="B88" s="98"/>
      <c r="C88" s="53" t="s">
        <v>35</v>
      </c>
      <c r="D88" s="53" t="s">
        <v>112</v>
      </c>
      <c r="E88" s="53">
        <v>2019</v>
      </c>
      <c r="F88" s="53"/>
      <c r="G88" s="54" t="s">
        <v>378</v>
      </c>
      <c r="H88" s="54" t="s">
        <v>463</v>
      </c>
      <c r="I88" s="54" t="s">
        <v>243</v>
      </c>
      <c r="J88" s="54"/>
      <c r="K88" s="53" t="s">
        <v>855</v>
      </c>
      <c r="L88" s="255"/>
      <c r="M88" s="166"/>
      <c r="N88" s="167"/>
      <c r="O88" s="168"/>
      <c r="P88" s="207">
        <f>1954/58*AE88</f>
        <v>808.55172413793105</v>
      </c>
      <c r="Q88" s="207">
        <v>445600</v>
      </c>
      <c r="R88" s="207">
        <v>445600</v>
      </c>
      <c r="S88" s="207">
        <f>Q88/AE88</f>
        <v>18566.666666666668</v>
      </c>
      <c r="T88" s="207">
        <f>Q88/P88</f>
        <v>551.10883657454792</v>
      </c>
      <c r="U88" s="213">
        <f>R88/P88</f>
        <v>551.10883657454792</v>
      </c>
      <c r="V88" s="213">
        <f>R88/AN88</f>
        <v>202.4125063310689</v>
      </c>
      <c r="W88" s="213">
        <f>R88/AE88</f>
        <v>18566.666666666668</v>
      </c>
      <c r="X88" s="207">
        <f>P88/AE88</f>
        <v>33.689655172413794</v>
      </c>
      <c r="Y88" s="216"/>
      <c r="Z88" s="907">
        <f>10000*AE88/P88</f>
        <v>296.82702149437051</v>
      </c>
      <c r="AA88" s="208" t="s">
        <v>207</v>
      </c>
      <c r="AB88" s="208">
        <v>600</v>
      </c>
      <c r="AC88" s="215"/>
      <c r="AD88" s="54" t="s">
        <v>425</v>
      </c>
      <c r="AE88" s="771">
        <f>SUM(AG88:AJ88)</f>
        <v>24</v>
      </c>
      <c r="AF88" s="771">
        <f>AE88-AJ88</f>
        <v>24</v>
      </c>
      <c r="AG88" s="53"/>
      <c r="AH88" s="64"/>
      <c r="AI88" s="53">
        <v>24</v>
      </c>
      <c r="AJ88" s="114"/>
      <c r="AK88" s="807">
        <v>1938.885</v>
      </c>
      <c r="AL88" s="58">
        <v>2201.4450000000002</v>
      </c>
      <c r="AM88" s="58">
        <v>2201.4450000000002</v>
      </c>
      <c r="AN88" s="408">
        <v>2201.4450000000002</v>
      </c>
      <c r="AO88" s="9">
        <f>AN88/AE88</f>
        <v>91.726875000000007</v>
      </c>
      <c r="AP88" s="60"/>
      <c r="AQ88" s="60"/>
      <c r="AR88" s="60"/>
      <c r="AS88" s="60"/>
      <c r="AT88" s="60"/>
      <c r="AU88" s="58"/>
      <c r="AV88" s="77"/>
      <c r="AW88" s="79"/>
      <c r="AX88" s="58"/>
      <c r="AY88" s="53" t="s">
        <v>549</v>
      </c>
      <c r="AZ88" s="53" t="s">
        <v>120</v>
      </c>
      <c r="BA88" s="232">
        <v>10783875.512</v>
      </c>
      <c r="BB88" s="606">
        <f>BA88/AN88</f>
        <v>4898.5441435057428</v>
      </c>
      <c r="BC88" s="54"/>
      <c r="BD88" s="190"/>
      <c r="BE88" s="190"/>
      <c r="BF88" s="110" t="s">
        <v>168</v>
      </c>
      <c r="BG88" s="110" t="s">
        <v>168</v>
      </c>
      <c r="BH88" s="286"/>
      <c r="BI88" s="204"/>
      <c r="BJ88" s="99"/>
      <c r="BK88" s="99"/>
      <c r="BL88" s="204"/>
      <c r="BM88" s="99"/>
      <c r="BN88" s="161"/>
      <c r="BO88" s="203"/>
      <c r="BP88" s="161"/>
      <c r="BQ88" s="161"/>
      <c r="BR88" s="299"/>
      <c r="BS88" s="298"/>
      <c r="BT88" s="298"/>
      <c r="BU88" s="298"/>
      <c r="BV88" s="298"/>
      <c r="BW88" s="672"/>
      <c r="BX88" s="672">
        <f>BW88*FN88</f>
        <v>0</v>
      </c>
      <c r="BY88" s="672">
        <f>IF((BX88-BU88&gt;0),0,(BX88-BU88))</f>
        <v>0</v>
      </c>
      <c r="BZ88" s="824"/>
      <c r="CA88" s="824"/>
      <c r="CB88" s="827"/>
      <c r="CC88" s="827"/>
      <c r="CD88" s="827"/>
      <c r="CE88" s="827"/>
      <c r="CF88" s="827"/>
      <c r="CG88" s="827"/>
      <c r="CH88" s="827"/>
      <c r="CI88" s="827"/>
      <c r="CJ88" s="827"/>
      <c r="CK88" s="827"/>
      <c r="CL88" s="827"/>
      <c r="CM88" s="827"/>
      <c r="CN88" s="827"/>
      <c r="CO88" s="827"/>
      <c r="CP88" s="827"/>
      <c r="CQ88" s="827"/>
      <c r="CR88" s="827"/>
      <c r="CS88" s="159"/>
      <c r="CT88" s="250"/>
      <c r="CU88" s="250"/>
      <c r="CV88" s="158"/>
      <c r="CW88" s="250"/>
      <c r="CX88" s="250"/>
      <c r="CY88" s="250"/>
      <c r="CZ88" s="250"/>
      <c r="DA88" s="597"/>
      <c r="DB88" s="122"/>
      <c r="DC88" s="122"/>
      <c r="DD88" s="122"/>
      <c r="DE88" s="523"/>
      <c r="DF88" s="122"/>
      <c r="DG88" s="122"/>
      <c r="DH88" s="523"/>
      <c r="DI88" s="315"/>
      <c r="DJ88" s="315"/>
      <c r="DK88" s="523"/>
      <c r="DL88" s="543"/>
      <c r="DM88" s="543"/>
      <c r="DN88" s="545"/>
      <c r="DO88" s="543"/>
      <c r="DP88" s="543"/>
      <c r="DQ88" s="545"/>
      <c r="DR88" s="453"/>
      <c r="DS88" s="544"/>
      <c r="DT88" s="537"/>
      <c r="DU88" s="533"/>
      <c r="DV88" s="529"/>
      <c r="DW88" s="537"/>
      <c r="DX88" s="686">
        <v>43850</v>
      </c>
      <c r="DY88" s="344"/>
      <c r="DZ88" s="442">
        <f>(DATEDIF(BI88,DX88,"d"))/30</f>
        <v>1461.6666666666667</v>
      </c>
      <c r="EA88" s="529" t="str">
        <f>IF(AND(DW88&gt;0,DX88&gt;0),DX88-DW88,"0")</f>
        <v>0</v>
      </c>
      <c r="EB88" s="687">
        <v>20</v>
      </c>
      <c r="EC88" s="241">
        <f>DATEDIF(DX88,FC88,"M")</f>
        <v>23</v>
      </c>
      <c r="ED88" s="533"/>
      <c r="EE88" s="533">
        <f ca="1">IF(ED88&lt;TODAY(),TODAY(),ED88)</f>
        <v>43423</v>
      </c>
      <c r="EF88" s="529" t="str">
        <f ca="1">IF(AND(ED88&gt;0,EE88&gt;0),EE88-ED88,"0")</f>
        <v>0</v>
      </c>
      <c r="EG88" s="533"/>
      <c r="EH88" s="551">
        <f ca="1">IF(EG88&lt;TODAY(),TODAY(),EG88)</f>
        <v>43423</v>
      </c>
      <c r="EI88" s="530"/>
      <c r="EJ88" s="533"/>
      <c r="EK88" s="533"/>
      <c r="EL88" s="529" t="str">
        <f>IF(AND(EJ88&gt;0,EK88&gt;0),EK88-EJ88,"0")</f>
        <v>0</v>
      </c>
      <c r="EM88" s="527"/>
      <c r="EN88" s="533">
        <f ca="1">IF(EM88&lt;TODAY(),TODAY(),EM88)</f>
        <v>43423</v>
      </c>
      <c r="EO88" s="529" t="str">
        <f ca="1">IF(AND(EM88&gt;0,EN88&gt;0),EN88-EM88,"0")</f>
        <v>0</v>
      </c>
      <c r="EP88" s="533"/>
      <c r="EQ88" s="533">
        <f ca="1">IF(EP88&lt;TODAY(),TODAY(),EP88)</f>
        <v>43423</v>
      </c>
      <c r="ER88" s="529" t="str">
        <f ca="1">IF(AND(EP88&gt;0,EQ88&gt;0),EQ88-EP88,"0")</f>
        <v>0</v>
      </c>
      <c r="ES88" s="533"/>
      <c r="ET88" s="533">
        <f ca="1">IF(ES88&lt;TODAY(),TODAY(),ES88)</f>
        <v>43423</v>
      </c>
      <c r="EU88" s="529" t="str">
        <f ca="1">IF(AND(ES88&gt;0,ET88&gt;0),ET88-ES88,"0")</f>
        <v>0</v>
      </c>
      <c r="EV88" s="533"/>
      <c r="EW88" s="533">
        <f ca="1">IF(EV88&lt;TODAY(),TODAY(),EV88)</f>
        <v>43423</v>
      </c>
      <c r="EX88" s="529" t="str">
        <f ca="1">IF(AND(EV88&gt;0,EW88&gt;0),EW88-EV88,"0")</f>
        <v>0</v>
      </c>
      <c r="EY88" s="533"/>
      <c r="EZ88" s="533"/>
      <c r="FA88" s="533"/>
      <c r="FB88" s="731">
        <f>DATE(YEAR(DX88),MONTH(DX88)+EB88,DAY(DX88))</f>
        <v>44459</v>
      </c>
      <c r="FC88" s="730">
        <f>DATE(YEAR(FB88),MONTH(FB88)+3,DAY(FB88))</f>
        <v>44550</v>
      </c>
      <c r="FD88" s="727">
        <f>(DATEDIF(FB88,FC88,"d"))/30</f>
        <v>3.0333333333333332</v>
      </c>
      <c r="FE88" s="573">
        <f>DATE(YEAR(CY88)+2,MONTH(CY88),DAY(CY88))</f>
        <v>731</v>
      </c>
      <c r="FF88" s="242"/>
      <c r="FG88" s="242"/>
      <c r="FH88" s="186">
        <f>DATE(YEAR(FC88),MONTH(FC88),DAY(FC88)+15)</f>
        <v>44565</v>
      </c>
      <c r="FI88" s="461"/>
      <c r="FJ88" s="571">
        <f>DATE(YEAR(FB88),MONTH(FB88)+1,DAY(FB88))</f>
        <v>44489</v>
      </c>
      <c r="FK88" s="730">
        <f>DATE(YEAR(FH88),MONTH(FH88)+1,DAY(FH88))</f>
        <v>44596</v>
      </c>
      <c r="FL88" s="574"/>
      <c r="FM88" s="724">
        <f>(DATEDIF(FJ88,FK88,"d"))/30</f>
        <v>3.5666666666666669</v>
      </c>
      <c r="FN88" s="700"/>
      <c r="FO88" s="246">
        <f>FN88*FM88</f>
        <v>0</v>
      </c>
      <c r="FP88" s="117"/>
      <c r="FQ88" s="556"/>
      <c r="FR88" s="556">
        <v>0</v>
      </c>
      <c r="FS88" s="556"/>
      <c r="FT88" s="556"/>
      <c r="FU88" s="556"/>
      <c r="FV88" s="749" t="e">
        <f>FU88/GY88</f>
        <v>#DIV/0!</v>
      </c>
      <c r="FW88" s="553"/>
      <c r="FX88" s="566"/>
      <c r="FY88" s="566"/>
      <c r="FZ88" s="553"/>
      <c r="GA88" s="123"/>
      <c r="GB88" s="123"/>
      <c r="GC88" s="123"/>
      <c r="GD88" s="123"/>
      <c r="GE88" s="123"/>
      <c r="GF88" s="54"/>
      <c r="GG88" s="280">
        <f>DATE(YEAR(FC88)+1,MONTH(FC88),DAY(FC88))</f>
        <v>44915</v>
      </c>
      <c r="GH88" s="280"/>
      <c r="GI88" s="54"/>
      <c r="GJ88" s="54"/>
      <c r="GK88" s="54"/>
      <c r="GL88" s="54"/>
      <c r="GM88" s="54"/>
      <c r="GN88" s="54"/>
      <c r="GO88" s="54"/>
      <c r="GP88" s="54"/>
      <c r="GQ88" s="54"/>
      <c r="GR88" s="54"/>
      <c r="GS88" s="54"/>
      <c r="GT88" s="54"/>
      <c r="GU88" s="54"/>
      <c r="GV88" s="112"/>
      <c r="GW88" s="112"/>
      <c r="GX88" s="93"/>
      <c r="GY88" s="67"/>
      <c r="GZ88" s="67">
        <f>GY88</f>
        <v>0</v>
      </c>
      <c r="HA88" s="94"/>
      <c r="HB88" s="49"/>
      <c r="HC88" s="49"/>
      <c r="HD88" s="287"/>
      <c r="HE88" s="72"/>
      <c r="HF88" s="94"/>
      <c r="HG88" s="128"/>
      <c r="HH88" s="129"/>
      <c r="HI88" s="287"/>
      <c r="HJ88" s="67"/>
      <c r="HK88" s="645"/>
      <c r="HL88" s="23"/>
      <c r="HM88" s="95"/>
      <c r="HN88" s="720"/>
      <c r="HO88" s="67"/>
      <c r="HP88" s="293"/>
      <c r="HQ88" s="293"/>
      <c r="HR88" s="95"/>
      <c r="HS88" s="630"/>
      <c r="HT88" s="387"/>
      <c r="HU88" s="287"/>
      <c r="HV88" s="72"/>
      <c r="HW88" s="72"/>
      <c r="HX88" s="40"/>
      <c r="HY88" s="393"/>
      <c r="HZ88" s="72"/>
      <c r="IA88" s="89"/>
      <c r="IB88" s="23"/>
      <c r="IC88" s="81"/>
      <c r="ID88" s="89"/>
      <c r="IE88" s="90"/>
      <c r="IF88" s="90"/>
      <c r="IG88" s="409"/>
      <c r="IH88" s="409"/>
      <c r="II88" s="49"/>
      <c r="IJ88" s="409"/>
      <c r="IK88" s="49"/>
      <c r="IL88" s="50"/>
      <c r="IM88" s="409"/>
      <c r="IN88" s="409"/>
      <c r="IO88" s="67">
        <f>FR88</f>
        <v>0</v>
      </c>
      <c r="IP88" s="41"/>
      <c r="IQ88" s="277"/>
      <c r="IR88" s="277"/>
      <c r="IS88" s="278"/>
      <c r="IT88" s="277"/>
      <c r="IU88" s="277"/>
      <c r="IV88" s="270"/>
      <c r="IW88" s="270"/>
      <c r="IX88" s="458"/>
      <c r="IY88" s="270"/>
      <c r="IZ88" s="274"/>
      <c r="JA88" s="270"/>
      <c r="JB88" s="460"/>
      <c r="JC88" s="279"/>
      <c r="JD88" s="284"/>
      <c r="JE88" s="282"/>
      <c r="JF88" s="282"/>
      <c r="JG88" s="276"/>
      <c r="JH88" s="281"/>
      <c r="JI88" s="276"/>
      <c r="JJ88" s="281"/>
      <c r="JK88" s="300"/>
      <c r="JL88" s="300"/>
      <c r="JM88" s="300"/>
      <c r="JN88" s="300"/>
      <c r="JO88" s="269"/>
      <c r="JP88" s="269"/>
      <c r="JQ88" s="269"/>
      <c r="JR88" s="269"/>
      <c r="JS88" s="269"/>
      <c r="JT88" s="269"/>
      <c r="JU88" s="277"/>
      <c r="JV88" s="271"/>
      <c r="JW88" s="279"/>
      <c r="JX88" s="271"/>
      <c r="JY88" s="271"/>
      <c r="JZ88" s="279"/>
    </row>
    <row r="89" spans="1:286" ht="15" customHeight="1">
      <c r="A89" s="86" t="s">
        <v>641</v>
      </c>
      <c r="B89" s="86" t="s">
        <v>966</v>
      </c>
      <c r="C89" s="53" t="s">
        <v>39</v>
      </c>
      <c r="D89" s="53" t="s">
        <v>114</v>
      </c>
      <c r="E89" s="53">
        <v>2018</v>
      </c>
      <c r="F89" s="53" t="s">
        <v>583</v>
      </c>
      <c r="G89" s="53" t="s">
        <v>374</v>
      </c>
      <c r="H89" s="53" t="s">
        <v>837</v>
      </c>
      <c r="I89" s="55" t="s">
        <v>174</v>
      </c>
      <c r="J89" s="53"/>
      <c r="K89" s="53" t="s">
        <v>587</v>
      </c>
      <c r="L89" s="255" t="s">
        <v>597</v>
      </c>
      <c r="M89" s="166"/>
      <c r="N89" s="167"/>
      <c r="O89" s="168"/>
      <c r="P89" s="207">
        <v>3040</v>
      </c>
      <c r="Q89" s="207">
        <v>205275</v>
      </c>
      <c r="R89" s="207">
        <v>205275</v>
      </c>
      <c r="S89" s="207">
        <f>Q89/AE89</f>
        <v>6842.5</v>
      </c>
      <c r="T89" s="207">
        <f>Q89/P89</f>
        <v>67.524671052631575</v>
      </c>
      <c r="U89" s="213">
        <f>R89/P89</f>
        <v>67.524671052631575</v>
      </c>
      <c r="V89" s="213">
        <f>R89/AN89</f>
        <v>89.910647803425178</v>
      </c>
      <c r="W89" s="213">
        <f>R89/AE89</f>
        <v>6842.5</v>
      </c>
      <c r="X89" s="207">
        <f>P89/AE89</f>
        <v>101.33333333333333</v>
      </c>
      <c r="Y89" s="208"/>
      <c r="Z89" s="907">
        <f>10000*AE89/P89</f>
        <v>98.684210526315795</v>
      </c>
      <c r="AA89" s="208" t="s">
        <v>188</v>
      </c>
      <c r="AB89" s="208"/>
      <c r="AC89" s="209"/>
      <c r="AD89" s="53" t="s">
        <v>16</v>
      </c>
      <c r="AE89" s="771">
        <v>30</v>
      </c>
      <c r="AF89" s="771">
        <f>AE89-AJ89</f>
        <v>30</v>
      </c>
      <c r="AG89" s="64"/>
      <c r="AH89" s="53">
        <v>30</v>
      </c>
      <c r="AI89" s="114"/>
      <c r="AJ89" s="114"/>
      <c r="AK89" s="269"/>
      <c r="AL89" s="57">
        <v>2297.19</v>
      </c>
      <c r="AM89" s="57"/>
      <c r="AN89" s="92">
        <v>2283.1</v>
      </c>
      <c r="AO89" s="57">
        <f>AN89/AE89</f>
        <v>76.103333333333325</v>
      </c>
      <c r="AP89" s="78">
        <f>5/AE89</f>
        <v>0.16666666666666666</v>
      </c>
      <c r="AQ89" s="78">
        <f>8/AE89</f>
        <v>0.26666666666666666</v>
      </c>
      <c r="AR89" s="78">
        <f>11/AE89</f>
        <v>0.36666666666666664</v>
      </c>
      <c r="AS89" s="78">
        <f>5/AE89</f>
        <v>0.16666666666666666</v>
      </c>
      <c r="AT89" s="78">
        <f>1/AE89</f>
        <v>3.3333333333333333E-2</v>
      </c>
      <c r="AU89" s="57"/>
      <c r="AV89" s="76"/>
      <c r="AW89" s="78"/>
      <c r="AX89" s="57"/>
      <c r="AY89" s="53" t="s">
        <v>549</v>
      </c>
      <c r="AZ89" s="53" t="s">
        <v>120</v>
      </c>
      <c r="BA89" s="53"/>
      <c r="BB89" s="53"/>
      <c r="BC89" s="53"/>
      <c r="BD89" s="237"/>
      <c r="BE89" s="184">
        <v>43308</v>
      </c>
      <c r="BF89" s="110" t="s">
        <v>168</v>
      </c>
      <c r="BG89" s="110"/>
      <c r="BH89" s="97"/>
      <c r="BI89" s="204">
        <v>43287</v>
      </c>
      <c r="BJ89" s="99"/>
      <c r="BK89" s="755"/>
      <c r="BL89" s="204"/>
      <c r="BM89" s="99"/>
      <c r="BN89" s="690">
        <v>43385</v>
      </c>
      <c r="BO89" s="711">
        <f>DATE(YEAR(BN89),MONTH(BN89)+1,DAY(BN89))</f>
        <v>43416</v>
      </c>
      <c r="BP89" s="161">
        <f>DATE(YEAR(BO89),MONTH(BO89)+3,DAY(BO89))</f>
        <v>43508</v>
      </c>
      <c r="BQ89" s="161"/>
      <c r="BR89" s="299">
        <f>BO89</f>
        <v>43416</v>
      </c>
      <c r="BS89" s="298">
        <f>DATE(YEAR(BR89),MONTH(BR89)+24,DAY(BR89))</f>
        <v>44147</v>
      </c>
      <c r="BT89" s="298">
        <f>DATE(YEAR(BR89),MONTH(BR89)+36,DAY(BR89))</f>
        <v>44512</v>
      </c>
      <c r="BU89" s="672">
        <f>10272+64974</f>
        <v>75246</v>
      </c>
      <c r="BV89" s="298" t="str">
        <f>IF(FK89&gt;BT89,"oui","non")</f>
        <v>oui</v>
      </c>
      <c r="BW89" s="672" t="e">
        <f>DATEDIF(FK89,BT89,"M")</f>
        <v>#NUM!</v>
      </c>
      <c r="BX89" s="672" t="e">
        <f>BW89*FN89</f>
        <v>#NUM!</v>
      </c>
      <c r="BY89" s="672" t="e">
        <f>IF((BX89-BU89&gt;0),0,(BX89-BU89))</f>
        <v>#NUM!</v>
      </c>
      <c r="BZ89" s="824"/>
      <c r="CA89" s="832"/>
      <c r="CB89" s="826"/>
      <c r="CC89" s="826"/>
      <c r="CD89" s="826"/>
      <c r="CE89" s="826"/>
      <c r="CF89" s="819"/>
      <c r="CG89" s="819"/>
      <c r="CH89" s="819"/>
      <c r="CI89" s="819"/>
      <c r="CJ89" s="819"/>
      <c r="CK89" s="819"/>
      <c r="CL89" s="819"/>
      <c r="CM89" s="819"/>
      <c r="CN89" s="819"/>
      <c r="CO89" s="819"/>
      <c r="CP89" s="819"/>
      <c r="CQ89" s="819"/>
      <c r="CR89" s="819"/>
      <c r="CS89" s="159"/>
      <c r="CT89" s="250"/>
      <c r="CU89" s="250"/>
      <c r="CV89" s="158"/>
      <c r="CW89" s="250"/>
      <c r="CX89" s="250"/>
      <c r="CY89" s="250"/>
      <c r="CZ89" s="250" t="s">
        <v>168</v>
      </c>
      <c r="DA89" s="598"/>
      <c r="DB89" s="540">
        <v>43017</v>
      </c>
      <c r="DC89" s="541">
        <v>43032</v>
      </c>
      <c r="DD89" s="541">
        <v>43017</v>
      </c>
      <c r="DE89" s="545">
        <f>IF(AND(DC89&gt;0,DD89&gt;0),DD89-DC89,"0")</f>
        <v>-15</v>
      </c>
      <c r="DF89" s="543">
        <v>43140</v>
      </c>
      <c r="DG89" s="540">
        <v>43138</v>
      </c>
      <c r="DH89" s="545">
        <f>IF(AND(DF89&gt;0,DG89&gt;0),DG89-DF89,"0")</f>
        <v>-2</v>
      </c>
      <c r="DI89" s="543">
        <v>43125</v>
      </c>
      <c r="DJ89" s="540">
        <f ca="1">IF(DI89&lt;TODAY(),TODAY(),DI89)</f>
        <v>43423</v>
      </c>
      <c r="DK89" s="545">
        <f ca="1">IF(AND(DI89&gt;0,DJ89&gt;0),DJ89-DI89,"0")</f>
        <v>298</v>
      </c>
      <c r="DL89" s="543">
        <v>43200</v>
      </c>
      <c r="DM89" s="540">
        <f ca="1">IF(DL89&lt;TODAY(),TODAY(),DL89)</f>
        <v>43423</v>
      </c>
      <c r="DN89" s="545">
        <f ca="1">IF(AND(DL89&gt;0,DM89&gt;0),DM89-DL89,"0")</f>
        <v>223</v>
      </c>
      <c r="DO89" s="543">
        <v>43259</v>
      </c>
      <c r="DP89" s="543">
        <f ca="1">IF(DO89&lt;TODAY(),TODAY(),DO89)</f>
        <v>43423</v>
      </c>
      <c r="DQ89" s="545">
        <f ca="1">IF(AND(DO89&gt;0,DP89&gt;0),DP89-DO89,"0")</f>
        <v>164</v>
      </c>
      <c r="DR89" s="451"/>
      <c r="DS89" s="548"/>
      <c r="DT89" s="527">
        <v>43550</v>
      </c>
      <c r="DU89" s="533">
        <f ca="1">IF(DT89&lt;TODAY(),TODAY(),DT89)</f>
        <v>43550</v>
      </c>
      <c r="DV89" s="529">
        <f ca="1">IF(AND(DT89&gt;0,DU89&gt;0),DU89-DT89,"0")</f>
        <v>0</v>
      </c>
      <c r="DW89" s="527">
        <v>43565</v>
      </c>
      <c r="DX89" s="686">
        <v>43988</v>
      </c>
      <c r="DY89" s="344"/>
      <c r="DZ89" s="442">
        <f>(DATEDIF(BI89,DX89,"d"))/30</f>
        <v>23.366666666666667</v>
      </c>
      <c r="EA89" s="529">
        <f>IF(AND(DW89&gt;0,DX89&gt;0),DX89-DW89,"0")</f>
        <v>423</v>
      </c>
      <c r="EB89" s="687">
        <v>16</v>
      </c>
      <c r="EC89" s="241">
        <f>DATEDIF(DX89,FC89,"M")</f>
        <v>19</v>
      </c>
      <c r="ED89" s="527"/>
      <c r="EE89" s="533">
        <f ca="1">IF(ED89&lt;TODAY(),TODAY(),ED89)</f>
        <v>43423</v>
      </c>
      <c r="EF89" s="529" t="str">
        <f ca="1">IF(AND(ED89&gt;0,EE89&gt;0),EE89-ED89,"0")</f>
        <v>0</v>
      </c>
      <c r="EG89" s="527"/>
      <c r="EH89" s="551">
        <f ca="1">IF(EG89&lt;TODAY(),TODAY(),EG89)</f>
        <v>43423</v>
      </c>
      <c r="EI89" s="530" t="str">
        <f ca="1">IF(AND(EG89&gt;0,EH89&gt;0),EH89-EG89,"0")</f>
        <v>0</v>
      </c>
      <c r="EJ89" s="531"/>
      <c r="EK89" s="533">
        <f ca="1">IF(EJ89&lt;TODAY(),TODAY(),EJ89)</f>
        <v>43423</v>
      </c>
      <c r="EL89" s="529" t="str">
        <f ca="1">IF(AND(EJ89&gt;0,EK89&gt;0),EK89-EJ89,"0")</f>
        <v>0</v>
      </c>
      <c r="EM89" s="534"/>
      <c r="EN89" s="533">
        <f ca="1">IF(EM89&lt;TODAY(),TODAY(),EM89)</f>
        <v>43423</v>
      </c>
      <c r="EO89" s="529" t="str">
        <f ca="1">IF(AND(EM89&gt;0,EN89&gt;0),EN89-EM89,"0")</f>
        <v>0</v>
      </c>
      <c r="EP89" s="535"/>
      <c r="EQ89" s="533">
        <f ca="1">IF(EP89&lt;TODAY(),TODAY(),EP89)</f>
        <v>43423</v>
      </c>
      <c r="ER89" s="529" t="str">
        <f ca="1">IF(AND(EP89&gt;0,EQ89&gt;0),EQ89-EP89,"0")</f>
        <v>0</v>
      </c>
      <c r="ES89" s="535"/>
      <c r="ET89" s="533">
        <f ca="1">IF(ES89&lt;TODAY(),TODAY(),ES89)</f>
        <v>43423</v>
      </c>
      <c r="EU89" s="529" t="str">
        <f ca="1">IF(AND(ES89&gt;0,ET89&gt;0),ET89-ES89,"0")</f>
        <v>0</v>
      </c>
      <c r="EV89" s="535"/>
      <c r="EW89" s="533">
        <f ca="1">IF(EV89&lt;TODAY(),TODAY(),EV89)</f>
        <v>43423</v>
      </c>
      <c r="EX89" s="529" t="str">
        <f ca="1">IF(AND(EV89&gt;0,EW89&gt;0),EW89-EV89,"0")</f>
        <v>0</v>
      </c>
      <c r="EY89" s="535"/>
      <c r="EZ89" s="535"/>
      <c r="FA89" s="535"/>
      <c r="FB89" s="616">
        <f>DATE(YEAR(DX89),MONTH(DX89)+EB89,DAY(DX89))</f>
        <v>44475</v>
      </c>
      <c r="FC89" s="401">
        <f>DATE(YEAR(FB89),MONTH(FB89)+3,DAY(FB89))</f>
        <v>44567</v>
      </c>
      <c r="FD89" s="727">
        <f>(DATEDIF(FB89,FC89,"d"))/30</f>
        <v>3.0666666666666669</v>
      </c>
      <c r="FE89" s="573">
        <f>DATE(YEAR(CY89)+2,MONTH(CY89),DAY(CY89))</f>
        <v>731</v>
      </c>
      <c r="FF89" s="242"/>
      <c r="FG89" s="242"/>
      <c r="FH89" s="186">
        <f>DATE(YEAR(FC89),MONTH(FC89)+1,DAY(FC89))</f>
        <v>44598</v>
      </c>
      <c r="FI89" s="461"/>
      <c r="FJ89" s="571">
        <f>DATE(YEAR(FB89),MONTH(FB89)+1,DAY(FB89))</f>
        <v>44506</v>
      </c>
      <c r="FK89" s="450">
        <f>DATE(YEAR(FH89),MONTH(FH89)+1,DAY(FH89))</f>
        <v>44626</v>
      </c>
      <c r="FL89" s="574"/>
      <c r="FM89" s="724">
        <f>(DATEDIF(FJ89,FK89,"d"))/30</f>
        <v>4</v>
      </c>
      <c r="FN89" s="700">
        <v>12283</v>
      </c>
      <c r="FO89" s="246">
        <f>FN89*FM89</f>
        <v>49132</v>
      </c>
      <c r="FP89" s="117"/>
      <c r="FQ89" s="556">
        <v>0</v>
      </c>
      <c r="FR89" s="556">
        <v>0</v>
      </c>
      <c r="FS89" s="556"/>
      <c r="FT89" s="556"/>
      <c r="FU89" s="556"/>
      <c r="FV89" s="556"/>
      <c r="FW89" s="553"/>
      <c r="FX89" s="566"/>
      <c r="FY89" s="553" t="s">
        <v>714</v>
      </c>
      <c r="FZ89" s="553"/>
      <c r="GA89" s="121"/>
      <c r="GB89" s="121"/>
      <c r="GC89" s="121"/>
      <c r="GD89" s="121"/>
      <c r="GE89" s="121"/>
      <c r="GF89" s="53"/>
      <c r="GG89" s="280">
        <f>DATE(YEAR(FC89)+1,MONTH(FC89),DAY(FC89))</f>
        <v>44932</v>
      </c>
      <c r="GH89" s="280"/>
      <c r="GI89" s="53"/>
      <c r="GJ89" s="53"/>
      <c r="GK89" s="53"/>
      <c r="GL89" s="53"/>
      <c r="GM89" s="53"/>
      <c r="GN89" s="53"/>
      <c r="GO89" s="53"/>
      <c r="GP89" s="53"/>
      <c r="GQ89" s="53"/>
      <c r="GR89" s="53"/>
      <c r="GS89" s="53"/>
      <c r="GT89" s="53"/>
      <c r="GU89" s="53"/>
      <c r="GV89" s="112"/>
      <c r="GW89" s="112"/>
      <c r="GX89" s="93">
        <f>+HI89+HN89+HU89+IO89+HZ89</f>
        <v>4828352</v>
      </c>
      <c r="GY89" s="67">
        <f>HJ89+HO89+HV89+IO89+HW89+HZ89</f>
        <v>4970505</v>
      </c>
      <c r="GZ89" s="67">
        <f>GY89</f>
        <v>4970505</v>
      </c>
      <c r="HA89" s="94">
        <f>GY89-GX89</f>
        <v>142153</v>
      </c>
      <c r="HB89" s="49">
        <f>GY89/AL89</f>
        <v>2163.7326472777609</v>
      </c>
      <c r="HC89" s="49">
        <f>GY89/AE89</f>
        <v>165683.5</v>
      </c>
      <c r="HD89" s="93"/>
      <c r="HE89" s="67"/>
      <c r="HF89" s="94">
        <f>HE89-HD89</f>
        <v>0</v>
      </c>
      <c r="HG89" s="128">
        <f>HE89*1.021/GY89</f>
        <v>0</v>
      </c>
      <c r="HH89" s="129">
        <v>0.4</v>
      </c>
      <c r="HI89" s="93">
        <v>1465688</v>
      </c>
      <c r="HJ89" s="67">
        <v>1494928</v>
      </c>
      <c r="HK89" s="67"/>
      <c r="HL89" s="49">
        <f>HJ89/AE89</f>
        <v>49830.933333333334</v>
      </c>
      <c r="HM89" s="95"/>
      <c r="HN89" s="93">
        <v>2579514</v>
      </c>
      <c r="HO89" s="67">
        <f>HP89+HQ89</f>
        <v>2692427</v>
      </c>
      <c r="HP89" s="87">
        <v>427747</v>
      </c>
      <c r="HQ89" s="87">
        <v>2264680</v>
      </c>
      <c r="HR89" s="95">
        <f>HO89-HN89</f>
        <v>112913</v>
      </c>
      <c r="HS89" s="630">
        <f>HO89/AE89</f>
        <v>89747.566666666666</v>
      </c>
      <c r="HT89" s="67"/>
      <c r="HU89" s="287">
        <v>780000</v>
      </c>
      <c r="HV89" s="67">
        <v>780000</v>
      </c>
      <c r="HW89" s="67"/>
      <c r="HX89" s="88">
        <f>HV89/GY89</f>
        <v>0.15692570473221534</v>
      </c>
      <c r="HY89" s="93"/>
      <c r="HZ89" s="67">
        <v>3150</v>
      </c>
      <c r="IA89" s="89">
        <f>HV89-HU89</f>
        <v>0</v>
      </c>
      <c r="IB89" s="49">
        <f>HV89/AE89</f>
        <v>26000</v>
      </c>
      <c r="IC89" s="81">
        <f>(HJ89+HV89)/AE89</f>
        <v>75830.933333333334</v>
      </c>
      <c r="ID89" s="89">
        <f>IA89/AE89</f>
        <v>0</v>
      </c>
      <c r="IE89" s="90">
        <v>5.38</v>
      </c>
      <c r="IF89" s="90">
        <v>5.38</v>
      </c>
      <c r="IG89" s="91"/>
      <c r="IH89" s="91"/>
      <c r="II89" s="49">
        <f>(HI89+HU89+IH89)/AE89</f>
        <v>74856.266666666663</v>
      </c>
      <c r="IJ89" s="91"/>
      <c r="IK89" s="49">
        <f>(HJ89+HV89+IH89+IJ89)/AE89</f>
        <v>75830.933333333334</v>
      </c>
      <c r="IL89" s="50">
        <f>(HI89+HU89+IH89+IJ89)/(IG89+GX89-IM89)</f>
        <v>0.46510444971700488</v>
      </c>
      <c r="IM89" s="91"/>
      <c r="IN89" s="91"/>
      <c r="IO89" s="67">
        <f>FR89</f>
        <v>0</v>
      </c>
      <c r="IP89" s="96">
        <f>GX89+IG89</f>
        <v>4828352</v>
      </c>
      <c r="IQ89" s="231">
        <v>246341</v>
      </c>
      <c r="IR89" s="231">
        <f>IT89+IV89+IX89+IZ89+JB89+JD89+JF89+JH89+JJ89+JL89+JN89+JP89+JR89+JT89+JV89+JX89+JZ89</f>
        <v>73902</v>
      </c>
      <c r="IS89" s="113">
        <v>43073</v>
      </c>
      <c r="IT89" s="314">
        <v>22546</v>
      </c>
      <c r="IU89" s="436">
        <v>43080</v>
      </c>
      <c r="IV89" s="328">
        <v>13984</v>
      </c>
      <c r="IW89" s="239">
        <v>43185</v>
      </c>
      <c r="IX89" s="326">
        <v>13019</v>
      </c>
      <c r="IY89" s="239">
        <v>43145</v>
      </c>
      <c r="IZ89" s="326">
        <v>24353</v>
      </c>
      <c r="JA89" s="184"/>
      <c r="JB89" s="59"/>
      <c r="JC89" s="53"/>
      <c r="JD89" s="386"/>
      <c r="JE89" s="643"/>
      <c r="JF89" s="86"/>
      <c r="JG89" s="121"/>
      <c r="JH89" s="385"/>
      <c r="JI89" s="121"/>
      <c r="JJ89" s="385"/>
      <c r="JK89" s="53"/>
      <c r="JL89" s="53"/>
      <c r="JM89" s="53"/>
      <c r="JN89" s="53"/>
      <c r="JO89" s="53"/>
      <c r="JP89" s="53"/>
      <c r="JQ89" s="53"/>
      <c r="JR89" s="53"/>
      <c r="JS89" s="53"/>
      <c r="JT89" s="53"/>
      <c r="JU89" s="385"/>
      <c r="JV89" s="280"/>
      <c r="JW89" s="53"/>
      <c r="JX89" s="280"/>
      <c r="JY89" s="280"/>
      <c r="JZ89" s="53"/>
    </row>
    <row r="90" spans="1:286" ht="15" customHeight="1">
      <c r="A90" s="86" t="s">
        <v>642</v>
      </c>
      <c r="B90" s="86" t="s">
        <v>965</v>
      </c>
      <c r="C90" s="53" t="s">
        <v>39</v>
      </c>
      <c r="D90" s="53" t="s">
        <v>114</v>
      </c>
      <c r="E90" s="53">
        <v>2018</v>
      </c>
      <c r="F90" s="53" t="s">
        <v>582</v>
      </c>
      <c r="G90" s="53" t="s">
        <v>146</v>
      </c>
      <c r="H90" s="53" t="s">
        <v>610</v>
      </c>
      <c r="I90" s="55" t="s">
        <v>789</v>
      </c>
      <c r="J90" s="53"/>
      <c r="K90" s="53"/>
      <c r="L90" s="255" t="s">
        <v>646</v>
      </c>
      <c r="M90" s="166"/>
      <c r="N90" s="167"/>
      <c r="O90" s="168"/>
      <c r="P90" s="207">
        <v>2641</v>
      </c>
      <c r="Q90" s="207">
        <v>313500</v>
      </c>
      <c r="R90" s="207">
        <v>313500</v>
      </c>
      <c r="S90" s="207" t="e">
        <f>Q90/AJ90</f>
        <v>#DIV/0!</v>
      </c>
      <c r="T90" s="207">
        <f>Q90/P90</f>
        <v>118.70503597122303</v>
      </c>
      <c r="U90" s="213">
        <f>R90/P90</f>
        <v>118.70503597122303</v>
      </c>
      <c r="V90" s="213">
        <f>R90/AN90</f>
        <v>120.78178757045603</v>
      </c>
      <c r="W90" s="213">
        <f>R90/AE90</f>
        <v>9500</v>
      </c>
      <c r="X90" s="207">
        <f>P90/AE90</f>
        <v>80.030303030303031</v>
      </c>
      <c r="Y90" s="208"/>
      <c r="Z90" s="904">
        <f>10000*AE90/P90</f>
        <v>124.95266944339265</v>
      </c>
      <c r="AA90" s="208" t="s">
        <v>194</v>
      </c>
      <c r="AB90" s="208"/>
      <c r="AC90" s="209"/>
      <c r="AD90" s="53" t="s">
        <v>15</v>
      </c>
      <c r="AE90" s="771">
        <f>SUM(AG90:AJ90)</f>
        <v>33</v>
      </c>
      <c r="AF90" s="771">
        <f>AE90-AJ90</f>
        <v>33</v>
      </c>
      <c r="AG90" s="53">
        <v>33</v>
      </c>
      <c r="AH90" s="64"/>
      <c r="AI90" s="64"/>
      <c r="AJ90" s="125"/>
      <c r="AK90" s="269"/>
      <c r="AL90" s="57">
        <v>2595.59</v>
      </c>
      <c r="AM90" s="57"/>
      <c r="AN90" s="92">
        <v>2595.59</v>
      </c>
      <c r="AO90" s="57">
        <f>AN90/AE90</f>
        <v>78.654242424242426</v>
      </c>
      <c r="AP90" s="78">
        <f>7/AE90</f>
        <v>0.21212121212121213</v>
      </c>
      <c r="AQ90" s="78">
        <f>3/AE90</f>
        <v>9.0909090909090912E-2</v>
      </c>
      <c r="AR90" s="78">
        <f>12/AE90</f>
        <v>0.36363636363636365</v>
      </c>
      <c r="AS90" s="78">
        <f>10/AE90</f>
        <v>0.30303030303030304</v>
      </c>
      <c r="AT90" s="78">
        <f>1/AE90</f>
        <v>3.0303030303030304E-2</v>
      </c>
      <c r="AU90" s="57"/>
      <c r="AV90" s="76"/>
      <c r="AW90" s="78"/>
      <c r="AX90" s="57"/>
      <c r="AY90" s="53" t="s">
        <v>549</v>
      </c>
      <c r="AZ90" s="53" t="s">
        <v>120</v>
      </c>
      <c r="BA90" s="53"/>
      <c r="BB90" s="53"/>
      <c r="BC90" s="53"/>
      <c r="BD90" s="237"/>
      <c r="BE90" s="184">
        <v>43308</v>
      </c>
      <c r="BF90" s="110" t="s">
        <v>168</v>
      </c>
      <c r="BG90" s="110"/>
      <c r="BH90" s="97"/>
      <c r="BI90" s="204">
        <v>43334</v>
      </c>
      <c r="BJ90" s="99"/>
      <c r="BK90" s="99"/>
      <c r="BL90" s="204"/>
      <c r="BM90" s="99"/>
      <c r="BN90" s="161">
        <v>43634</v>
      </c>
      <c r="BO90" s="203">
        <f>DATE(YEAR(BN90),MONTH(BN90)+1,DAY(BN90))</f>
        <v>43664</v>
      </c>
      <c r="BP90" s="161">
        <f>DATE(YEAR(BO90),MONTH(BO90)+3,DAY(BO90))</f>
        <v>43756</v>
      </c>
      <c r="BQ90" s="161"/>
      <c r="BR90" s="299">
        <f>BO90</f>
        <v>43664</v>
      </c>
      <c r="BS90" s="298">
        <f>DATE(YEAR(BR90),MONTH(BR90)+24,DAY(BR90))</f>
        <v>44395</v>
      </c>
      <c r="BT90" s="298">
        <f>DATE(YEAR(BR90),MONTH(BR90)+36,DAY(BR90))</f>
        <v>44760</v>
      </c>
      <c r="BU90" s="672">
        <f>78672+10019</f>
        <v>88691</v>
      </c>
      <c r="BV90" s="298" t="str">
        <f>IF(FK90&gt;BT90,"oui","non")</f>
        <v>non</v>
      </c>
      <c r="BW90" s="672">
        <f>DATEDIF(FK90,BT90,"M")</f>
        <v>4</v>
      </c>
      <c r="BX90" s="672">
        <f>BW90*FN90</f>
        <v>69148</v>
      </c>
      <c r="BY90" s="672">
        <f>IF((BX90-BU90&gt;0),0,(BX90-BU90))</f>
        <v>-19543</v>
      </c>
      <c r="BZ90" s="824"/>
      <c r="CA90" s="832"/>
      <c r="CB90" s="826"/>
      <c r="CC90" s="826"/>
      <c r="CD90" s="826"/>
      <c r="CE90" s="826"/>
      <c r="CF90" s="819"/>
      <c r="CG90" s="819"/>
      <c r="CH90" s="819"/>
      <c r="CI90" s="819"/>
      <c r="CJ90" s="819"/>
      <c r="CK90" s="819"/>
      <c r="CL90" s="819"/>
      <c r="CM90" s="819"/>
      <c r="CN90" s="819"/>
      <c r="CO90" s="819"/>
      <c r="CP90" s="819"/>
      <c r="CQ90" s="819"/>
      <c r="CR90" s="819"/>
      <c r="CS90" s="159"/>
      <c r="CT90" s="250"/>
      <c r="CU90" s="250"/>
      <c r="CV90" s="158"/>
      <c r="CW90" s="250"/>
      <c r="CX90" s="250"/>
      <c r="CY90" s="250"/>
      <c r="CZ90" s="250" t="s">
        <v>168</v>
      </c>
      <c r="DA90" s="598"/>
      <c r="DB90" s="540">
        <v>43017</v>
      </c>
      <c r="DC90" s="543">
        <v>43032</v>
      </c>
      <c r="DD90" s="543">
        <v>43039</v>
      </c>
      <c r="DE90" s="545">
        <f>IF(AND(DC90&gt;0,DD90&gt;0),DD90-DC90,"0")</f>
        <v>7</v>
      </c>
      <c r="DF90" s="543">
        <v>43140</v>
      </c>
      <c r="DG90" s="543">
        <v>43139</v>
      </c>
      <c r="DH90" s="545">
        <f>IF(AND(DF90&gt;0,DG90&gt;0),DG90-DF90,"0")</f>
        <v>-1</v>
      </c>
      <c r="DI90" s="543">
        <v>43130</v>
      </c>
      <c r="DJ90" s="543">
        <f ca="1">IF(DI90&lt;TODAY(),TODAY(),DI90)</f>
        <v>43423</v>
      </c>
      <c r="DK90" s="545">
        <f ca="1">IF(AND(DI90&gt;0,DJ90&gt;0),DJ90-DI90,"0")</f>
        <v>293</v>
      </c>
      <c r="DL90" s="543">
        <v>43201</v>
      </c>
      <c r="DM90" s="543">
        <f ca="1">IF(DL90&lt;TODAY(),TODAY(),DL90)</f>
        <v>43423</v>
      </c>
      <c r="DN90" s="545">
        <f ca="1">IF(AND(DL90&gt;0,DM90&gt;0),DM90-DL90,"0")</f>
        <v>222</v>
      </c>
      <c r="DO90" s="543">
        <v>43259</v>
      </c>
      <c r="DP90" s="543">
        <f ca="1">IF(DO90&lt;TODAY(),TODAY(),DO90)</f>
        <v>43423</v>
      </c>
      <c r="DQ90" s="545">
        <f ca="1">IF(AND(DO90&gt;0,DP90&gt;0),DP90-DO90,"0")</f>
        <v>164</v>
      </c>
      <c r="DR90" s="451"/>
      <c r="DS90" s="548"/>
      <c r="DT90" s="527">
        <v>43551</v>
      </c>
      <c r="DU90" s="533">
        <f ca="1">IF(DT90&lt;TODAY(),TODAY(),DT90)</f>
        <v>43551</v>
      </c>
      <c r="DV90" s="529">
        <f ca="1">IF(AND(DT90&gt;0,DU90&gt;0),DU90-DT90,"0")</f>
        <v>0</v>
      </c>
      <c r="DW90" s="527">
        <v>43566</v>
      </c>
      <c r="DX90" s="686">
        <v>44120</v>
      </c>
      <c r="DY90" s="344"/>
      <c r="DZ90" s="442">
        <f>(DATEDIF(BI90,DX90,"d"))/30</f>
        <v>26.2</v>
      </c>
      <c r="EA90" s="529">
        <f>IF(AND(DW90&gt;0,DX90&gt;0),DX90-DW90,"0")</f>
        <v>554</v>
      </c>
      <c r="EB90" s="687">
        <v>16</v>
      </c>
      <c r="EC90" s="241">
        <f>DATEDIF(DX90,FC90,"M")</f>
        <v>17</v>
      </c>
      <c r="ED90" s="527"/>
      <c r="EE90" s="533">
        <f ca="1">IF(ED90&lt;TODAY(),TODAY(),ED90)</f>
        <v>43423</v>
      </c>
      <c r="EF90" s="529" t="str">
        <f ca="1">IF(AND(ED90&gt;0,EE90&gt;0),EE90-ED90,"0")</f>
        <v>0</v>
      </c>
      <c r="EG90" s="527"/>
      <c r="EH90" s="551">
        <f ca="1">IF(EG90&lt;TODAY(),TODAY(),EG90)</f>
        <v>43423</v>
      </c>
      <c r="EI90" s="530" t="str">
        <f ca="1">IF(AND(EG90&gt;0,EH90&gt;0),EH90-EG90,"0")</f>
        <v>0</v>
      </c>
      <c r="EJ90" s="531"/>
      <c r="EK90" s="533">
        <f ca="1">IF(EJ90&lt;TODAY(),TODAY(),EJ90)</f>
        <v>43423</v>
      </c>
      <c r="EL90" s="529" t="str">
        <f ca="1">IF(AND(EJ90&gt;0,EK90&gt;0),EK90-EJ90,"0")</f>
        <v>0</v>
      </c>
      <c r="EM90" s="533"/>
      <c r="EN90" s="533">
        <f ca="1">IF(EM90&lt;TODAY(),TODAY(),EM90)</f>
        <v>43423</v>
      </c>
      <c r="EO90" s="529" t="str">
        <f ca="1">IF(AND(EM90&gt;0,EN90&gt;0),EN90-EM90,"0")</f>
        <v>0</v>
      </c>
      <c r="EP90" s="533"/>
      <c r="EQ90" s="533">
        <f ca="1">IF(EP90&lt;TODAY(),TODAY(),EP90)</f>
        <v>43423</v>
      </c>
      <c r="ER90" s="529" t="str">
        <f ca="1">IF(AND(EP90&gt;0,EQ90&gt;0),EQ90-EP90,"0")</f>
        <v>0</v>
      </c>
      <c r="ES90" s="533"/>
      <c r="ET90" s="533">
        <f ca="1">IF(ES90&lt;TODAY(),TODAY(),ES90)</f>
        <v>43423</v>
      </c>
      <c r="EU90" s="529" t="str">
        <f ca="1">IF(AND(ES90&gt;0,ET90&gt;0),ET90-ES90,"0")</f>
        <v>0</v>
      </c>
      <c r="EV90" s="533"/>
      <c r="EW90" s="533">
        <f ca="1">IF(EV90&lt;TODAY(),TODAY(),EV90)</f>
        <v>43423</v>
      </c>
      <c r="EX90" s="529" t="str">
        <f ca="1">IF(AND(EV90&gt;0,EW90&gt;0),EW90-EV90,"0")</f>
        <v>0</v>
      </c>
      <c r="EY90" s="533"/>
      <c r="EZ90" s="533"/>
      <c r="FA90" s="533"/>
      <c r="FB90" s="731">
        <f>DATE(YEAR(DX90),MONTH(DX90)+EB90,DAY(DX90))</f>
        <v>44608</v>
      </c>
      <c r="FC90" s="730">
        <f>DATE(YEAR(FB90),MONTH(FB90)+1,DAY(FB90))</f>
        <v>44636</v>
      </c>
      <c r="FD90" s="727">
        <f>(DATEDIF(FB90,FC90,"d"))/30</f>
        <v>0.93333333333333335</v>
      </c>
      <c r="FE90" s="573">
        <f>DATE(YEAR(CY90)+2,MONTH(CY90),DAY(CY90))</f>
        <v>731</v>
      </c>
      <c r="FF90" s="242"/>
      <c r="FG90" s="242"/>
      <c r="FH90" s="186">
        <f>DATE(YEAR(FC90),MONTH(FC90),DAY(FC90))</f>
        <v>44636</v>
      </c>
      <c r="FI90" s="461"/>
      <c r="FJ90" s="571">
        <f>DATE(YEAR(FB90),MONTH(FB90)+1,DAY(FB90))</f>
        <v>44636</v>
      </c>
      <c r="FK90" s="730">
        <f>DATE(YEAR(FH90),MONTH(FH90),DAY(FH90))</f>
        <v>44636</v>
      </c>
      <c r="FL90" s="574"/>
      <c r="FM90" s="724">
        <f>(DATEDIF(FJ90,FK90,"d"))/30</f>
        <v>0</v>
      </c>
      <c r="FN90" s="700">
        <v>17287</v>
      </c>
      <c r="FO90" s="246">
        <f>FN90*FM90</f>
        <v>0</v>
      </c>
      <c r="FP90" s="117"/>
      <c r="FQ90" s="556">
        <v>0</v>
      </c>
      <c r="FR90" s="556">
        <v>0</v>
      </c>
      <c r="FS90" s="556"/>
      <c r="FT90" s="556"/>
      <c r="FU90" s="556"/>
      <c r="FV90" s="556"/>
      <c r="FW90" s="553"/>
      <c r="FX90" s="566"/>
      <c r="FY90" s="553" t="s">
        <v>717</v>
      </c>
      <c r="FZ90" s="553"/>
      <c r="GA90" s="121"/>
      <c r="GB90" s="121"/>
      <c r="GC90" s="121"/>
      <c r="GD90" s="121"/>
      <c r="GE90" s="121"/>
      <c r="GF90" s="53"/>
      <c r="GG90" s="280">
        <f>DATE(YEAR(FC90)+1,MONTH(FC90),DAY(FC90))</f>
        <v>45001</v>
      </c>
      <c r="GH90" s="280"/>
      <c r="GI90" s="53"/>
      <c r="GJ90" s="53"/>
      <c r="GK90" s="53"/>
      <c r="GL90" s="53"/>
      <c r="GM90" s="53"/>
      <c r="GN90" s="53"/>
      <c r="GO90" s="53"/>
      <c r="GP90" s="53"/>
      <c r="GQ90" s="53"/>
      <c r="GR90" s="53"/>
      <c r="GS90" s="53"/>
      <c r="GT90" s="53"/>
      <c r="GU90" s="53"/>
      <c r="GV90" s="112"/>
      <c r="GW90" s="112"/>
      <c r="GX90" s="93">
        <f>+HI90+HN90+HU90+IO90+HZ90</f>
        <v>5455396</v>
      </c>
      <c r="GY90" s="67">
        <f>HJ90+HO90+HV90+IO90+HW90+HZ90</f>
        <v>5567908</v>
      </c>
      <c r="GZ90" s="67">
        <f>GY90</f>
        <v>5567908</v>
      </c>
      <c r="HA90" s="94">
        <f>GY90-GX90</f>
        <v>112512</v>
      </c>
      <c r="HB90" s="49">
        <f>GY90/AL90</f>
        <v>2145.1415670425604</v>
      </c>
      <c r="HC90" s="49">
        <f>GY90/AE90</f>
        <v>168724.48484848486</v>
      </c>
      <c r="HD90" s="93"/>
      <c r="HE90" s="67"/>
      <c r="HF90" s="94">
        <f>HE90-HD90</f>
        <v>0</v>
      </c>
      <c r="HG90" s="128">
        <f>HE90*1.021/GY90</f>
        <v>0</v>
      </c>
      <c r="HH90" s="129">
        <v>0.4</v>
      </c>
      <c r="HI90" s="93">
        <v>1728972</v>
      </c>
      <c r="HJ90" s="67">
        <v>1771481</v>
      </c>
      <c r="HK90" s="67"/>
      <c r="HL90" s="49">
        <f>HJ90/AE90</f>
        <v>53681.242424242424</v>
      </c>
      <c r="HM90" s="95"/>
      <c r="HN90" s="93">
        <v>3079214</v>
      </c>
      <c r="HO90" s="67">
        <f>HP90+HQ90</f>
        <v>3149217</v>
      </c>
      <c r="HP90" s="87">
        <v>424625</v>
      </c>
      <c r="HQ90" s="87">
        <v>2724592</v>
      </c>
      <c r="HR90" s="95">
        <f>HO90-HN90</f>
        <v>70003</v>
      </c>
      <c r="HS90" s="630">
        <f>HO90/AE90</f>
        <v>95430.818181818177</v>
      </c>
      <c r="HT90" s="67"/>
      <c r="HU90" s="287">
        <v>643500</v>
      </c>
      <c r="HV90" s="67">
        <v>643500</v>
      </c>
      <c r="HW90" s="67"/>
      <c r="HX90" s="88">
        <f>HV90/GY90</f>
        <v>0.11557303030150642</v>
      </c>
      <c r="HY90" s="93"/>
      <c r="HZ90" s="67">
        <v>3710</v>
      </c>
      <c r="IA90" s="89">
        <f>HV90-HU90</f>
        <v>0</v>
      </c>
      <c r="IB90" s="49">
        <f>HV90/AE90</f>
        <v>19500</v>
      </c>
      <c r="IC90" s="81">
        <f>(HJ90+HV90)/AE90</f>
        <v>73181.242424242431</v>
      </c>
      <c r="ID90" s="89" t="e">
        <f>IA90/AJ90</f>
        <v>#DIV/0!</v>
      </c>
      <c r="IE90" s="90">
        <v>6.66</v>
      </c>
      <c r="IF90" s="90">
        <v>5.84</v>
      </c>
      <c r="IG90" s="91"/>
      <c r="IH90" s="91"/>
      <c r="II90" s="49" t="e">
        <f>(HI90+HU90+IH90)/AJ90</f>
        <v>#DIV/0!</v>
      </c>
      <c r="IJ90" s="91"/>
      <c r="IK90" s="49" t="e">
        <f>(HJ90+HV90+IH90+IJ90)/AJ90</f>
        <v>#DIV/0!</v>
      </c>
      <c r="IL90" s="50">
        <f>(HI90+HU90+IH90+IJ90)/(IG90+GX90-IM90)</f>
        <v>0.43488538687200712</v>
      </c>
      <c r="IM90" s="91"/>
      <c r="IN90" s="91"/>
      <c r="IO90" s="67">
        <f>FR90</f>
        <v>0</v>
      </c>
      <c r="IP90" s="96">
        <f>GX90+IG90</f>
        <v>5455396</v>
      </c>
      <c r="IQ90" s="277">
        <v>263611</v>
      </c>
      <c r="IR90" s="277">
        <f>IT90+IV90+IX90+IZ90+JB90+JD90+JF90+JH90+JJ90+JL90+JN90+JP90+JR90+JT90+JV90+JX90+JZ90</f>
        <v>65903</v>
      </c>
      <c r="IS90" s="113">
        <v>43073</v>
      </c>
      <c r="IT90" s="314">
        <v>23541</v>
      </c>
      <c r="IU90" s="437">
        <v>43080</v>
      </c>
      <c r="IV90" s="314">
        <f>14076+1925</f>
        <v>16001</v>
      </c>
      <c r="IW90" s="288"/>
      <c r="IX90" s="459"/>
      <c r="IY90" s="288">
        <v>43145</v>
      </c>
      <c r="IZ90" s="274">
        <v>26361</v>
      </c>
      <c r="JA90" s="288"/>
      <c r="JB90" s="460"/>
      <c r="JC90" s="279"/>
      <c r="JD90" s="284"/>
      <c r="JE90" s="437"/>
      <c r="JF90" s="313"/>
      <c r="JG90" s="276"/>
      <c r="JH90" s="281"/>
      <c r="JI90" s="276"/>
      <c r="JJ90" s="281"/>
      <c r="JK90" s="300"/>
      <c r="JL90" s="300"/>
      <c r="JM90" s="300"/>
      <c r="JN90" s="300"/>
      <c r="JO90" s="269"/>
      <c r="JP90" s="269"/>
      <c r="JQ90" s="269"/>
      <c r="JR90" s="269"/>
      <c r="JS90" s="269"/>
      <c r="JT90" s="269"/>
      <c r="JU90" s="314">
        <f>25078+1283</f>
        <v>26361</v>
      </c>
      <c r="JV90" s="117"/>
      <c r="JW90" s="279"/>
      <c r="JX90" s="117"/>
      <c r="JY90" s="117"/>
      <c r="JZ90" s="279"/>
    </row>
    <row r="91" spans="1:286" ht="15" customHeight="1">
      <c r="A91" s="86" t="s">
        <v>949</v>
      </c>
      <c r="B91" s="86"/>
      <c r="C91" s="53" t="s">
        <v>428</v>
      </c>
      <c r="D91" s="53" t="s">
        <v>113</v>
      </c>
      <c r="E91" s="53">
        <v>2019</v>
      </c>
      <c r="F91" s="53"/>
      <c r="G91" s="767"/>
      <c r="H91" s="53" t="s">
        <v>643</v>
      </c>
      <c r="I91" s="55" t="s">
        <v>789</v>
      </c>
      <c r="J91" s="53"/>
      <c r="K91" s="53" t="s">
        <v>960</v>
      </c>
      <c r="L91" s="255"/>
      <c r="M91" s="166" t="s">
        <v>961</v>
      </c>
      <c r="N91" s="167"/>
      <c r="O91" s="168"/>
      <c r="P91" s="207">
        <v>6860</v>
      </c>
      <c r="Q91" s="207">
        <v>1500000</v>
      </c>
      <c r="R91" s="207">
        <v>1500000</v>
      </c>
      <c r="S91" s="207">
        <f>Q91/AE91</f>
        <v>25000</v>
      </c>
      <c r="T91" s="207">
        <f>Q91/P91</f>
        <v>218.65889212827989</v>
      </c>
      <c r="U91" s="213">
        <f>R91/P91</f>
        <v>218.65889212827989</v>
      </c>
      <c r="V91" s="213">
        <f>R91/AN91</f>
        <v>281.6367224244791</v>
      </c>
      <c r="W91" s="213">
        <f>R91/AE91</f>
        <v>25000</v>
      </c>
      <c r="X91" s="207">
        <f>P91/AE91</f>
        <v>114.33333333333333</v>
      </c>
      <c r="Y91" s="208"/>
      <c r="Z91" s="907">
        <f>10000*AE91/P91</f>
        <v>87.463556851311949</v>
      </c>
      <c r="AA91" s="208"/>
      <c r="AB91" s="208"/>
      <c r="AC91" s="209"/>
      <c r="AD91" s="53" t="s">
        <v>425</v>
      </c>
      <c r="AE91" s="771">
        <f>SUM(AG91:AJ91)</f>
        <v>60</v>
      </c>
      <c r="AF91" s="771">
        <f>AE91-AJ91</f>
        <v>60</v>
      </c>
      <c r="AG91" s="64"/>
      <c r="AH91" s="64"/>
      <c r="AI91" s="53">
        <v>60</v>
      </c>
      <c r="AJ91" s="53"/>
      <c r="AK91" s="269">
        <v>4547.8599999999997</v>
      </c>
      <c r="AL91" s="57">
        <v>5326.01</v>
      </c>
      <c r="AM91" s="57">
        <v>5326.01</v>
      </c>
      <c r="AN91" s="92">
        <v>5326.01</v>
      </c>
      <c r="AO91" s="57">
        <f>AN91/AE91</f>
        <v>88.766833333333338</v>
      </c>
      <c r="AP91" s="78"/>
      <c r="AQ91" s="78"/>
      <c r="AR91" s="78"/>
      <c r="AS91" s="78"/>
      <c r="AT91" s="78"/>
      <c r="AU91" s="57"/>
      <c r="AV91" s="76"/>
      <c r="AW91" s="78"/>
      <c r="AX91" s="57"/>
      <c r="AY91" s="53" t="s">
        <v>549</v>
      </c>
      <c r="AZ91" s="53" t="s">
        <v>120</v>
      </c>
      <c r="BA91" s="802">
        <v>10893131</v>
      </c>
      <c r="BB91" s="803">
        <f>BA91/AN91</f>
        <v>2045.2704745203257</v>
      </c>
      <c r="BC91" s="113">
        <v>43277</v>
      </c>
      <c r="BD91" s="237">
        <v>43208</v>
      </c>
      <c r="BE91" s="184"/>
      <c r="BF91" s="110" t="s">
        <v>168</v>
      </c>
      <c r="BG91" s="110" t="s">
        <v>168</v>
      </c>
      <c r="BH91" s="97"/>
      <c r="BI91" s="204"/>
      <c r="BJ91" s="99"/>
      <c r="BK91" s="99"/>
      <c r="BL91" s="204"/>
      <c r="BM91" s="99"/>
      <c r="BN91" s="161"/>
      <c r="BO91" s="203"/>
      <c r="BP91" s="161"/>
      <c r="BQ91" s="161"/>
      <c r="BR91" s="299">
        <f>BO91</f>
        <v>0</v>
      </c>
      <c r="BS91" s="298">
        <f>DATE(YEAR(BR91),MONTH(BR91)+24,DAY(BR91))</f>
        <v>731</v>
      </c>
      <c r="BT91" s="298">
        <f>DATE(YEAR(BR91),MONTH(BR91)+36,DAY(BR91))</f>
        <v>1096</v>
      </c>
      <c r="BU91" s="298"/>
      <c r="BV91" s="298" t="str">
        <f>IF(FK91&gt;BS91,"oui","non")</f>
        <v>oui</v>
      </c>
      <c r="BW91" s="672" t="e">
        <f>DATEDIF(FK91,BT91,"M")</f>
        <v>#NUM!</v>
      </c>
      <c r="BX91" s="672" t="e">
        <f>BW91*FN91</f>
        <v>#NUM!</v>
      </c>
      <c r="BY91" s="672" t="e">
        <f>IF((BX91-BU91&gt;0),0,(BX91-BU91))</f>
        <v>#NUM!</v>
      </c>
      <c r="BZ91" s="824"/>
      <c r="CA91" s="832"/>
      <c r="CB91" s="826"/>
      <c r="CC91" s="826"/>
      <c r="CD91" s="826"/>
      <c r="CE91" s="826"/>
      <c r="CF91" s="819"/>
      <c r="CG91" s="819"/>
      <c r="CH91" s="819"/>
      <c r="CI91" s="819"/>
      <c r="CJ91" s="819"/>
      <c r="CK91" s="819"/>
      <c r="CL91" s="819"/>
      <c r="CM91" s="819"/>
      <c r="CN91" s="819"/>
      <c r="CO91" s="819"/>
      <c r="CP91" s="819"/>
      <c r="CQ91" s="819"/>
      <c r="CR91" s="819"/>
      <c r="CS91" s="159"/>
      <c r="CT91" s="250"/>
      <c r="CU91" s="250"/>
      <c r="CV91" s="158"/>
      <c r="CW91" s="250"/>
      <c r="CX91" s="250"/>
      <c r="CY91" s="250"/>
      <c r="CZ91" s="250"/>
      <c r="DA91" s="597" t="e">
        <f>DATEDIF(FK91,CZ91,"M")</f>
        <v>#NUM!</v>
      </c>
      <c r="DB91" s="540"/>
      <c r="DC91" s="543"/>
      <c r="DD91" s="543"/>
      <c r="DE91" s="545" t="str">
        <f>IF(AND(DC91&gt;0,DD91&gt;0),DD91-DC91,"0")</f>
        <v>0</v>
      </c>
      <c r="DF91" s="543"/>
      <c r="DG91" s="543"/>
      <c r="DH91" s="545" t="str">
        <f>IF(AND(DF91&gt;0,DG91&gt;0),DG91-DF91,"0")</f>
        <v>0</v>
      </c>
      <c r="DI91" s="543"/>
      <c r="DJ91" s="543"/>
      <c r="DK91" s="545" t="str">
        <f>IF(AND(DI91&gt;0,DJ91&gt;0),DJ91-DI91,"0")</f>
        <v>0</v>
      </c>
      <c r="DL91" s="543"/>
      <c r="DM91" s="543"/>
      <c r="DN91" s="545" t="str">
        <f>IF(AND(DL91&gt;0,DM91&gt;0),DM91-DL91,"0")</f>
        <v>0</v>
      </c>
      <c r="DO91" s="546"/>
      <c r="DP91" s="547"/>
      <c r="DQ91" s="545" t="str">
        <f>IF(AND(DO91&gt;0,DP91&gt;0),DP91-DO91,"0")</f>
        <v>0</v>
      </c>
      <c r="DR91" s="451"/>
      <c r="DS91" s="548"/>
      <c r="DT91" s="527"/>
      <c r="DU91" s="528"/>
      <c r="DV91" s="529" t="str">
        <f>IF(AND(DT91&gt;0,DU91&gt;0),DU91-DT91,"0")</f>
        <v>0</v>
      </c>
      <c r="DW91" s="527"/>
      <c r="DX91" s="686">
        <v>43850</v>
      </c>
      <c r="DY91" s="344"/>
      <c r="DZ91" s="442">
        <f>(DATEDIF(BI91,DX91,"d"))/30</f>
        <v>1461.6666666666667</v>
      </c>
      <c r="EA91" s="529" t="str">
        <f>IF(AND(DW91&gt;0,DX91&gt;0),DX91-DW91,"0")</f>
        <v>0</v>
      </c>
      <c r="EB91" s="687">
        <v>20</v>
      </c>
      <c r="EC91" s="241">
        <f>DATEDIF(DX91,FC91,"M")</f>
        <v>23</v>
      </c>
      <c r="ED91" s="527"/>
      <c r="EE91" s="533">
        <f ca="1">IF(ED91&lt;TODAY(),TODAY(),ED91)</f>
        <v>43423</v>
      </c>
      <c r="EF91" s="529" t="str">
        <f ca="1">IF(AND(ED91&gt;0,EE91&gt;0),EE91-ED91,"0")</f>
        <v>0</v>
      </c>
      <c r="EG91" s="527"/>
      <c r="EH91" s="551">
        <f ca="1">IF(EG91&lt;TODAY(),TODAY(),EG91)</f>
        <v>43423</v>
      </c>
      <c r="EI91" s="530" t="str">
        <f ca="1">IF(AND(EG91&gt;0,EH91&gt;0),EH91-EG91,"0")</f>
        <v>0</v>
      </c>
      <c r="EJ91" s="531"/>
      <c r="EK91" s="532"/>
      <c r="EL91" s="529" t="str">
        <f>IF(AND(EJ91&gt;0,EK91&gt;0),EK91-EJ91,"0")</f>
        <v>0</v>
      </c>
      <c r="EM91" s="527"/>
      <c r="EN91" s="533">
        <f ca="1">IF(EM91&lt;TODAY(),TODAY(),EM91)</f>
        <v>43423</v>
      </c>
      <c r="EO91" s="529" t="str">
        <f ca="1">IF(AND(EM91&gt;0,EN91&gt;0),EN91-EM91,"0")</f>
        <v>0</v>
      </c>
      <c r="EP91" s="533"/>
      <c r="EQ91" s="533">
        <f ca="1">IF(EP91&lt;TODAY(),TODAY(),EP91)</f>
        <v>43423</v>
      </c>
      <c r="ER91" s="529" t="str">
        <f ca="1">IF(AND(EP91&gt;0,EQ91&gt;0),EQ91-EP91,"0")</f>
        <v>0</v>
      </c>
      <c r="ES91" s="533"/>
      <c r="ET91" s="533">
        <f ca="1">IF(ES91&lt;TODAY(),TODAY(),ES91)</f>
        <v>43423</v>
      </c>
      <c r="EU91" s="529" t="str">
        <f ca="1">IF(AND(ES91&gt;0,ET91&gt;0),ET91-ES91,"0")</f>
        <v>0</v>
      </c>
      <c r="EV91" s="533"/>
      <c r="EW91" s="533">
        <f ca="1">IF(EV91&lt;TODAY(),TODAY(),EV91)</f>
        <v>43423</v>
      </c>
      <c r="EX91" s="529" t="str">
        <f ca="1">IF(AND(EV91&gt;0,EW91&gt;0),EW91-EV91,"0")</f>
        <v>0</v>
      </c>
      <c r="EY91" s="533"/>
      <c r="EZ91" s="533"/>
      <c r="FA91" s="533"/>
      <c r="FB91" s="731">
        <f>DATE(YEAR(DX91),MONTH(DX91)+EB91,DAY(DX91))</f>
        <v>44459</v>
      </c>
      <c r="FC91" s="730">
        <f>DATE(YEAR(FB91),MONTH(FB91)+3,DAY(FB91))</f>
        <v>44550</v>
      </c>
      <c r="FD91" s="727">
        <f>(DATEDIF(FB91,FC91,"d"))/30</f>
        <v>3.0333333333333332</v>
      </c>
      <c r="FE91" s="573">
        <f>DATE(YEAR(CY91)+2,MONTH(CY91),DAY(CY91))</f>
        <v>731</v>
      </c>
      <c r="FF91" s="242"/>
      <c r="FG91" s="242"/>
      <c r="FH91" s="186">
        <f>DATE(YEAR(FC91),MONTH(FC91)+1,DAY(FC91))</f>
        <v>44581</v>
      </c>
      <c r="FI91" s="461"/>
      <c r="FJ91" s="571">
        <f>DATE(YEAR(FB91),MONTH(FB91)+1,DAY(FB91))</f>
        <v>44489</v>
      </c>
      <c r="FK91" s="730">
        <f>FH91</f>
        <v>44581</v>
      </c>
      <c r="FL91" s="574"/>
      <c r="FM91" s="724">
        <f>(DATEDIF(FJ91,FK91,"d"))/30</f>
        <v>3.0666666666666669</v>
      </c>
      <c r="FN91" s="700"/>
      <c r="FO91" s="246">
        <f>FN91*FM91</f>
        <v>0</v>
      </c>
      <c r="FP91" s="117"/>
      <c r="FQ91" s="556"/>
      <c r="FR91" s="556">
        <v>0</v>
      </c>
      <c r="FS91" s="556"/>
      <c r="FT91" s="556"/>
      <c r="FU91" s="556"/>
      <c r="FV91" s="749" t="e">
        <f>FU91/GY91</f>
        <v>#DIV/0!</v>
      </c>
      <c r="FW91" s="553"/>
      <c r="FX91" s="566"/>
      <c r="FY91" s="553"/>
      <c r="FZ91" s="553"/>
      <c r="GA91" s="121"/>
      <c r="GB91" s="121"/>
      <c r="GC91" s="121"/>
      <c r="GD91" s="121"/>
      <c r="GE91" s="121"/>
      <c r="GF91" s="53"/>
      <c r="GG91" s="280">
        <f>DATE(YEAR(FC91)+1,MONTH(FC91),DAY(FC91))</f>
        <v>44915</v>
      </c>
      <c r="GH91" s="280"/>
      <c r="GI91" s="53"/>
      <c r="GJ91" s="53"/>
      <c r="GK91" s="53"/>
      <c r="GL91" s="53"/>
      <c r="GM91" s="53"/>
      <c r="GN91" s="53"/>
      <c r="GO91" s="53"/>
      <c r="GP91" s="53"/>
      <c r="GQ91" s="53"/>
      <c r="GR91" s="53"/>
      <c r="GS91" s="53"/>
      <c r="GT91" s="53"/>
      <c r="GU91" s="53"/>
      <c r="GV91" s="112"/>
      <c r="GW91" s="112"/>
      <c r="GX91" s="93"/>
      <c r="GY91" s="67">
        <f>HJ91+HO91+HV91+IO91+HW91+HZ91</f>
        <v>0</v>
      </c>
      <c r="GZ91" s="67">
        <f>GY91</f>
        <v>0</v>
      </c>
      <c r="HA91" s="94"/>
      <c r="HB91" s="49"/>
      <c r="HC91" s="49"/>
      <c r="HD91" s="93"/>
      <c r="HE91" s="67"/>
      <c r="HF91" s="94"/>
      <c r="HG91" s="128"/>
      <c r="HH91" s="129"/>
      <c r="HI91" s="93"/>
      <c r="HJ91" s="67"/>
      <c r="HK91" s="67"/>
      <c r="HL91" s="49">
        <f>HJ91/AE91</f>
        <v>0</v>
      </c>
      <c r="HM91" s="95"/>
      <c r="HN91" s="93"/>
      <c r="HO91" s="67"/>
      <c r="HP91" s="87"/>
      <c r="HQ91" s="87"/>
      <c r="HR91" s="95"/>
      <c r="HS91" s="630">
        <f>HO91/AE91</f>
        <v>0</v>
      </c>
      <c r="HT91" s="67"/>
      <c r="HU91" s="287"/>
      <c r="HV91" s="67"/>
      <c r="HW91" s="67"/>
      <c r="HX91" s="88" t="e">
        <f>HV91/GY91</f>
        <v>#DIV/0!</v>
      </c>
      <c r="HY91" s="93"/>
      <c r="HZ91" s="67"/>
      <c r="IA91" s="89"/>
      <c r="IB91" s="49">
        <f>HV91/AE91</f>
        <v>0</v>
      </c>
      <c r="IC91" s="81">
        <f>(HJ91+HV91)/AE91</f>
        <v>0</v>
      </c>
      <c r="ID91" s="89"/>
      <c r="IE91" s="90"/>
      <c r="IF91" s="90"/>
      <c r="IG91" s="91"/>
      <c r="IH91" s="91"/>
      <c r="II91" s="49"/>
      <c r="IJ91" s="91"/>
      <c r="IK91" s="49"/>
      <c r="IL91" s="50"/>
      <c r="IM91" s="91"/>
      <c r="IN91" s="91"/>
      <c r="IO91" s="67">
        <f>FR91</f>
        <v>0</v>
      </c>
      <c r="IP91" s="96"/>
      <c r="IQ91" s="231"/>
      <c r="IR91" s="231">
        <f>IT91+IV91+IX91+IZ91+JB91+JD91+JF91+JH91+JJ91+JL91+JN91+JP91+JR91+JT91+JV91+JX91+JZ91</f>
        <v>0</v>
      </c>
      <c r="IS91" s="113"/>
      <c r="IT91" s="314"/>
      <c r="IU91" s="314"/>
      <c r="IV91" s="239"/>
      <c r="IW91" s="239"/>
      <c r="IX91" s="330"/>
      <c r="IY91" s="236"/>
      <c r="IZ91" s="331"/>
      <c r="JA91" s="236"/>
      <c r="JB91" s="331"/>
      <c r="JC91" s="291"/>
      <c r="JD91" s="332"/>
      <c r="JE91" s="328"/>
      <c r="JF91" s="328"/>
      <c r="JG91" s="194"/>
      <c r="JH91" s="330"/>
      <c r="JI91" s="194"/>
      <c r="JJ91" s="330"/>
      <c r="JK91" s="291"/>
      <c r="JL91" s="291"/>
      <c r="JM91" s="291"/>
      <c r="JN91" s="291"/>
      <c r="JO91" s="269"/>
      <c r="JP91" s="269"/>
      <c r="JQ91" s="269"/>
      <c r="JR91" s="269"/>
      <c r="JS91" s="269"/>
      <c r="JT91" s="269"/>
      <c r="JU91" s="330"/>
      <c r="JV91" s="329"/>
      <c r="JW91" s="291"/>
      <c r="JX91" s="329"/>
      <c r="JY91" s="329"/>
      <c r="JZ91" s="291"/>
    </row>
    <row r="92" spans="1:286" ht="15" customHeight="1">
      <c r="A92" s="294" t="s">
        <v>452</v>
      </c>
      <c r="B92" s="294"/>
      <c r="C92" s="53" t="s">
        <v>45</v>
      </c>
      <c r="D92" s="53" t="s">
        <v>112</v>
      </c>
      <c r="E92" s="53">
        <v>2020</v>
      </c>
      <c r="F92" s="53"/>
      <c r="G92" s="53" t="s">
        <v>433</v>
      </c>
      <c r="H92" s="53" t="s">
        <v>180</v>
      </c>
      <c r="I92" s="53" t="s">
        <v>404</v>
      </c>
      <c r="J92" s="53"/>
      <c r="K92" s="53" t="s">
        <v>461</v>
      </c>
      <c r="L92" s="255" t="s">
        <v>474</v>
      </c>
      <c r="M92" s="166" t="s">
        <v>45</v>
      </c>
      <c r="N92" s="167" t="s">
        <v>475</v>
      </c>
      <c r="O92" s="168">
        <v>39798</v>
      </c>
      <c r="P92" s="231"/>
      <c r="Q92" s="231"/>
      <c r="R92" s="231"/>
      <c r="S92" s="231"/>
      <c r="T92" s="231"/>
      <c r="U92" s="604"/>
      <c r="V92" s="604"/>
      <c r="W92" s="604"/>
      <c r="X92" s="231"/>
      <c r="Y92" s="208"/>
      <c r="Z92" s="907" t="e">
        <f t="shared" si="282"/>
        <v>#DIV/0!</v>
      </c>
      <c r="AA92" s="208"/>
      <c r="AB92" s="208"/>
      <c r="AC92" s="209"/>
      <c r="AD92" s="53" t="s">
        <v>432</v>
      </c>
      <c r="AE92" s="772">
        <f t="shared" ref="AE90:AE99" si="339">SUM(AG92:AJ92)</f>
        <v>16</v>
      </c>
      <c r="AF92" s="772">
        <f t="shared" ref="AF82:AF127" si="340">AE92-AJ92</f>
        <v>0</v>
      </c>
      <c r="AG92" s="64"/>
      <c r="AH92" s="114"/>
      <c r="AI92" s="114"/>
      <c r="AJ92" s="53">
        <v>16</v>
      </c>
      <c r="AK92" s="269"/>
      <c r="AL92" s="57"/>
      <c r="AM92" s="57"/>
      <c r="AN92" s="92"/>
      <c r="AO92" s="57"/>
      <c r="AP92" s="78"/>
      <c r="AQ92" s="78"/>
      <c r="AR92" s="78"/>
      <c r="AS92" s="78"/>
      <c r="AT92" s="78"/>
      <c r="AU92" s="57"/>
      <c r="AV92" s="76"/>
      <c r="AW92" s="78"/>
      <c r="AX92" s="57"/>
      <c r="AY92" s="53"/>
      <c r="AZ92" s="53"/>
      <c r="BA92" s="53"/>
      <c r="BB92" s="53"/>
      <c r="BC92" s="53"/>
      <c r="BD92" s="53"/>
      <c r="BE92" s="53"/>
      <c r="BF92" s="110"/>
      <c r="BG92" s="110"/>
      <c r="BH92" s="97"/>
      <c r="BI92" s="204"/>
      <c r="BJ92" s="99"/>
      <c r="BK92" s="99"/>
      <c r="BL92" s="204"/>
      <c r="BM92" s="99"/>
      <c r="BN92" s="690">
        <v>43311</v>
      </c>
      <c r="BO92" s="711">
        <v>43249</v>
      </c>
      <c r="BP92" s="690">
        <f>DATE(YEAR(BO92),MONTH(BO92)+3,DAY(BO92))</f>
        <v>43341</v>
      </c>
      <c r="BQ92" s="161"/>
      <c r="BR92" s="299">
        <f t="shared" ref="BR89:BR100" si="341">BO92</f>
        <v>43249</v>
      </c>
      <c r="BS92" s="298">
        <f t="shared" ref="BS89:BS100" si="342">DATE(YEAR(BR92),MONTH(BR92)+24,DAY(BR92))</f>
        <v>43980</v>
      </c>
      <c r="BT92" s="298">
        <f t="shared" ref="BT89:BT100" si="343">DATE(YEAR(BR92),MONTH(BR92)+36,DAY(BR92))</f>
        <v>44345</v>
      </c>
      <c r="BU92" s="298"/>
      <c r="BV92" s="298" t="str">
        <f t="shared" ref="BV91:BV100" si="344">IF(FK92&gt;BS92,"oui","non")</f>
        <v>oui</v>
      </c>
      <c r="BW92" s="672" t="e">
        <f t="shared" ref="BW89:BW100" si="345">DATEDIF(FK92,BT92,"M")</f>
        <v>#NUM!</v>
      </c>
      <c r="BX92" s="672" t="e">
        <f t="shared" ref="BX89:BX100" si="346">BW92*FN92</f>
        <v>#NUM!</v>
      </c>
      <c r="BY92" s="672" t="e">
        <f t="shared" ref="BY89:BY100" si="347">IF((BX92-BU92&gt;0),0,(BX92-BU92))</f>
        <v>#NUM!</v>
      </c>
      <c r="BZ92" s="824"/>
      <c r="CA92" s="832"/>
      <c r="CB92" s="826"/>
      <c r="CC92" s="826"/>
      <c r="CD92" s="826"/>
      <c r="CE92" s="826"/>
      <c r="CF92" s="819"/>
      <c r="CG92" s="819"/>
      <c r="CH92" s="819"/>
      <c r="CI92" s="819"/>
      <c r="CJ92" s="819"/>
      <c r="CK92" s="819"/>
      <c r="CL92" s="819"/>
      <c r="CM92" s="819"/>
      <c r="CN92" s="819"/>
      <c r="CO92" s="819"/>
      <c r="CP92" s="819"/>
      <c r="CQ92" s="819"/>
      <c r="CR92" s="819"/>
      <c r="CS92" s="159"/>
      <c r="CT92" s="250"/>
      <c r="CU92" s="250"/>
      <c r="CV92" s="158"/>
      <c r="CW92" s="250"/>
      <c r="CX92" s="250"/>
      <c r="CY92" s="250"/>
      <c r="CZ92" s="405"/>
      <c r="DA92" s="405"/>
      <c r="DB92" s="540"/>
      <c r="DC92" s="541"/>
      <c r="DD92" s="541"/>
      <c r="DE92" s="542"/>
      <c r="DF92" s="543"/>
      <c r="DG92" s="543"/>
      <c r="DH92" s="545" t="str">
        <f t="shared" ref="DH89:DH98" si="348">IF(AND(DF92&gt;0,DG92&gt;0),DG92-DF92,"0")</f>
        <v>0</v>
      </c>
      <c r="DI92" s="546"/>
      <c r="DJ92" s="540"/>
      <c r="DK92" s="545" t="str">
        <f t="shared" ref="DK89:DK98" si="349">IF(AND(DI92&gt;0,DJ92&gt;0),DJ92-DI92,"0")</f>
        <v>0</v>
      </c>
      <c r="DL92" s="546"/>
      <c r="DM92" s="540"/>
      <c r="DN92" s="545" t="str">
        <f t="shared" ref="DN89:DN98" si="350">IF(AND(DL92&gt;0,DM92&gt;0),DM92-DL92,"0")</f>
        <v>0</v>
      </c>
      <c r="DO92" s="546"/>
      <c r="DP92" s="547"/>
      <c r="DQ92" s="545" t="str">
        <f t="shared" ref="DQ89:DQ98" si="351">IF(AND(DO92&gt;0,DP92&gt;0),DP92-DO92,"0")</f>
        <v>0</v>
      </c>
      <c r="DR92" s="451"/>
      <c r="DS92" s="540"/>
      <c r="DT92" s="527"/>
      <c r="DU92" s="528"/>
      <c r="DV92" s="529" t="str">
        <f t="shared" ref="DV89:DV98" si="352">IF(AND(DT92&gt;0,DU92&gt;0),DU92-DT92,"0")</f>
        <v>0</v>
      </c>
      <c r="DW92" s="527"/>
      <c r="DX92" s="686">
        <v>44378</v>
      </c>
      <c r="DY92" s="344"/>
      <c r="DZ92" s="442">
        <f t="shared" ref="DZ89:DZ98" si="353">(DATEDIF(BI92,DX92,"d"))/30</f>
        <v>1479.2666666666667</v>
      </c>
      <c r="EA92" s="529" t="str">
        <f t="shared" ref="EA89:EA100" si="354">IF(AND(DW92&gt;0,DX92&gt;0),DX92-DW92,"0")</f>
        <v>0</v>
      </c>
      <c r="EB92" s="687">
        <v>16</v>
      </c>
      <c r="EC92" s="241">
        <f t="shared" ref="EC89:EC100" si="355">DATEDIF(DX92,FC92,"M")</f>
        <v>17</v>
      </c>
      <c r="ED92" s="527"/>
      <c r="EE92" s="533">
        <f t="shared" ref="EE89:EE100" ca="1" si="356">IF(ED92&lt;TODAY(),TODAY(),ED92)</f>
        <v>43423</v>
      </c>
      <c r="EF92" s="529" t="str">
        <f t="shared" ref="EF89:EF100" ca="1" si="357">IF(AND(ED92&gt;0,EE92&gt;0),EE92-ED92,"0")</f>
        <v>0</v>
      </c>
      <c r="EG92" s="527"/>
      <c r="EH92" s="551"/>
      <c r="EI92" s="530" t="str">
        <f t="shared" ref="EI89:EI98" si="358">IF(AND(EG92&gt;0,EH92&gt;0),EH92-EG92,"0")</f>
        <v>0</v>
      </c>
      <c r="EJ92" s="531"/>
      <c r="EK92" s="532"/>
      <c r="EL92" s="529" t="str">
        <f t="shared" ref="EL89:EL100" si="359">IF(AND(EJ92&gt;0,EK92&gt;0),EK92-EJ92,"0")</f>
        <v>0</v>
      </c>
      <c r="EM92" s="528"/>
      <c r="EN92" s="533"/>
      <c r="EO92" s="529" t="str">
        <f t="shared" ref="EO89:EO100" si="360">IF(AND(EM92&gt;0,EN92&gt;0),EN92-EM92,"0")</f>
        <v>0</v>
      </c>
      <c r="EP92" s="535"/>
      <c r="EQ92" s="535"/>
      <c r="ER92" s="529" t="str">
        <f t="shared" ref="ER89:ER100" si="361">IF(AND(EP92&gt;0,EQ92&gt;0),EQ92-EP92,"0")</f>
        <v>0</v>
      </c>
      <c r="ES92" s="535"/>
      <c r="ET92" s="535"/>
      <c r="EU92" s="529" t="str">
        <f t="shared" ref="EU89:EU100" si="362">IF(AND(ES92&gt;0,ET92&gt;0),ET92-ES92,"0")</f>
        <v>0</v>
      </c>
      <c r="EV92" s="535"/>
      <c r="EW92" s="533">
        <f t="shared" ref="EW89:EW100" ca="1" si="363">IF(EV92&lt;TODAY(),TODAY(),EV92)</f>
        <v>43423</v>
      </c>
      <c r="EX92" s="529" t="str">
        <f t="shared" ref="EX89:EX100" ca="1" si="364">IF(AND(EV92&gt;0,EW92&gt;0),EW92-EV92,"0")</f>
        <v>0</v>
      </c>
      <c r="EY92" s="535"/>
      <c r="EZ92" s="535"/>
      <c r="FA92" s="535"/>
      <c r="FB92" s="731">
        <f t="shared" ref="FB82:FB116" si="365">DATE(YEAR(DX92),MONTH(DX92)+EB92,DAY(DX92))</f>
        <v>44866</v>
      </c>
      <c r="FC92" s="730">
        <f t="shared" ref="FC92:FC98" si="366">DATE(YEAR(DX92),MONTH(DX92)+EB92+1,DAY(DX92))</f>
        <v>44896</v>
      </c>
      <c r="FD92" s="727">
        <f t="shared" si="291"/>
        <v>1</v>
      </c>
      <c r="FE92" s="461"/>
      <c r="FF92" s="186"/>
      <c r="FG92" s="242"/>
      <c r="FH92" s="186">
        <f t="shared" ref="FH91:FH98" si="367">DATE(YEAR(FC92),MONTH(FC92)+1,DAY(FC92))</f>
        <v>44927</v>
      </c>
      <c r="FI92" s="461"/>
      <c r="FJ92" s="753">
        <f t="shared" ref="FJ82:FJ116" si="368">DATE(YEAR(FB92),MONTH(FB92)+1,DAY(FB92))</f>
        <v>44896</v>
      </c>
      <c r="FK92" s="730">
        <f t="shared" ref="FK91:FK101" si="369">DATE(YEAR(FH92),MONTH(FH92)+1,DAY(FH92))</f>
        <v>44958</v>
      </c>
      <c r="FL92" s="410"/>
      <c r="FM92" s="725">
        <f t="shared" si="267"/>
        <v>2.0666666666666669</v>
      </c>
      <c r="FN92" s="700"/>
      <c r="FO92" s="246">
        <f t="shared" si="292"/>
        <v>0</v>
      </c>
      <c r="FP92" s="117"/>
      <c r="FQ92" s="556"/>
      <c r="FR92" s="556">
        <v>0</v>
      </c>
      <c r="FS92" s="556"/>
      <c r="FT92" s="556"/>
      <c r="FU92" s="556"/>
      <c r="FV92" s="556"/>
      <c r="FW92" s="553"/>
      <c r="FX92" s="566"/>
      <c r="FY92" s="553"/>
      <c r="FZ92" s="553"/>
      <c r="GA92" s="121"/>
      <c r="GB92" s="121"/>
      <c r="GC92" s="121"/>
      <c r="GD92" s="121"/>
      <c r="GE92" s="121"/>
      <c r="GF92" s="53"/>
      <c r="GG92" s="280">
        <f t="shared" ref="GG89:GG100" si="370">DATE(YEAR(FC92)+1,MONTH(FC92),DAY(FC92))</f>
        <v>45261</v>
      </c>
      <c r="GH92" s="280"/>
      <c r="GI92" s="53"/>
      <c r="GJ92" s="53"/>
      <c r="GK92" s="53"/>
      <c r="GL92" s="53"/>
      <c r="GM92" s="53"/>
      <c r="GN92" s="53"/>
      <c r="GO92" s="53"/>
      <c r="GP92" s="53"/>
      <c r="GQ92" s="53"/>
      <c r="GR92" s="53"/>
      <c r="GS92" s="53"/>
      <c r="GT92" s="53"/>
      <c r="GU92" s="53"/>
      <c r="GV92" s="112"/>
      <c r="GW92" s="112"/>
      <c r="GX92" s="387">
        <f t="shared" ref="GX89:GX98" si="371">+HI92+HN92+HU92+IO92+HZ92</f>
        <v>5522950</v>
      </c>
      <c r="GY92" s="387"/>
      <c r="GZ92" s="387"/>
      <c r="HA92" s="387">
        <f t="shared" ref="HA89:HA98" si="372">GY92-GX92</f>
        <v>-5522950</v>
      </c>
      <c r="HB92" s="387" t="e">
        <f t="shared" ref="HB89:HB98" si="373">GY92/AL92</f>
        <v>#DIV/0!</v>
      </c>
      <c r="HC92" s="387">
        <f t="shared" ref="HC89:HC98" si="374">GY92/AE92</f>
        <v>0</v>
      </c>
      <c r="HD92" s="387"/>
      <c r="HE92" s="387"/>
      <c r="HF92" s="387">
        <f t="shared" ref="HF89:HF98" si="375">HE92-HD92</f>
        <v>0</v>
      </c>
      <c r="HG92" s="107" t="e">
        <f t="shared" ref="HG89:HG98" si="376">HE92*1.021/GY92</f>
        <v>#DIV/0!</v>
      </c>
      <c r="HH92" s="107">
        <v>0.4</v>
      </c>
      <c r="HI92" s="387">
        <v>1883035</v>
      </c>
      <c r="HJ92" s="387"/>
      <c r="HK92" s="387"/>
      <c r="HL92" s="387">
        <f t="shared" ref="HL92:HL98" si="377">HI92/AE92</f>
        <v>117689.6875</v>
      </c>
      <c r="HM92" s="387"/>
      <c r="HN92" s="387">
        <v>3389915</v>
      </c>
      <c r="HO92" s="387"/>
      <c r="HP92" s="387"/>
      <c r="HQ92" s="387"/>
      <c r="HR92" s="387">
        <f t="shared" ref="HR89:HR98" si="378">HO92-HN92</f>
        <v>-3389915</v>
      </c>
      <c r="HS92" s="683">
        <f t="shared" ref="HS89:HS98" si="379">HO92/AE92</f>
        <v>0</v>
      </c>
      <c r="HT92" s="387"/>
      <c r="HU92" s="387">
        <v>250000</v>
      </c>
      <c r="HV92" s="387"/>
      <c r="HW92" s="387"/>
      <c r="HX92" s="393" t="e">
        <f t="shared" ref="HX89:HX98" si="380">HV92/GY92</f>
        <v>#DIV/0!</v>
      </c>
      <c r="HY92" s="393"/>
      <c r="HZ92" s="387"/>
      <c r="IA92" s="387">
        <f t="shared" ref="IA89:IA98" si="381">HV92-HU92</f>
        <v>-250000</v>
      </c>
      <c r="IB92" s="387">
        <f t="shared" ref="IB89:IB98" si="382">HV92/AE92</f>
        <v>0</v>
      </c>
      <c r="IC92" s="390">
        <f t="shared" ref="IC89:IC98" si="383">(HJ92+HV92)/AE92</f>
        <v>0</v>
      </c>
      <c r="ID92" s="387">
        <f t="shared" ref="ID91:ID98" si="384">IA92/AE92</f>
        <v>-15625</v>
      </c>
      <c r="IE92" s="391">
        <v>6.31</v>
      </c>
      <c r="IF92" s="391"/>
      <c r="IG92" s="387"/>
      <c r="IH92" s="387"/>
      <c r="II92" s="387">
        <f t="shared" ref="II91:II98" si="385">(HI92+HU92+IH92)/AE92</f>
        <v>133314.6875</v>
      </c>
      <c r="IJ92" s="387"/>
      <c r="IK92" s="387">
        <f t="shared" ref="IK91:IK98" si="386">(HJ92+HV92+IH92+IJ92)/AE92</f>
        <v>0</v>
      </c>
      <c r="IL92" s="107">
        <f t="shared" ref="IL89:IL98" si="387">(HI92+HU92+IH92+IJ92)/(IG92+GX92-IM92)</f>
        <v>0.38621298400311427</v>
      </c>
      <c r="IM92" s="387"/>
      <c r="IN92" s="387"/>
      <c r="IO92" s="387">
        <f t="shared" ref="IO89:IO100" si="388">FR92</f>
        <v>0</v>
      </c>
      <c r="IP92" s="394">
        <f t="shared" ref="IP89:IP98" si="389">GX92+IG92</f>
        <v>5522950</v>
      </c>
      <c r="IQ92" s="277"/>
      <c r="IR92" s="277">
        <f t="shared" ref="IR89:IR98" si="390">IT92+IV92+IX92+IZ92+JB92+JD92+JF92+JH92+JJ92+JL92+JN92+JP92+JR92+JT92+JV92+JX92+JZ92</f>
        <v>0</v>
      </c>
      <c r="IS92" s="278"/>
      <c r="IT92" s="281">
        <v>0</v>
      </c>
      <c r="IU92" s="281"/>
      <c r="IV92" s="253"/>
      <c r="IW92" s="253"/>
      <c r="IX92" s="385">
        <v>0</v>
      </c>
      <c r="IY92" s="261"/>
      <c r="IZ92" s="274">
        <v>0</v>
      </c>
      <c r="JA92" s="261"/>
      <c r="JB92" s="460"/>
      <c r="JC92" s="279"/>
      <c r="JD92" s="284"/>
      <c r="JE92" s="282"/>
      <c r="JF92" s="282"/>
      <c r="JG92" s="276"/>
      <c r="JH92" s="277"/>
      <c r="JI92" s="276"/>
      <c r="JJ92" s="277"/>
      <c r="JK92" s="300"/>
      <c r="JL92" s="300"/>
      <c r="JM92" s="300"/>
      <c r="JN92" s="300"/>
      <c r="JO92" s="269"/>
      <c r="JP92" s="269"/>
      <c r="JQ92" s="269"/>
      <c r="JR92" s="269"/>
      <c r="JS92" s="269"/>
      <c r="JT92" s="269"/>
      <c r="JU92" s="281" t="e">
        <f t="shared" ref="JU92:JU98" si="391">$JU$1*IQ92</f>
        <v>#VALUE!</v>
      </c>
      <c r="JV92" s="117"/>
      <c r="JW92" s="279"/>
      <c r="JX92" s="117"/>
      <c r="JY92" s="117"/>
      <c r="JZ92" s="279"/>
    </row>
    <row r="93" spans="1:286" ht="15" customHeight="1">
      <c r="A93" s="294" t="s">
        <v>451</v>
      </c>
      <c r="B93" s="294"/>
      <c r="C93" s="53" t="s">
        <v>35</v>
      </c>
      <c r="D93" s="53" t="s">
        <v>112</v>
      </c>
      <c r="E93" s="53">
        <v>2020</v>
      </c>
      <c r="F93" s="53"/>
      <c r="G93" s="53" t="s">
        <v>433</v>
      </c>
      <c r="H93" s="53" t="s">
        <v>180</v>
      </c>
      <c r="I93" s="53" t="s">
        <v>404</v>
      </c>
      <c r="J93" s="53"/>
      <c r="K93" s="53" t="s">
        <v>477</v>
      </c>
      <c r="L93" s="255" t="s">
        <v>464</v>
      </c>
      <c r="M93" s="166" t="s">
        <v>60</v>
      </c>
      <c r="N93" s="167" t="s">
        <v>476</v>
      </c>
      <c r="O93" s="168">
        <v>35571</v>
      </c>
      <c r="P93" s="231"/>
      <c r="Q93" s="231"/>
      <c r="R93" s="231"/>
      <c r="S93" s="231"/>
      <c r="T93" s="231"/>
      <c r="U93" s="604"/>
      <c r="V93" s="604"/>
      <c r="W93" s="604"/>
      <c r="X93" s="231"/>
      <c r="Y93" s="208"/>
      <c r="Z93" s="907" t="e">
        <f t="shared" si="282"/>
        <v>#DIV/0!</v>
      </c>
      <c r="AA93" s="208"/>
      <c r="AB93" s="208"/>
      <c r="AC93" s="209"/>
      <c r="AD93" s="53" t="s">
        <v>432</v>
      </c>
      <c r="AE93" s="772">
        <f t="shared" si="339"/>
        <v>38</v>
      </c>
      <c r="AF93" s="772">
        <f t="shared" si="340"/>
        <v>0</v>
      </c>
      <c r="AG93" s="64"/>
      <c r="AH93" s="114"/>
      <c r="AI93" s="114"/>
      <c r="AJ93" s="193">
        <v>38</v>
      </c>
      <c r="AK93" s="269"/>
      <c r="AL93" s="57"/>
      <c r="AM93" s="57"/>
      <c r="AN93" s="92"/>
      <c r="AO93" s="57"/>
      <c r="AP93" s="78"/>
      <c r="AQ93" s="78"/>
      <c r="AR93" s="78"/>
      <c r="AS93" s="78"/>
      <c r="AT93" s="78"/>
      <c r="AU93" s="57"/>
      <c r="AV93" s="76"/>
      <c r="AW93" s="78"/>
      <c r="AX93" s="57"/>
      <c r="AY93" s="53"/>
      <c r="AZ93" s="53"/>
      <c r="BA93" s="53"/>
      <c r="BB93" s="53"/>
      <c r="BC93" s="53"/>
      <c r="BD93" s="53"/>
      <c r="BE93" s="53"/>
      <c r="BF93" s="110"/>
      <c r="BG93" s="110"/>
      <c r="BH93" s="97"/>
      <c r="BI93" s="204"/>
      <c r="BJ93" s="99"/>
      <c r="BK93" s="99"/>
      <c r="BL93" s="204"/>
      <c r="BM93" s="99"/>
      <c r="BN93" s="161"/>
      <c r="BO93" s="203"/>
      <c r="BP93" s="161"/>
      <c r="BQ93" s="161"/>
      <c r="BR93" s="299">
        <f t="shared" si="341"/>
        <v>0</v>
      </c>
      <c r="BS93" s="298">
        <f t="shared" si="342"/>
        <v>731</v>
      </c>
      <c r="BT93" s="298">
        <f t="shared" si="343"/>
        <v>1096</v>
      </c>
      <c r="BU93" s="298"/>
      <c r="BV93" s="298" t="str">
        <f t="shared" si="344"/>
        <v>oui</v>
      </c>
      <c r="BW93" s="672" t="e">
        <f t="shared" si="345"/>
        <v>#NUM!</v>
      </c>
      <c r="BX93" s="672" t="e">
        <f t="shared" si="346"/>
        <v>#NUM!</v>
      </c>
      <c r="BY93" s="672" t="e">
        <f t="shared" si="347"/>
        <v>#NUM!</v>
      </c>
      <c r="BZ93" s="824"/>
      <c r="CA93" s="832"/>
      <c r="CB93" s="826"/>
      <c r="CC93" s="826"/>
      <c r="CD93" s="826"/>
      <c r="CE93" s="826"/>
      <c r="CF93" s="819"/>
      <c r="CG93" s="819"/>
      <c r="CH93" s="819"/>
      <c r="CI93" s="819"/>
      <c r="CJ93" s="819"/>
      <c r="CK93" s="819"/>
      <c r="CL93" s="819"/>
      <c r="CM93" s="819"/>
      <c r="CN93" s="819"/>
      <c r="CO93" s="819"/>
      <c r="CP93" s="819"/>
      <c r="CQ93" s="819"/>
      <c r="CR93" s="819"/>
      <c r="CS93" s="159"/>
      <c r="CT93" s="250"/>
      <c r="CU93" s="250"/>
      <c r="CV93" s="158"/>
      <c r="CW93" s="250"/>
      <c r="CX93" s="250"/>
      <c r="CY93" s="250"/>
      <c r="CZ93" s="405"/>
      <c r="DA93" s="405"/>
      <c r="DB93" s="540"/>
      <c r="DC93" s="541"/>
      <c r="DD93" s="541"/>
      <c r="DE93" s="545" t="str">
        <f t="shared" ref="DE93:DE98" si="392">IF(AND(DC93&gt;0,DD93&gt;0),DD93-DC93,"0")</f>
        <v>0</v>
      </c>
      <c r="DF93" s="543"/>
      <c r="DG93" s="543"/>
      <c r="DH93" s="545" t="str">
        <f t="shared" si="348"/>
        <v>0</v>
      </c>
      <c r="DI93" s="546"/>
      <c r="DJ93" s="540"/>
      <c r="DK93" s="545" t="str">
        <f t="shared" si="349"/>
        <v>0</v>
      </c>
      <c r="DL93" s="546"/>
      <c r="DM93" s="540"/>
      <c r="DN93" s="545" t="str">
        <f t="shared" si="350"/>
        <v>0</v>
      </c>
      <c r="DO93" s="546"/>
      <c r="DP93" s="547"/>
      <c r="DQ93" s="545" t="str">
        <f t="shared" si="351"/>
        <v>0</v>
      </c>
      <c r="DR93" s="451"/>
      <c r="DS93" s="548"/>
      <c r="DT93" s="527"/>
      <c r="DU93" s="528"/>
      <c r="DV93" s="529" t="str">
        <f t="shared" si="352"/>
        <v>0</v>
      </c>
      <c r="DW93" s="527"/>
      <c r="DX93" s="686">
        <v>44378</v>
      </c>
      <c r="DY93" s="344"/>
      <c r="DZ93" s="442">
        <f t="shared" si="353"/>
        <v>1479.2666666666667</v>
      </c>
      <c r="EA93" s="529" t="str">
        <f t="shared" si="354"/>
        <v>0</v>
      </c>
      <c r="EB93" s="687">
        <v>16</v>
      </c>
      <c r="EC93" s="241">
        <f t="shared" si="355"/>
        <v>17</v>
      </c>
      <c r="ED93" s="527"/>
      <c r="EE93" s="533">
        <f t="shared" ca="1" si="356"/>
        <v>43423</v>
      </c>
      <c r="EF93" s="529" t="str">
        <f t="shared" ca="1" si="357"/>
        <v>0</v>
      </c>
      <c r="EG93" s="527"/>
      <c r="EH93" s="551"/>
      <c r="EI93" s="530" t="str">
        <f t="shared" si="358"/>
        <v>0</v>
      </c>
      <c r="EJ93" s="531"/>
      <c r="EK93" s="532"/>
      <c r="EL93" s="529" t="str">
        <f t="shared" si="359"/>
        <v>0</v>
      </c>
      <c r="EM93" s="528"/>
      <c r="EN93" s="533"/>
      <c r="EO93" s="529" t="str">
        <f t="shared" si="360"/>
        <v>0</v>
      </c>
      <c r="EP93" s="535"/>
      <c r="EQ93" s="535"/>
      <c r="ER93" s="529" t="str">
        <f t="shared" si="361"/>
        <v>0</v>
      </c>
      <c r="ES93" s="535"/>
      <c r="ET93" s="535"/>
      <c r="EU93" s="529" t="str">
        <f t="shared" si="362"/>
        <v>0</v>
      </c>
      <c r="EV93" s="535"/>
      <c r="EW93" s="533">
        <f t="shared" ca="1" si="363"/>
        <v>43423</v>
      </c>
      <c r="EX93" s="529" t="str">
        <f t="shared" ca="1" si="364"/>
        <v>0</v>
      </c>
      <c r="EY93" s="535"/>
      <c r="EZ93" s="535"/>
      <c r="FA93" s="535"/>
      <c r="FB93" s="731">
        <f t="shared" si="365"/>
        <v>44866</v>
      </c>
      <c r="FC93" s="730">
        <f t="shared" si="366"/>
        <v>44896</v>
      </c>
      <c r="FD93" s="727">
        <f t="shared" si="291"/>
        <v>1</v>
      </c>
      <c r="FE93" s="461"/>
      <c r="FF93" s="186"/>
      <c r="FG93" s="242"/>
      <c r="FH93" s="186">
        <f t="shared" si="367"/>
        <v>44927</v>
      </c>
      <c r="FI93" s="461"/>
      <c r="FJ93" s="753">
        <f t="shared" si="368"/>
        <v>44896</v>
      </c>
      <c r="FK93" s="730">
        <f t="shared" si="369"/>
        <v>44958</v>
      </c>
      <c r="FL93" s="410"/>
      <c r="FM93" s="725">
        <f t="shared" ref="FM93:FM116" si="393">(DATEDIF(FJ93,FK93,"d"))/30</f>
        <v>2.0666666666666669</v>
      </c>
      <c r="FN93" s="700"/>
      <c r="FO93" s="246">
        <f t="shared" si="292"/>
        <v>0</v>
      </c>
      <c r="FP93" s="117"/>
      <c r="FQ93" s="556"/>
      <c r="FR93" s="556">
        <v>0</v>
      </c>
      <c r="FS93" s="556"/>
      <c r="FT93" s="556"/>
      <c r="FU93" s="556"/>
      <c r="FV93" s="556"/>
      <c r="FW93" s="553"/>
      <c r="FX93" s="566"/>
      <c r="FY93" s="553"/>
      <c r="FZ93" s="553"/>
      <c r="GA93" s="121"/>
      <c r="GB93" s="121"/>
      <c r="GC93" s="121"/>
      <c r="GD93" s="121"/>
      <c r="GE93" s="121"/>
      <c r="GF93" s="53"/>
      <c r="GG93" s="280">
        <f t="shared" si="370"/>
        <v>45261</v>
      </c>
      <c r="GH93" s="280"/>
      <c r="GI93" s="53"/>
      <c r="GJ93" s="53"/>
      <c r="GK93" s="53"/>
      <c r="GL93" s="53"/>
      <c r="GM93" s="53"/>
      <c r="GN93" s="53"/>
      <c r="GO93" s="53"/>
      <c r="GP93" s="53"/>
      <c r="GQ93" s="53"/>
      <c r="GR93" s="53"/>
      <c r="GS93" s="53"/>
      <c r="GT93" s="53"/>
      <c r="GU93" s="53"/>
      <c r="GV93" s="112"/>
      <c r="GW93" s="112"/>
      <c r="GX93" s="387">
        <f t="shared" si="371"/>
        <v>5522950</v>
      </c>
      <c r="GY93" s="387"/>
      <c r="GZ93" s="387"/>
      <c r="HA93" s="387">
        <f t="shared" si="372"/>
        <v>-5522950</v>
      </c>
      <c r="HB93" s="387" t="e">
        <f t="shared" si="373"/>
        <v>#DIV/0!</v>
      </c>
      <c r="HC93" s="387">
        <f t="shared" si="374"/>
        <v>0</v>
      </c>
      <c r="HD93" s="387"/>
      <c r="HE93" s="387"/>
      <c r="HF93" s="387">
        <f t="shared" si="375"/>
        <v>0</v>
      </c>
      <c r="HG93" s="107" t="e">
        <f t="shared" si="376"/>
        <v>#DIV/0!</v>
      </c>
      <c r="HH93" s="107">
        <v>0.4</v>
      </c>
      <c r="HI93" s="387">
        <v>1883035</v>
      </c>
      <c r="HJ93" s="387"/>
      <c r="HK93" s="387"/>
      <c r="HL93" s="387">
        <f t="shared" si="377"/>
        <v>49553.552631578947</v>
      </c>
      <c r="HM93" s="387"/>
      <c r="HN93" s="387">
        <v>3389915</v>
      </c>
      <c r="HO93" s="387">
        <f t="shared" ref="HO93:HO98" si="394">HP93+HQ93</f>
        <v>0</v>
      </c>
      <c r="HP93" s="387"/>
      <c r="HQ93" s="387"/>
      <c r="HR93" s="387">
        <f t="shared" si="378"/>
        <v>-3389915</v>
      </c>
      <c r="HS93" s="683">
        <f t="shared" si="379"/>
        <v>0</v>
      </c>
      <c r="HT93" s="387"/>
      <c r="HU93" s="387">
        <v>250000</v>
      </c>
      <c r="HV93" s="387"/>
      <c r="HW93" s="387"/>
      <c r="HX93" s="393" t="e">
        <f t="shared" si="380"/>
        <v>#DIV/0!</v>
      </c>
      <c r="HY93" s="393"/>
      <c r="HZ93" s="387"/>
      <c r="IA93" s="387">
        <f t="shared" si="381"/>
        <v>-250000</v>
      </c>
      <c r="IB93" s="387">
        <f t="shared" si="382"/>
        <v>0</v>
      </c>
      <c r="IC93" s="390">
        <f t="shared" si="383"/>
        <v>0</v>
      </c>
      <c r="ID93" s="387">
        <f t="shared" si="384"/>
        <v>-6578.9473684210525</v>
      </c>
      <c r="IE93" s="391">
        <v>6.31</v>
      </c>
      <c r="IF93" s="391"/>
      <c r="IG93" s="387"/>
      <c r="IH93" s="387"/>
      <c r="II93" s="387">
        <f t="shared" si="385"/>
        <v>56132.5</v>
      </c>
      <c r="IJ93" s="387"/>
      <c r="IK93" s="387">
        <f t="shared" si="386"/>
        <v>0</v>
      </c>
      <c r="IL93" s="107">
        <f t="shared" si="387"/>
        <v>0.38621298400311427</v>
      </c>
      <c r="IM93" s="387"/>
      <c r="IN93" s="387"/>
      <c r="IO93" s="387">
        <f t="shared" si="388"/>
        <v>0</v>
      </c>
      <c r="IP93" s="394">
        <f t="shared" si="389"/>
        <v>5522950</v>
      </c>
      <c r="IQ93" s="277"/>
      <c r="IR93" s="277">
        <f t="shared" si="390"/>
        <v>0</v>
      </c>
      <c r="IS93" s="278"/>
      <c r="IT93" s="281">
        <v>0</v>
      </c>
      <c r="IU93" s="281"/>
      <c r="IV93" s="253"/>
      <c r="IW93" s="253"/>
      <c r="IX93" s="385">
        <v>0</v>
      </c>
      <c r="IY93" s="261"/>
      <c r="IZ93" s="274">
        <v>0</v>
      </c>
      <c r="JA93" s="261"/>
      <c r="JB93" s="460"/>
      <c r="JC93" s="279"/>
      <c r="JD93" s="284"/>
      <c r="JE93" s="282"/>
      <c r="JF93" s="282"/>
      <c r="JG93" s="276"/>
      <c r="JH93" s="277"/>
      <c r="JI93" s="276"/>
      <c r="JJ93" s="277"/>
      <c r="JK93" s="300"/>
      <c r="JL93" s="300"/>
      <c r="JM93" s="300"/>
      <c r="JN93" s="300"/>
      <c r="JO93" s="269"/>
      <c r="JP93" s="269"/>
      <c r="JQ93" s="269"/>
      <c r="JR93" s="269"/>
      <c r="JS93" s="269"/>
      <c r="JT93" s="269"/>
      <c r="JU93" s="281" t="e">
        <f t="shared" si="391"/>
        <v>#VALUE!</v>
      </c>
      <c r="JV93" s="117"/>
      <c r="JW93" s="279"/>
      <c r="JX93" s="117"/>
      <c r="JY93" s="117"/>
      <c r="JZ93" s="279"/>
    </row>
    <row r="94" spans="1:286" ht="15" customHeight="1">
      <c r="A94" s="294" t="s">
        <v>456</v>
      </c>
      <c r="B94" s="294"/>
      <c r="C94" s="53" t="s">
        <v>28</v>
      </c>
      <c r="D94" s="53" t="s">
        <v>112</v>
      </c>
      <c r="E94" s="53">
        <v>2020</v>
      </c>
      <c r="F94" s="53"/>
      <c r="G94" s="53" t="s">
        <v>433</v>
      </c>
      <c r="H94" s="53" t="s">
        <v>180</v>
      </c>
      <c r="I94" s="53" t="s">
        <v>404</v>
      </c>
      <c r="J94" s="53"/>
      <c r="K94" s="53" t="s">
        <v>482</v>
      </c>
      <c r="L94" s="255" t="s">
        <v>480</v>
      </c>
      <c r="M94" s="166" t="s">
        <v>60</v>
      </c>
      <c r="N94" s="305" t="s">
        <v>478</v>
      </c>
      <c r="O94" s="306" t="s">
        <v>479</v>
      </c>
      <c r="P94" s="231"/>
      <c r="Q94" s="231"/>
      <c r="R94" s="231"/>
      <c r="S94" s="231"/>
      <c r="T94" s="231"/>
      <c r="U94" s="604"/>
      <c r="V94" s="604"/>
      <c r="W94" s="604"/>
      <c r="X94" s="231"/>
      <c r="Y94" s="208"/>
      <c r="Z94" s="907" t="e">
        <f t="shared" si="282"/>
        <v>#DIV/0!</v>
      </c>
      <c r="AA94" s="208"/>
      <c r="AB94" s="208"/>
      <c r="AC94" s="209"/>
      <c r="AD94" s="53" t="s">
        <v>432</v>
      </c>
      <c r="AE94" s="772">
        <f t="shared" si="339"/>
        <v>30</v>
      </c>
      <c r="AF94" s="772">
        <f t="shared" si="340"/>
        <v>0</v>
      </c>
      <c r="AG94" s="64"/>
      <c r="AH94" s="114"/>
      <c r="AI94" s="114"/>
      <c r="AJ94" s="193">
        <v>30</v>
      </c>
      <c r="AK94" s="269"/>
      <c r="AL94" s="57"/>
      <c r="AM94" s="57"/>
      <c r="AN94" s="92"/>
      <c r="AO94" s="57"/>
      <c r="AP94" s="78"/>
      <c r="AQ94" s="78"/>
      <c r="AR94" s="78"/>
      <c r="AS94" s="78"/>
      <c r="AT94" s="78"/>
      <c r="AU94" s="57"/>
      <c r="AV94" s="76"/>
      <c r="AW94" s="78"/>
      <c r="AX94" s="57"/>
      <c r="AY94" s="53"/>
      <c r="AZ94" s="53"/>
      <c r="BA94" s="53"/>
      <c r="BB94" s="53"/>
      <c r="BC94" s="53"/>
      <c r="BD94" s="53"/>
      <c r="BE94" s="53"/>
      <c r="BF94" s="110"/>
      <c r="BG94" s="110"/>
      <c r="BH94" s="97"/>
      <c r="BI94" s="204"/>
      <c r="BJ94" s="99"/>
      <c r="BK94" s="99"/>
      <c r="BL94" s="204"/>
      <c r="BM94" s="99"/>
      <c r="BN94" s="161"/>
      <c r="BO94" s="203"/>
      <c r="BP94" s="161"/>
      <c r="BQ94" s="161"/>
      <c r="BR94" s="299">
        <f t="shared" si="341"/>
        <v>0</v>
      </c>
      <c r="BS94" s="298">
        <f t="shared" si="342"/>
        <v>731</v>
      </c>
      <c r="BT94" s="298">
        <f t="shared" si="343"/>
        <v>1096</v>
      </c>
      <c r="BU94" s="298"/>
      <c r="BV94" s="298" t="str">
        <f t="shared" si="344"/>
        <v>oui</v>
      </c>
      <c r="BW94" s="672" t="e">
        <f t="shared" si="345"/>
        <v>#NUM!</v>
      </c>
      <c r="BX94" s="672" t="e">
        <f t="shared" si="346"/>
        <v>#NUM!</v>
      </c>
      <c r="BY94" s="672" t="e">
        <f t="shared" si="347"/>
        <v>#NUM!</v>
      </c>
      <c r="BZ94" s="824"/>
      <c r="CA94" s="832"/>
      <c r="CB94" s="826"/>
      <c r="CC94" s="826"/>
      <c r="CD94" s="826"/>
      <c r="CE94" s="826"/>
      <c r="CF94" s="819"/>
      <c r="CG94" s="819"/>
      <c r="CH94" s="819"/>
      <c r="CI94" s="819"/>
      <c r="CJ94" s="819"/>
      <c r="CK94" s="819"/>
      <c r="CL94" s="819"/>
      <c r="CM94" s="819"/>
      <c r="CN94" s="819"/>
      <c r="CO94" s="819"/>
      <c r="CP94" s="819"/>
      <c r="CQ94" s="819"/>
      <c r="CR94" s="819"/>
      <c r="CS94" s="159"/>
      <c r="CT94" s="250"/>
      <c r="CU94" s="250"/>
      <c r="CV94" s="158"/>
      <c r="CW94" s="250"/>
      <c r="CX94" s="250"/>
      <c r="CY94" s="250"/>
      <c r="CZ94" s="405"/>
      <c r="DA94" s="405"/>
      <c r="DB94" s="540"/>
      <c r="DC94" s="541"/>
      <c r="DD94" s="541"/>
      <c r="DE94" s="545" t="str">
        <f t="shared" si="392"/>
        <v>0</v>
      </c>
      <c r="DF94" s="543"/>
      <c r="DG94" s="543"/>
      <c r="DH94" s="545" t="str">
        <f t="shared" si="348"/>
        <v>0</v>
      </c>
      <c r="DI94" s="546"/>
      <c r="DJ94" s="540"/>
      <c r="DK94" s="545" t="str">
        <f t="shared" si="349"/>
        <v>0</v>
      </c>
      <c r="DL94" s="546"/>
      <c r="DM94" s="540"/>
      <c r="DN94" s="545" t="str">
        <f t="shared" si="350"/>
        <v>0</v>
      </c>
      <c r="DO94" s="546"/>
      <c r="DP94" s="547"/>
      <c r="DQ94" s="545" t="str">
        <f t="shared" si="351"/>
        <v>0</v>
      </c>
      <c r="DR94" s="451"/>
      <c r="DS94" s="548"/>
      <c r="DT94" s="527"/>
      <c r="DU94" s="528"/>
      <c r="DV94" s="529" t="str">
        <f t="shared" si="352"/>
        <v>0</v>
      </c>
      <c r="DW94" s="527"/>
      <c r="DX94" s="686">
        <v>44378</v>
      </c>
      <c r="DY94" s="344"/>
      <c r="DZ94" s="442">
        <f t="shared" si="353"/>
        <v>1479.2666666666667</v>
      </c>
      <c r="EA94" s="529" t="str">
        <f t="shared" si="354"/>
        <v>0</v>
      </c>
      <c r="EB94" s="687">
        <v>16</v>
      </c>
      <c r="EC94" s="241">
        <f t="shared" si="355"/>
        <v>17</v>
      </c>
      <c r="ED94" s="527"/>
      <c r="EE94" s="533">
        <f t="shared" ca="1" si="356"/>
        <v>43423</v>
      </c>
      <c r="EF94" s="529" t="str">
        <f t="shared" ca="1" si="357"/>
        <v>0</v>
      </c>
      <c r="EG94" s="527"/>
      <c r="EH94" s="551"/>
      <c r="EI94" s="530" t="str">
        <f t="shared" si="358"/>
        <v>0</v>
      </c>
      <c r="EJ94" s="531"/>
      <c r="EK94" s="532"/>
      <c r="EL94" s="529" t="str">
        <f t="shared" si="359"/>
        <v>0</v>
      </c>
      <c r="EM94" s="528"/>
      <c r="EN94" s="533"/>
      <c r="EO94" s="529" t="str">
        <f t="shared" si="360"/>
        <v>0</v>
      </c>
      <c r="EP94" s="535"/>
      <c r="EQ94" s="535"/>
      <c r="ER94" s="529" t="str">
        <f t="shared" si="361"/>
        <v>0</v>
      </c>
      <c r="ES94" s="535"/>
      <c r="ET94" s="535"/>
      <c r="EU94" s="529" t="str">
        <f t="shared" si="362"/>
        <v>0</v>
      </c>
      <c r="EV94" s="535"/>
      <c r="EW94" s="533">
        <f t="shared" ca="1" si="363"/>
        <v>43423</v>
      </c>
      <c r="EX94" s="529" t="str">
        <f t="shared" ca="1" si="364"/>
        <v>0</v>
      </c>
      <c r="EY94" s="535"/>
      <c r="EZ94" s="535"/>
      <c r="FA94" s="535"/>
      <c r="FB94" s="731">
        <f t="shared" si="365"/>
        <v>44866</v>
      </c>
      <c r="FC94" s="730">
        <f t="shared" si="366"/>
        <v>44896</v>
      </c>
      <c r="FD94" s="727">
        <f t="shared" si="291"/>
        <v>1</v>
      </c>
      <c r="FE94" s="461"/>
      <c r="FF94" s="186"/>
      <c r="FG94" s="242"/>
      <c r="FH94" s="186">
        <f t="shared" si="367"/>
        <v>44927</v>
      </c>
      <c r="FI94" s="461"/>
      <c r="FJ94" s="753">
        <f t="shared" si="368"/>
        <v>44896</v>
      </c>
      <c r="FK94" s="730">
        <f t="shared" si="369"/>
        <v>44958</v>
      </c>
      <c r="FL94" s="410"/>
      <c r="FM94" s="725">
        <f t="shared" si="393"/>
        <v>2.0666666666666669</v>
      </c>
      <c r="FN94" s="700"/>
      <c r="FO94" s="246">
        <f t="shared" si="292"/>
        <v>0</v>
      </c>
      <c r="FP94" s="117"/>
      <c r="FQ94" s="556"/>
      <c r="FR94" s="556">
        <v>0</v>
      </c>
      <c r="FS94" s="556"/>
      <c r="FT94" s="556"/>
      <c r="FU94" s="556"/>
      <c r="FV94" s="556"/>
      <c r="FW94" s="553"/>
      <c r="FX94" s="566"/>
      <c r="FY94" s="553"/>
      <c r="FZ94" s="553"/>
      <c r="GA94" s="121"/>
      <c r="GB94" s="121"/>
      <c r="GC94" s="121"/>
      <c r="GD94" s="121"/>
      <c r="GE94" s="121"/>
      <c r="GF94" s="53"/>
      <c r="GG94" s="280">
        <f t="shared" si="370"/>
        <v>45261</v>
      </c>
      <c r="GH94" s="280"/>
      <c r="GI94" s="53"/>
      <c r="GJ94" s="53"/>
      <c r="GK94" s="53"/>
      <c r="GL94" s="53"/>
      <c r="GM94" s="53"/>
      <c r="GN94" s="53"/>
      <c r="GO94" s="53"/>
      <c r="GP94" s="53"/>
      <c r="GQ94" s="53"/>
      <c r="GR94" s="53"/>
      <c r="GS94" s="53"/>
      <c r="GT94" s="53"/>
      <c r="GU94" s="53"/>
      <c r="GV94" s="112"/>
      <c r="GW94" s="112"/>
      <c r="GX94" s="387">
        <f t="shared" si="371"/>
        <v>5522950</v>
      </c>
      <c r="GY94" s="387"/>
      <c r="GZ94" s="387"/>
      <c r="HA94" s="387">
        <f t="shared" si="372"/>
        <v>-5522950</v>
      </c>
      <c r="HB94" s="387" t="e">
        <f t="shared" si="373"/>
        <v>#DIV/0!</v>
      </c>
      <c r="HC94" s="387">
        <f t="shared" si="374"/>
        <v>0</v>
      </c>
      <c r="HD94" s="387"/>
      <c r="HE94" s="387"/>
      <c r="HF94" s="387">
        <f t="shared" si="375"/>
        <v>0</v>
      </c>
      <c r="HG94" s="107" t="e">
        <f t="shared" si="376"/>
        <v>#DIV/0!</v>
      </c>
      <c r="HH94" s="107">
        <v>0.4</v>
      </c>
      <c r="HI94" s="387">
        <v>1883035</v>
      </c>
      <c r="HJ94" s="387"/>
      <c r="HK94" s="387"/>
      <c r="HL94" s="387">
        <f t="shared" si="377"/>
        <v>62767.833333333336</v>
      </c>
      <c r="HM94" s="387"/>
      <c r="HN94" s="387">
        <v>3389915</v>
      </c>
      <c r="HO94" s="387">
        <f t="shared" si="394"/>
        <v>0</v>
      </c>
      <c r="HP94" s="387"/>
      <c r="HQ94" s="387"/>
      <c r="HR94" s="387">
        <f t="shared" si="378"/>
        <v>-3389915</v>
      </c>
      <c r="HS94" s="683">
        <f t="shared" si="379"/>
        <v>0</v>
      </c>
      <c r="HT94" s="387"/>
      <c r="HU94" s="387">
        <v>250000</v>
      </c>
      <c r="HV94" s="387"/>
      <c r="HW94" s="387"/>
      <c r="HX94" s="393" t="e">
        <f t="shared" si="380"/>
        <v>#DIV/0!</v>
      </c>
      <c r="HY94" s="393"/>
      <c r="HZ94" s="387"/>
      <c r="IA94" s="387">
        <f t="shared" si="381"/>
        <v>-250000</v>
      </c>
      <c r="IB94" s="387">
        <f t="shared" si="382"/>
        <v>0</v>
      </c>
      <c r="IC94" s="390">
        <f t="shared" si="383"/>
        <v>0</v>
      </c>
      <c r="ID94" s="387">
        <f t="shared" si="384"/>
        <v>-8333.3333333333339</v>
      </c>
      <c r="IE94" s="391">
        <v>6.31</v>
      </c>
      <c r="IF94" s="391"/>
      <c r="IG94" s="387"/>
      <c r="IH94" s="387"/>
      <c r="II94" s="387">
        <f t="shared" si="385"/>
        <v>71101.166666666672</v>
      </c>
      <c r="IJ94" s="387"/>
      <c r="IK94" s="387">
        <f t="shared" si="386"/>
        <v>0</v>
      </c>
      <c r="IL94" s="107">
        <f t="shared" si="387"/>
        <v>0.38621298400311427</v>
      </c>
      <c r="IM94" s="387"/>
      <c r="IN94" s="387"/>
      <c r="IO94" s="387">
        <f t="shared" si="388"/>
        <v>0</v>
      </c>
      <c r="IP94" s="394">
        <f t="shared" si="389"/>
        <v>5522950</v>
      </c>
      <c r="IQ94" s="277"/>
      <c r="IR94" s="277">
        <f t="shared" si="390"/>
        <v>0</v>
      </c>
      <c r="IS94" s="278"/>
      <c r="IT94" s="281">
        <v>0</v>
      </c>
      <c r="IU94" s="281"/>
      <c r="IV94" s="253"/>
      <c r="IW94" s="253"/>
      <c r="IX94" s="385">
        <v>0</v>
      </c>
      <c r="IY94" s="261"/>
      <c r="IZ94" s="274">
        <v>0</v>
      </c>
      <c r="JA94" s="261"/>
      <c r="JB94" s="460"/>
      <c r="JC94" s="279"/>
      <c r="JD94" s="284"/>
      <c r="JE94" s="282"/>
      <c r="JF94" s="282"/>
      <c r="JG94" s="276"/>
      <c r="JH94" s="277"/>
      <c r="JI94" s="276"/>
      <c r="JJ94" s="277"/>
      <c r="JK94" s="300"/>
      <c r="JL94" s="300"/>
      <c r="JM94" s="300"/>
      <c r="JN94" s="300"/>
      <c r="JO94" s="269"/>
      <c r="JP94" s="269"/>
      <c r="JQ94" s="269"/>
      <c r="JR94" s="269"/>
      <c r="JS94" s="269"/>
      <c r="JT94" s="269"/>
      <c r="JU94" s="281" t="e">
        <f t="shared" si="391"/>
        <v>#VALUE!</v>
      </c>
      <c r="JV94" s="117"/>
      <c r="JW94" s="279"/>
      <c r="JX94" s="117"/>
      <c r="JY94" s="117"/>
      <c r="JZ94" s="279"/>
    </row>
    <row r="95" spans="1:286" ht="15" customHeight="1">
      <c r="A95" s="294" t="s">
        <v>457</v>
      </c>
      <c r="B95" s="294"/>
      <c r="C95" s="53" t="s">
        <v>28</v>
      </c>
      <c r="D95" s="53" t="s">
        <v>112</v>
      </c>
      <c r="E95" s="53">
        <v>2020</v>
      </c>
      <c r="F95" s="53"/>
      <c r="G95" s="53" t="s">
        <v>433</v>
      </c>
      <c r="H95" s="53"/>
      <c r="I95" s="53" t="s">
        <v>404</v>
      </c>
      <c r="J95" s="53"/>
      <c r="K95" s="53" t="s">
        <v>481</v>
      </c>
      <c r="L95" s="255" t="s">
        <v>480</v>
      </c>
      <c r="M95" s="166" t="s">
        <v>60</v>
      </c>
      <c r="N95" s="305" t="s">
        <v>478</v>
      </c>
      <c r="O95" s="306" t="s">
        <v>479</v>
      </c>
      <c r="P95" s="231"/>
      <c r="Q95" s="231"/>
      <c r="R95" s="231"/>
      <c r="S95" s="231"/>
      <c r="T95" s="231"/>
      <c r="U95" s="604"/>
      <c r="V95" s="604"/>
      <c r="W95" s="604"/>
      <c r="X95" s="231"/>
      <c r="Y95" s="208"/>
      <c r="Z95" s="907" t="e">
        <f t="shared" si="282"/>
        <v>#DIV/0!</v>
      </c>
      <c r="AA95" s="208"/>
      <c r="AB95" s="208"/>
      <c r="AC95" s="209"/>
      <c r="AD95" s="53" t="s">
        <v>432</v>
      </c>
      <c r="AE95" s="771">
        <f t="shared" si="339"/>
        <v>32</v>
      </c>
      <c r="AF95" s="771">
        <f t="shared" si="340"/>
        <v>0</v>
      </c>
      <c r="AG95" s="64"/>
      <c r="AH95" s="114"/>
      <c r="AI95" s="114"/>
      <c r="AJ95" s="193">
        <v>32</v>
      </c>
      <c r="AK95" s="269"/>
      <c r="AL95" s="57"/>
      <c r="AM95" s="57"/>
      <c r="AN95" s="92"/>
      <c r="AO95" s="57"/>
      <c r="AP95" s="78"/>
      <c r="AQ95" s="78"/>
      <c r="AR95" s="78"/>
      <c r="AS95" s="78"/>
      <c r="AT95" s="78"/>
      <c r="AU95" s="57"/>
      <c r="AV95" s="76"/>
      <c r="AW95" s="78"/>
      <c r="AX95" s="57"/>
      <c r="AY95" s="53"/>
      <c r="AZ95" s="53"/>
      <c r="BA95" s="53"/>
      <c r="BB95" s="53"/>
      <c r="BC95" s="53"/>
      <c r="BD95" s="53"/>
      <c r="BE95" s="53"/>
      <c r="BF95" s="110"/>
      <c r="BG95" s="110"/>
      <c r="BH95" s="97"/>
      <c r="BI95" s="204"/>
      <c r="BJ95" s="99"/>
      <c r="BK95" s="99"/>
      <c r="BL95" s="204"/>
      <c r="BM95" s="99"/>
      <c r="BN95" s="161"/>
      <c r="BO95" s="203"/>
      <c r="BP95" s="161"/>
      <c r="BQ95" s="161"/>
      <c r="BR95" s="299">
        <f t="shared" si="341"/>
        <v>0</v>
      </c>
      <c r="BS95" s="298">
        <f t="shared" si="342"/>
        <v>731</v>
      </c>
      <c r="BT95" s="298">
        <f t="shared" si="343"/>
        <v>1096</v>
      </c>
      <c r="BU95" s="298"/>
      <c r="BV95" s="298" t="str">
        <f t="shared" si="344"/>
        <v>oui</v>
      </c>
      <c r="BW95" s="672" t="e">
        <f t="shared" si="345"/>
        <v>#NUM!</v>
      </c>
      <c r="BX95" s="672" t="e">
        <f t="shared" si="346"/>
        <v>#NUM!</v>
      </c>
      <c r="BY95" s="672" t="e">
        <f t="shared" si="347"/>
        <v>#NUM!</v>
      </c>
      <c r="BZ95" s="824"/>
      <c r="CA95" s="832"/>
      <c r="CB95" s="826"/>
      <c r="CC95" s="826"/>
      <c r="CD95" s="826"/>
      <c r="CE95" s="826"/>
      <c r="CF95" s="819"/>
      <c r="CG95" s="819"/>
      <c r="CH95" s="819"/>
      <c r="CI95" s="819"/>
      <c r="CJ95" s="819"/>
      <c r="CK95" s="819"/>
      <c r="CL95" s="819"/>
      <c r="CM95" s="819"/>
      <c r="CN95" s="819"/>
      <c r="CO95" s="819"/>
      <c r="CP95" s="819"/>
      <c r="CQ95" s="819"/>
      <c r="CR95" s="819"/>
      <c r="CS95" s="159"/>
      <c r="CT95" s="250"/>
      <c r="CU95" s="250"/>
      <c r="CV95" s="158"/>
      <c r="CW95" s="250"/>
      <c r="CX95" s="250"/>
      <c r="CY95" s="250"/>
      <c r="CZ95" s="405"/>
      <c r="DA95" s="405"/>
      <c r="DB95" s="540"/>
      <c r="DC95" s="541"/>
      <c r="DD95" s="541"/>
      <c r="DE95" s="545" t="str">
        <f t="shared" si="392"/>
        <v>0</v>
      </c>
      <c r="DF95" s="543"/>
      <c r="DG95" s="543"/>
      <c r="DH95" s="545" t="str">
        <f t="shared" si="348"/>
        <v>0</v>
      </c>
      <c r="DI95" s="546"/>
      <c r="DJ95" s="540"/>
      <c r="DK95" s="545" t="str">
        <f t="shared" si="349"/>
        <v>0</v>
      </c>
      <c r="DL95" s="546"/>
      <c r="DM95" s="540"/>
      <c r="DN95" s="545" t="str">
        <f t="shared" si="350"/>
        <v>0</v>
      </c>
      <c r="DO95" s="546"/>
      <c r="DP95" s="547"/>
      <c r="DQ95" s="545" t="str">
        <f t="shared" si="351"/>
        <v>0</v>
      </c>
      <c r="DR95" s="451"/>
      <c r="DS95" s="548"/>
      <c r="DT95" s="527"/>
      <c r="DU95" s="528"/>
      <c r="DV95" s="529" t="str">
        <f t="shared" si="352"/>
        <v>0</v>
      </c>
      <c r="DW95" s="527"/>
      <c r="DX95" s="686">
        <v>44378</v>
      </c>
      <c r="DY95" s="344"/>
      <c r="DZ95" s="442">
        <f t="shared" si="353"/>
        <v>1479.2666666666667</v>
      </c>
      <c r="EA95" s="529" t="str">
        <f t="shared" si="354"/>
        <v>0</v>
      </c>
      <c r="EB95" s="687">
        <v>16</v>
      </c>
      <c r="EC95" s="241">
        <f t="shared" si="355"/>
        <v>17</v>
      </c>
      <c r="ED95" s="527"/>
      <c r="EE95" s="533">
        <f t="shared" ca="1" si="356"/>
        <v>43423</v>
      </c>
      <c r="EF95" s="529" t="str">
        <f t="shared" ca="1" si="357"/>
        <v>0</v>
      </c>
      <c r="EG95" s="527"/>
      <c r="EH95" s="551"/>
      <c r="EI95" s="530" t="str">
        <f t="shared" si="358"/>
        <v>0</v>
      </c>
      <c r="EJ95" s="531"/>
      <c r="EK95" s="532"/>
      <c r="EL95" s="529" t="str">
        <f t="shared" si="359"/>
        <v>0</v>
      </c>
      <c r="EM95" s="528"/>
      <c r="EN95" s="533"/>
      <c r="EO95" s="529" t="str">
        <f t="shared" si="360"/>
        <v>0</v>
      </c>
      <c r="EP95" s="535"/>
      <c r="EQ95" s="535"/>
      <c r="ER95" s="529" t="str">
        <f t="shared" si="361"/>
        <v>0</v>
      </c>
      <c r="ES95" s="535"/>
      <c r="ET95" s="535"/>
      <c r="EU95" s="529" t="str">
        <f t="shared" si="362"/>
        <v>0</v>
      </c>
      <c r="EV95" s="535"/>
      <c r="EW95" s="533">
        <f t="shared" ca="1" si="363"/>
        <v>43423</v>
      </c>
      <c r="EX95" s="529" t="str">
        <f t="shared" ca="1" si="364"/>
        <v>0</v>
      </c>
      <c r="EY95" s="535"/>
      <c r="EZ95" s="535"/>
      <c r="FA95" s="535"/>
      <c r="FB95" s="731">
        <f t="shared" si="365"/>
        <v>44866</v>
      </c>
      <c r="FC95" s="730">
        <f t="shared" si="366"/>
        <v>44896</v>
      </c>
      <c r="FD95" s="727">
        <f t="shared" si="291"/>
        <v>1</v>
      </c>
      <c r="FE95" s="461"/>
      <c r="FF95" s="186"/>
      <c r="FG95" s="242"/>
      <c r="FH95" s="186">
        <f t="shared" si="367"/>
        <v>44927</v>
      </c>
      <c r="FI95" s="461"/>
      <c r="FJ95" s="753">
        <f t="shared" si="368"/>
        <v>44896</v>
      </c>
      <c r="FK95" s="730">
        <f t="shared" si="369"/>
        <v>44958</v>
      </c>
      <c r="FL95" s="410"/>
      <c r="FM95" s="725">
        <f t="shared" si="393"/>
        <v>2.0666666666666669</v>
      </c>
      <c r="FN95" s="700"/>
      <c r="FO95" s="246">
        <f t="shared" si="292"/>
        <v>0</v>
      </c>
      <c r="FP95" s="117"/>
      <c r="FQ95" s="556"/>
      <c r="FR95" s="556">
        <v>0</v>
      </c>
      <c r="FS95" s="556"/>
      <c r="FT95" s="556"/>
      <c r="FU95" s="556"/>
      <c r="FV95" s="556"/>
      <c r="FW95" s="553"/>
      <c r="FX95" s="566"/>
      <c r="FY95" s="553"/>
      <c r="FZ95" s="553"/>
      <c r="GA95" s="121"/>
      <c r="GB95" s="121"/>
      <c r="GC95" s="121"/>
      <c r="GD95" s="121"/>
      <c r="GE95" s="121"/>
      <c r="GF95" s="53"/>
      <c r="GG95" s="280">
        <f t="shared" si="370"/>
        <v>45261</v>
      </c>
      <c r="GH95" s="280"/>
      <c r="GI95" s="53"/>
      <c r="GJ95" s="53"/>
      <c r="GK95" s="53"/>
      <c r="GL95" s="53"/>
      <c r="GM95" s="53"/>
      <c r="GN95" s="53"/>
      <c r="GO95" s="53"/>
      <c r="GP95" s="53"/>
      <c r="GQ95" s="53"/>
      <c r="GR95" s="53"/>
      <c r="GS95" s="53"/>
      <c r="GT95" s="53"/>
      <c r="GU95" s="53"/>
      <c r="GV95" s="112"/>
      <c r="GW95" s="112"/>
      <c r="GX95" s="387">
        <f t="shared" si="371"/>
        <v>5522950</v>
      </c>
      <c r="GY95" s="387"/>
      <c r="GZ95" s="387"/>
      <c r="HA95" s="387">
        <f t="shared" si="372"/>
        <v>-5522950</v>
      </c>
      <c r="HB95" s="387" t="e">
        <f t="shared" si="373"/>
        <v>#DIV/0!</v>
      </c>
      <c r="HC95" s="387">
        <f t="shared" si="374"/>
        <v>0</v>
      </c>
      <c r="HD95" s="387"/>
      <c r="HE95" s="387"/>
      <c r="HF95" s="387">
        <f t="shared" si="375"/>
        <v>0</v>
      </c>
      <c r="HG95" s="107" t="e">
        <f t="shared" si="376"/>
        <v>#DIV/0!</v>
      </c>
      <c r="HH95" s="107">
        <v>0.4</v>
      </c>
      <c r="HI95" s="387">
        <v>1883035</v>
      </c>
      <c r="HJ95" s="387"/>
      <c r="HK95" s="387"/>
      <c r="HL95" s="387">
        <f t="shared" si="377"/>
        <v>58844.84375</v>
      </c>
      <c r="HM95" s="387"/>
      <c r="HN95" s="387">
        <v>3389915</v>
      </c>
      <c r="HO95" s="387">
        <f t="shared" si="394"/>
        <v>0</v>
      </c>
      <c r="HP95" s="387"/>
      <c r="HQ95" s="387"/>
      <c r="HR95" s="387">
        <f t="shared" si="378"/>
        <v>-3389915</v>
      </c>
      <c r="HS95" s="683">
        <f t="shared" si="379"/>
        <v>0</v>
      </c>
      <c r="HT95" s="387"/>
      <c r="HU95" s="387">
        <v>250000</v>
      </c>
      <c r="HV95" s="387"/>
      <c r="HW95" s="387"/>
      <c r="HX95" s="393" t="e">
        <f t="shared" si="380"/>
        <v>#DIV/0!</v>
      </c>
      <c r="HY95" s="393"/>
      <c r="HZ95" s="387"/>
      <c r="IA95" s="387">
        <f t="shared" si="381"/>
        <v>-250000</v>
      </c>
      <c r="IB95" s="387">
        <f t="shared" si="382"/>
        <v>0</v>
      </c>
      <c r="IC95" s="390">
        <f t="shared" si="383"/>
        <v>0</v>
      </c>
      <c r="ID95" s="387">
        <f t="shared" si="384"/>
        <v>-7812.5</v>
      </c>
      <c r="IE95" s="391">
        <v>6.31</v>
      </c>
      <c r="IF95" s="391"/>
      <c r="IG95" s="387"/>
      <c r="IH95" s="387"/>
      <c r="II95" s="387">
        <f t="shared" si="385"/>
        <v>66657.34375</v>
      </c>
      <c r="IJ95" s="387"/>
      <c r="IK95" s="387">
        <f t="shared" si="386"/>
        <v>0</v>
      </c>
      <c r="IL95" s="107">
        <f t="shared" si="387"/>
        <v>0.38621298400311427</v>
      </c>
      <c r="IM95" s="387"/>
      <c r="IN95" s="387"/>
      <c r="IO95" s="387">
        <f t="shared" si="388"/>
        <v>0</v>
      </c>
      <c r="IP95" s="394">
        <f t="shared" si="389"/>
        <v>5522950</v>
      </c>
      <c r="IQ95" s="277"/>
      <c r="IR95" s="277">
        <f t="shared" si="390"/>
        <v>0</v>
      </c>
      <c r="IS95" s="278"/>
      <c r="IT95" s="281">
        <v>0</v>
      </c>
      <c r="IU95" s="281"/>
      <c r="IV95" s="253"/>
      <c r="IW95" s="253"/>
      <c r="IX95" s="385">
        <v>0</v>
      </c>
      <c r="IY95" s="261"/>
      <c r="IZ95" s="274">
        <v>0</v>
      </c>
      <c r="JA95" s="261"/>
      <c r="JB95" s="460"/>
      <c r="JC95" s="279"/>
      <c r="JD95" s="284"/>
      <c r="JE95" s="282"/>
      <c r="JF95" s="282"/>
      <c r="JG95" s="276"/>
      <c r="JH95" s="277"/>
      <c r="JI95" s="276"/>
      <c r="JJ95" s="277"/>
      <c r="JK95" s="300"/>
      <c r="JL95" s="300"/>
      <c r="JM95" s="300"/>
      <c r="JN95" s="300"/>
      <c r="JO95" s="269"/>
      <c r="JP95" s="269"/>
      <c r="JQ95" s="269"/>
      <c r="JR95" s="269"/>
      <c r="JS95" s="269"/>
      <c r="JT95" s="269"/>
      <c r="JU95" s="281" t="e">
        <f t="shared" si="391"/>
        <v>#VALUE!</v>
      </c>
      <c r="JV95" s="117"/>
      <c r="JW95" s="279"/>
      <c r="JX95" s="117"/>
      <c r="JY95" s="117"/>
      <c r="JZ95" s="279"/>
    </row>
    <row r="96" spans="1:286" ht="15" customHeight="1">
      <c r="A96" s="294" t="s">
        <v>460</v>
      </c>
      <c r="B96" s="294"/>
      <c r="C96" s="53" t="s">
        <v>28</v>
      </c>
      <c r="D96" s="53" t="s">
        <v>112</v>
      </c>
      <c r="E96" s="53">
        <v>2020</v>
      </c>
      <c r="F96" s="53"/>
      <c r="G96" s="53" t="s">
        <v>433</v>
      </c>
      <c r="H96" s="53"/>
      <c r="I96" s="53" t="s">
        <v>404</v>
      </c>
      <c r="J96" s="53"/>
      <c r="K96" s="53"/>
      <c r="L96" s="255" t="s">
        <v>490</v>
      </c>
      <c r="M96" s="166" t="s">
        <v>60</v>
      </c>
      <c r="N96" s="167" t="s">
        <v>489</v>
      </c>
      <c r="O96" s="168">
        <v>37125</v>
      </c>
      <c r="P96" s="231"/>
      <c r="Q96" s="231"/>
      <c r="R96" s="231"/>
      <c r="S96" s="231"/>
      <c r="T96" s="231"/>
      <c r="U96" s="604"/>
      <c r="V96" s="604"/>
      <c r="W96" s="604"/>
      <c r="X96" s="231"/>
      <c r="Y96" s="208"/>
      <c r="Z96" s="907" t="e">
        <f t="shared" si="282"/>
        <v>#DIV/0!</v>
      </c>
      <c r="AA96" s="208"/>
      <c r="AB96" s="208"/>
      <c r="AC96" s="209"/>
      <c r="AD96" s="53" t="s">
        <v>432</v>
      </c>
      <c r="AE96" s="771">
        <f t="shared" si="339"/>
        <v>18</v>
      </c>
      <c r="AF96" s="771">
        <f t="shared" si="340"/>
        <v>0</v>
      </c>
      <c r="AG96" s="64"/>
      <c r="AH96" s="114"/>
      <c r="AI96" s="114"/>
      <c r="AJ96" s="193">
        <v>18</v>
      </c>
      <c r="AK96" s="269"/>
      <c r="AL96" s="57"/>
      <c r="AM96" s="57"/>
      <c r="AN96" s="225"/>
      <c r="AO96" s="57"/>
      <c r="AP96" s="78"/>
      <c r="AQ96" s="78"/>
      <c r="AR96" s="78"/>
      <c r="AS96" s="78"/>
      <c r="AT96" s="78"/>
      <c r="AU96" s="57"/>
      <c r="AV96" s="76"/>
      <c r="AW96" s="78"/>
      <c r="AX96" s="57"/>
      <c r="AY96" s="53"/>
      <c r="AZ96" s="53"/>
      <c r="BA96" s="53"/>
      <c r="BB96" s="53"/>
      <c r="BC96" s="53"/>
      <c r="BD96" s="53"/>
      <c r="BE96" s="53"/>
      <c r="BF96" s="110"/>
      <c r="BG96" s="110"/>
      <c r="BH96" s="97"/>
      <c r="BI96" s="204"/>
      <c r="BJ96" s="99"/>
      <c r="BK96" s="99"/>
      <c r="BL96" s="204"/>
      <c r="BM96" s="99"/>
      <c r="BN96" s="161"/>
      <c r="BO96" s="203"/>
      <c r="BP96" s="161"/>
      <c r="BQ96" s="161"/>
      <c r="BR96" s="299">
        <f t="shared" si="341"/>
        <v>0</v>
      </c>
      <c r="BS96" s="298">
        <f t="shared" si="342"/>
        <v>731</v>
      </c>
      <c r="BT96" s="298">
        <f t="shared" si="343"/>
        <v>1096</v>
      </c>
      <c r="BU96" s="298"/>
      <c r="BV96" s="298" t="str">
        <f t="shared" si="344"/>
        <v>oui</v>
      </c>
      <c r="BW96" s="672" t="e">
        <f t="shared" si="345"/>
        <v>#NUM!</v>
      </c>
      <c r="BX96" s="672" t="e">
        <f t="shared" si="346"/>
        <v>#NUM!</v>
      </c>
      <c r="BY96" s="672" t="e">
        <f t="shared" si="347"/>
        <v>#NUM!</v>
      </c>
      <c r="BZ96" s="824"/>
      <c r="CA96" s="832"/>
      <c r="CB96" s="826"/>
      <c r="CC96" s="826"/>
      <c r="CD96" s="826"/>
      <c r="CE96" s="826"/>
      <c r="CF96" s="819"/>
      <c r="CG96" s="819"/>
      <c r="CH96" s="819"/>
      <c r="CI96" s="819"/>
      <c r="CJ96" s="819"/>
      <c r="CK96" s="819"/>
      <c r="CL96" s="819"/>
      <c r="CM96" s="819"/>
      <c r="CN96" s="819"/>
      <c r="CO96" s="819"/>
      <c r="CP96" s="819"/>
      <c r="CQ96" s="819"/>
      <c r="CR96" s="819"/>
      <c r="CS96" s="159"/>
      <c r="CT96" s="250"/>
      <c r="CU96" s="250"/>
      <c r="CV96" s="158"/>
      <c r="CW96" s="250"/>
      <c r="CX96" s="250"/>
      <c r="CY96" s="250"/>
      <c r="CZ96" s="405"/>
      <c r="DA96" s="405"/>
      <c r="DB96" s="540"/>
      <c r="DC96" s="543"/>
      <c r="DD96" s="543"/>
      <c r="DE96" s="545" t="str">
        <f t="shared" si="392"/>
        <v>0</v>
      </c>
      <c r="DF96" s="543"/>
      <c r="DG96" s="543"/>
      <c r="DH96" s="545" t="str">
        <f t="shared" si="348"/>
        <v>0</v>
      </c>
      <c r="DI96" s="543"/>
      <c r="DJ96" s="543"/>
      <c r="DK96" s="545" t="str">
        <f t="shared" si="349"/>
        <v>0</v>
      </c>
      <c r="DL96" s="543"/>
      <c r="DM96" s="543"/>
      <c r="DN96" s="545" t="str">
        <f t="shared" si="350"/>
        <v>0</v>
      </c>
      <c r="DO96" s="546"/>
      <c r="DP96" s="547"/>
      <c r="DQ96" s="545" t="str">
        <f t="shared" si="351"/>
        <v>0</v>
      </c>
      <c r="DR96" s="451"/>
      <c r="DS96" s="548"/>
      <c r="DT96" s="527"/>
      <c r="DU96" s="528"/>
      <c r="DV96" s="529" t="str">
        <f t="shared" si="352"/>
        <v>0</v>
      </c>
      <c r="DW96" s="527"/>
      <c r="DX96" s="686">
        <v>44378</v>
      </c>
      <c r="DY96" s="344"/>
      <c r="DZ96" s="442">
        <f t="shared" si="353"/>
        <v>1479.2666666666667</v>
      </c>
      <c r="EA96" s="529" t="str">
        <f t="shared" si="354"/>
        <v>0</v>
      </c>
      <c r="EB96" s="687">
        <v>16</v>
      </c>
      <c r="EC96" s="241">
        <f t="shared" si="355"/>
        <v>17</v>
      </c>
      <c r="ED96" s="527"/>
      <c r="EE96" s="533">
        <f t="shared" ca="1" si="356"/>
        <v>43423</v>
      </c>
      <c r="EF96" s="529" t="str">
        <f t="shared" ca="1" si="357"/>
        <v>0</v>
      </c>
      <c r="EG96" s="527"/>
      <c r="EH96" s="551"/>
      <c r="EI96" s="530" t="str">
        <f t="shared" si="358"/>
        <v>0</v>
      </c>
      <c r="EJ96" s="531"/>
      <c r="EK96" s="532"/>
      <c r="EL96" s="529" t="str">
        <f t="shared" si="359"/>
        <v>0</v>
      </c>
      <c r="EM96" s="528"/>
      <c r="EN96" s="533"/>
      <c r="EO96" s="529" t="str">
        <f t="shared" si="360"/>
        <v>0</v>
      </c>
      <c r="EP96" s="535"/>
      <c r="EQ96" s="535"/>
      <c r="ER96" s="529" t="str">
        <f t="shared" si="361"/>
        <v>0</v>
      </c>
      <c r="ES96" s="535"/>
      <c r="ET96" s="535"/>
      <c r="EU96" s="529" t="str">
        <f t="shared" si="362"/>
        <v>0</v>
      </c>
      <c r="EV96" s="533"/>
      <c r="EW96" s="533">
        <f t="shared" ca="1" si="363"/>
        <v>43423</v>
      </c>
      <c r="EX96" s="529" t="str">
        <f t="shared" ca="1" si="364"/>
        <v>0</v>
      </c>
      <c r="EY96" s="535"/>
      <c r="EZ96" s="535"/>
      <c r="FA96" s="535"/>
      <c r="FB96" s="616">
        <f t="shared" si="365"/>
        <v>44866</v>
      </c>
      <c r="FC96" s="730">
        <f t="shared" si="366"/>
        <v>44896</v>
      </c>
      <c r="FD96" s="727">
        <f t="shared" si="291"/>
        <v>1</v>
      </c>
      <c r="FE96" s="573"/>
      <c r="FF96" s="242"/>
      <c r="FG96" s="242"/>
      <c r="FH96" s="186">
        <f t="shared" si="367"/>
        <v>44927</v>
      </c>
      <c r="FI96" s="461"/>
      <c r="FJ96" s="571">
        <f t="shared" si="368"/>
        <v>44896</v>
      </c>
      <c r="FK96" s="450">
        <f t="shared" si="369"/>
        <v>44958</v>
      </c>
      <c r="FL96" s="574"/>
      <c r="FM96" s="724">
        <f t="shared" si="393"/>
        <v>2.0666666666666669</v>
      </c>
      <c r="FN96" s="700"/>
      <c r="FO96" s="246">
        <f t="shared" si="292"/>
        <v>0</v>
      </c>
      <c r="FP96" s="117"/>
      <c r="FQ96" s="556"/>
      <c r="FR96" s="556">
        <v>0</v>
      </c>
      <c r="FS96" s="556"/>
      <c r="FT96" s="556"/>
      <c r="FU96" s="556"/>
      <c r="FV96" s="556"/>
      <c r="FW96" s="553"/>
      <c r="FX96" s="566"/>
      <c r="FY96" s="553"/>
      <c r="FZ96" s="553"/>
      <c r="GA96" s="121"/>
      <c r="GB96" s="121"/>
      <c r="GC96" s="121"/>
      <c r="GD96" s="121"/>
      <c r="GE96" s="121"/>
      <c r="GF96" s="53"/>
      <c r="GG96" s="280">
        <f t="shared" si="370"/>
        <v>45261</v>
      </c>
      <c r="GH96" s="280"/>
      <c r="GI96" s="53"/>
      <c r="GJ96" s="53"/>
      <c r="GK96" s="53"/>
      <c r="GL96" s="53"/>
      <c r="GM96" s="53"/>
      <c r="GN96" s="53"/>
      <c r="GO96" s="53"/>
      <c r="GP96" s="53"/>
      <c r="GQ96" s="53"/>
      <c r="GR96" s="53"/>
      <c r="GS96" s="53"/>
      <c r="GT96" s="53"/>
      <c r="GU96" s="53"/>
      <c r="GV96" s="112"/>
      <c r="GW96" s="112"/>
      <c r="GX96" s="387">
        <f t="shared" si="371"/>
        <v>0</v>
      </c>
      <c r="GY96" s="387">
        <f>HJ96+HO96+HV96+IO96+HW96+HZ96</f>
        <v>0</v>
      </c>
      <c r="GZ96" s="387"/>
      <c r="HA96" s="387">
        <f t="shared" si="372"/>
        <v>0</v>
      </c>
      <c r="HB96" s="387" t="e">
        <f t="shared" si="373"/>
        <v>#DIV/0!</v>
      </c>
      <c r="HC96" s="387">
        <f t="shared" si="374"/>
        <v>0</v>
      </c>
      <c r="HD96" s="387"/>
      <c r="HE96" s="387"/>
      <c r="HF96" s="387">
        <f t="shared" si="375"/>
        <v>0</v>
      </c>
      <c r="HG96" s="107" t="e">
        <f t="shared" si="376"/>
        <v>#DIV/0!</v>
      </c>
      <c r="HH96" s="107">
        <v>0.4</v>
      </c>
      <c r="HI96" s="387"/>
      <c r="HJ96" s="387"/>
      <c r="HK96" s="387"/>
      <c r="HL96" s="387">
        <f t="shared" si="377"/>
        <v>0</v>
      </c>
      <c r="HM96" s="387"/>
      <c r="HN96" s="387"/>
      <c r="HO96" s="387">
        <f t="shared" si="394"/>
        <v>0</v>
      </c>
      <c r="HP96" s="387"/>
      <c r="HQ96" s="387"/>
      <c r="HR96" s="387">
        <f t="shared" si="378"/>
        <v>0</v>
      </c>
      <c r="HS96" s="683">
        <f t="shared" si="379"/>
        <v>0</v>
      </c>
      <c r="HT96" s="387"/>
      <c r="HU96" s="387"/>
      <c r="HV96" s="387"/>
      <c r="HW96" s="387"/>
      <c r="HX96" s="393" t="e">
        <f t="shared" si="380"/>
        <v>#DIV/0!</v>
      </c>
      <c r="HY96" s="393"/>
      <c r="HZ96" s="387"/>
      <c r="IA96" s="387">
        <f t="shared" si="381"/>
        <v>0</v>
      </c>
      <c r="IB96" s="387">
        <f t="shared" si="382"/>
        <v>0</v>
      </c>
      <c r="IC96" s="390">
        <f t="shared" si="383"/>
        <v>0</v>
      </c>
      <c r="ID96" s="387">
        <f t="shared" si="384"/>
        <v>0</v>
      </c>
      <c r="IE96" s="391">
        <v>6.31</v>
      </c>
      <c r="IF96" s="391"/>
      <c r="IG96" s="387"/>
      <c r="IH96" s="387"/>
      <c r="II96" s="387">
        <f t="shared" si="385"/>
        <v>0</v>
      </c>
      <c r="IJ96" s="387"/>
      <c r="IK96" s="387">
        <f t="shared" si="386"/>
        <v>0</v>
      </c>
      <c r="IL96" s="107" t="e">
        <f t="shared" si="387"/>
        <v>#DIV/0!</v>
      </c>
      <c r="IM96" s="387"/>
      <c r="IN96" s="387"/>
      <c r="IO96" s="387">
        <f t="shared" si="388"/>
        <v>0</v>
      </c>
      <c r="IP96" s="394">
        <f t="shared" si="389"/>
        <v>0</v>
      </c>
      <c r="IQ96" s="277"/>
      <c r="IR96" s="277">
        <f t="shared" si="390"/>
        <v>0</v>
      </c>
      <c r="IS96" s="278"/>
      <c r="IT96" s="281">
        <v>0</v>
      </c>
      <c r="IU96" s="281"/>
      <c r="IV96" s="253"/>
      <c r="IW96" s="253"/>
      <c r="IX96" s="385">
        <v>0</v>
      </c>
      <c r="IY96" s="261"/>
      <c r="IZ96" s="274">
        <v>0</v>
      </c>
      <c r="JA96" s="261"/>
      <c r="JB96" s="460"/>
      <c r="JC96" s="279"/>
      <c r="JD96" s="284"/>
      <c r="JE96" s="282"/>
      <c r="JF96" s="282"/>
      <c r="JG96" s="276"/>
      <c r="JH96" s="277"/>
      <c r="JI96" s="276"/>
      <c r="JJ96" s="277"/>
      <c r="JK96" s="300"/>
      <c r="JL96" s="300"/>
      <c r="JM96" s="300"/>
      <c r="JN96" s="300"/>
      <c r="JO96" s="269"/>
      <c r="JP96" s="269"/>
      <c r="JQ96" s="269"/>
      <c r="JR96" s="269"/>
      <c r="JS96" s="269"/>
      <c r="JT96" s="269"/>
      <c r="JU96" s="281" t="e">
        <f t="shared" si="391"/>
        <v>#VALUE!</v>
      </c>
      <c r="JV96" s="117"/>
      <c r="JW96" s="279"/>
      <c r="JX96" s="117"/>
      <c r="JY96" s="117"/>
      <c r="JZ96" s="279"/>
    </row>
    <row r="97" spans="1:286" ht="15" customHeight="1">
      <c r="A97" s="294" t="s">
        <v>459</v>
      </c>
      <c r="B97" s="294"/>
      <c r="C97" s="53" t="s">
        <v>28</v>
      </c>
      <c r="D97" s="53" t="s">
        <v>112</v>
      </c>
      <c r="E97" s="53">
        <v>2020</v>
      </c>
      <c r="F97" s="53"/>
      <c r="G97" s="53" t="s">
        <v>433</v>
      </c>
      <c r="H97" s="53"/>
      <c r="I97" s="53" t="s">
        <v>404</v>
      </c>
      <c r="J97" s="53"/>
      <c r="K97" s="53" t="s">
        <v>484</v>
      </c>
      <c r="L97" s="255" t="s">
        <v>485</v>
      </c>
      <c r="M97" s="166" t="s">
        <v>60</v>
      </c>
      <c r="N97" s="167" t="s">
        <v>483</v>
      </c>
      <c r="O97" s="168">
        <v>35396</v>
      </c>
      <c r="P97" s="231"/>
      <c r="Q97" s="231"/>
      <c r="R97" s="231"/>
      <c r="S97" s="231"/>
      <c r="T97" s="231"/>
      <c r="U97" s="604"/>
      <c r="V97" s="604"/>
      <c r="W97" s="604"/>
      <c r="X97" s="231"/>
      <c r="Y97" s="208"/>
      <c r="Z97" s="907" t="e">
        <f t="shared" si="282"/>
        <v>#DIV/0!</v>
      </c>
      <c r="AA97" s="208"/>
      <c r="AB97" s="208"/>
      <c r="AC97" s="209"/>
      <c r="AD97" s="53" t="s">
        <v>432</v>
      </c>
      <c r="AE97" s="771">
        <f t="shared" si="339"/>
        <v>26</v>
      </c>
      <c r="AF97" s="771">
        <f t="shared" si="340"/>
        <v>0</v>
      </c>
      <c r="AG97" s="64"/>
      <c r="AH97" s="114"/>
      <c r="AI97" s="114"/>
      <c r="AJ97" s="53">
        <v>26</v>
      </c>
      <c r="AK97" s="269"/>
      <c r="AL97" s="57"/>
      <c r="AM97" s="57"/>
      <c r="AN97" s="225"/>
      <c r="AO97" s="57"/>
      <c r="AP97" s="78"/>
      <c r="AQ97" s="78"/>
      <c r="AR97" s="78"/>
      <c r="AS97" s="78"/>
      <c r="AT97" s="78"/>
      <c r="AU97" s="57"/>
      <c r="AV97" s="76"/>
      <c r="AW97" s="78"/>
      <c r="AX97" s="57"/>
      <c r="AY97" s="53"/>
      <c r="AZ97" s="53"/>
      <c r="BA97" s="53"/>
      <c r="BB97" s="53"/>
      <c r="BC97" s="53"/>
      <c r="BD97" s="53"/>
      <c r="BE97" s="53"/>
      <c r="BF97" s="110"/>
      <c r="BG97" s="110"/>
      <c r="BH97" s="97"/>
      <c r="BI97" s="204"/>
      <c r="BJ97" s="99"/>
      <c r="BK97" s="99"/>
      <c r="BL97" s="204"/>
      <c r="BM97" s="99"/>
      <c r="BN97" s="161"/>
      <c r="BO97" s="203"/>
      <c r="BP97" s="161"/>
      <c r="BQ97" s="161"/>
      <c r="BR97" s="299">
        <f t="shared" si="341"/>
        <v>0</v>
      </c>
      <c r="BS97" s="298">
        <f t="shared" si="342"/>
        <v>731</v>
      </c>
      <c r="BT97" s="298">
        <f t="shared" si="343"/>
        <v>1096</v>
      </c>
      <c r="BU97" s="298"/>
      <c r="BV97" s="298" t="str">
        <f t="shared" si="344"/>
        <v>oui</v>
      </c>
      <c r="BW97" s="672" t="e">
        <f t="shared" si="345"/>
        <v>#NUM!</v>
      </c>
      <c r="BX97" s="672" t="e">
        <f t="shared" si="346"/>
        <v>#NUM!</v>
      </c>
      <c r="BY97" s="672" t="e">
        <f t="shared" si="347"/>
        <v>#NUM!</v>
      </c>
      <c r="BZ97" s="824"/>
      <c r="CA97" s="832"/>
      <c r="CB97" s="826"/>
      <c r="CC97" s="826"/>
      <c r="CD97" s="826"/>
      <c r="CE97" s="826"/>
      <c r="CF97" s="819"/>
      <c r="CG97" s="819"/>
      <c r="CH97" s="819"/>
      <c r="CI97" s="819"/>
      <c r="CJ97" s="819"/>
      <c r="CK97" s="819"/>
      <c r="CL97" s="819"/>
      <c r="CM97" s="819"/>
      <c r="CN97" s="819"/>
      <c r="CO97" s="819"/>
      <c r="CP97" s="819"/>
      <c r="CQ97" s="819"/>
      <c r="CR97" s="819"/>
      <c r="CS97" s="159"/>
      <c r="CT97" s="250"/>
      <c r="CU97" s="250"/>
      <c r="CV97" s="158"/>
      <c r="CW97" s="250"/>
      <c r="CX97" s="250"/>
      <c r="CY97" s="250"/>
      <c r="CZ97" s="405"/>
      <c r="DA97" s="405"/>
      <c r="DB97" s="540"/>
      <c r="DC97" s="543"/>
      <c r="DD97" s="543"/>
      <c r="DE97" s="545" t="str">
        <f t="shared" si="392"/>
        <v>0</v>
      </c>
      <c r="DF97" s="543"/>
      <c r="DG97" s="543"/>
      <c r="DH97" s="545" t="str">
        <f t="shared" si="348"/>
        <v>0</v>
      </c>
      <c r="DI97" s="543"/>
      <c r="DJ97" s="543"/>
      <c r="DK97" s="545" t="str">
        <f t="shared" si="349"/>
        <v>0</v>
      </c>
      <c r="DL97" s="543"/>
      <c r="DM97" s="543"/>
      <c r="DN97" s="545" t="str">
        <f t="shared" si="350"/>
        <v>0</v>
      </c>
      <c r="DO97" s="546"/>
      <c r="DP97" s="547"/>
      <c r="DQ97" s="545" t="str">
        <f t="shared" si="351"/>
        <v>0</v>
      </c>
      <c r="DR97" s="451"/>
      <c r="DS97" s="548"/>
      <c r="DT97" s="527"/>
      <c r="DU97" s="528"/>
      <c r="DV97" s="529" t="str">
        <f t="shared" si="352"/>
        <v>0</v>
      </c>
      <c r="DW97" s="527"/>
      <c r="DX97" s="686">
        <v>44378</v>
      </c>
      <c r="DY97" s="344"/>
      <c r="DZ97" s="442">
        <f t="shared" si="353"/>
        <v>1479.2666666666667</v>
      </c>
      <c r="EA97" s="529" t="str">
        <f t="shared" si="354"/>
        <v>0</v>
      </c>
      <c r="EB97" s="687">
        <v>16</v>
      </c>
      <c r="EC97" s="241">
        <f t="shared" si="355"/>
        <v>17</v>
      </c>
      <c r="ED97" s="527"/>
      <c r="EE97" s="533">
        <f t="shared" ca="1" si="356"/>
        <v>43423</v>
      </c>
      <c r="EF97" s="529" t="str">
        <f t="shared" ca="1" si="357"/>
        <v>0</v>
      </c>
      <c r="EG97" s="527"/>
      <c r="EH97" s="551"/>
      <c r="EI97" s="530" t="str">
        <f t="shared" si="358"/>
        <v>0</v>
      </c>
      <c r="EJ97" s="531"/>
      <c r="EK97" s="532">
        <f ca="1">IF(EJ97&lt;TODAY(),TODAY(),EJ97)</f>
        <v>43423</v>
      </c>
      <c r="EL97" s="529" t="str">
        <f t="shared" ca="1" si="359"/>
        <v>0</v>
      </c>
      <c r="EM97" s="528"/>
      <c r="EN97" s="533"/>
      <c r="EO97" s="529" t="str">
        <f t="shared" si="360"/>
        <v>0</v>
      </c>
      <c r="EP97" s="535"/>
      <c r="EQ97" s="535"/>
      <c r="ER97" s="529" t="str">
        <f t="shared" si="361"/>
        <v>0</v>
      </c>
      <c r="ES97" s="535"/>
      <c r="ET97" s="535"/>
      <c r="EU97" s="529" t="str">
        <f t="shared" si="362"/>
        <v>0</v>
      </c>
      <c r="EV97" s="533"/>
      <c r="EW97" s="533">
        <f t="shared" ca="1" si="363"/>
        <v>43423</v>
      </c>
      <c r="EX97" s="529" t="str">
        <f t="shared" ca="1" si="364"/>
        <v>0</v>
      </c>
      <c r="EY97" s="535"/>
      <c r="EZ97" s="535"/>
      <c r="FA97" s="535"/>
      <c r="FB97" s="731">
        <f t="shared" si="365"/>
        <v>44866</v>
      </c>
      <c r="FC97" s="730">
        <f t="shared" si="366"/>
        <v>44896</v>
      </c>
      <c r="FD97" s="727">
        <f t="shared" si="291"/>
        <v>1</v>
      </c>
      <c r="FE97" s="573"/>
      <c r="FF97" s="242"/>
      <c r="FG97" s="242"/>
      <c r="FH97" s="186">
        <f t="shared" si="367"/>
        <v>44927</v>
      </c>
      <c r="FI97" s="461"/>
      <c r="FJ97" s="571">
        <f t="shared" si="368"/>
        <v>44896</v>
      </c>
      <c r="FK97" s="730">
        <f t="shared" si="369"/>
        <v>44958</v>
      </c>
      <c r="FL97" s="574"/>
      <c r="FM97" s="724">
        <f t="shared" si="393"/>
        <v>2.0666666666666669</v>
      </c>
      <c r="FN97" s="700"/>
      <c r="FO97" s="246">
        <f t="shared" si="292"/>
        <v>0</v>
      </c>
      <c r="FP97" s="117"/>
      <c r="FQ97" s="556"/>
      <c r="FR97" s="556">
        <v>0</v>
      </c>
      <c r="FS97" s="556"/>
      <c r="FT97" s="556"/>
      <c r="FU97" s="556"/>
      <c r="FV97" s="556"/>
      <c r="FW97" s="553"/>
      <c r="FX97" s="566"/>
      <c r="FY97" s="553"/>
      <c r="FZ97" s="553"/>
      <c r="GA97" s="121"/>
      <c r="GB97" s="121"/>
      <c r="GC97" s="121"/>
      <c r="GD97" s="121"/>
      <c r="GE97" s="121"/>
      <c r="GF97" s="53"/>
      <c r="GG97" s="280">
        <f t="shared" si="370"/>
        <v>45261</v>
      </c>
      <c r="GH97" s="280"/>
      <c r="GI97" s="53"/>
      <c r="GJ97" s="53"/>
      <c r="GK97" s="53"/>
      <c r="GL97" s="53"/>
      <c r="GM97" s="53"/>
      <c r="GN97" s="53"/>
      <c r="GO97" s="53"/>
      <c r="GP97" s="53"/>
      <c r="GQ97" s="53"/>
      <c r="GR97" s="53"/>
      <c r="GS97" s="53"/>
      <c r="GT97" s="53"/>
      <c r="GU97" s="53"/>
      <c r="GV97" s="112"/>
      <c r="GW97" s="112"/>
      <c r="GX97" s="387">
        <f t="shared" si="371"/>
        <v>0</v>
      </c>
      <c r="GY97" s="387">
        <f>HJ97+HO97+HV97+IO97+HW97+HZ97</f>
        <v>0</v>
      </c>
      <c r="GZ97" s="387"/>
      <c r="HA97" s="387">
        <f t="shared" si="372"/>
        <v>0</v>
      </c>
      <c r="HB97" s="387" t="e">
        <f t="shared" si="373"/>
        <v>#DIV/0!</v>
      </c>
      <c r="HC97" s="387">
        <f t="shared" si="374"/>
        <v>0</v>
      </c>
      <c r="HD97" s="387"/>
      <c r="HE97" s="387"/>
      <c r="HF97" s="387">
        <f t="shared" si="375"/>
        <v>0</v>
      </c>
      <c r="HG97" s="107" t="e">
        <f t="shared" si="376"/>
        <v>#DIV/0!</v>
      </c>
      <c r="HH97" s="107">
        <v>0.4</v>
      </c>
      <c r="HI97" s="387"/>
      <c r="HJ97" s="387"/>
      <c r="HK97" s="387"/>
      <c r="HL97" s="387">
        <f t="shared" si="377"/>
        <v>0</v>
      </c>
      <c r="HM97" s="387"/>
      <c r="HN97" s="387"/>
      <c r="HO97" s="387">
        <f t="shared" si="394"/>
        <v>0</v>
      </c>
      <c r="HP97" s="387"/>
      <c r="HQ97" s="387"/>
      <c r="HR97" s="387">
        <f t="shared" si="378"/>
        <v>0</v>
      </c>
      <c r="HS97" s="683">
        <f t="shared" si="379"/>
        <v>0</v>
      </c>
      <c r="HT97" s="387"/>
      <c r="HU97" s="387"/>
      <c r="HV97" s="387"/>
      <c r="HW97" s="387"/>
      <c r="HX97" s="393" t="e">
        <f t="shared" si="380"/>
        <v>#DIV/0!</v>
      </c>
      <c r="HY97" s="393"/>
      <c r="HZ97" s="387"/>
      <c r="IA97" s="387">
        <f t="shared" si="381"/>
        <v>0</v>
      </c>
      <c r="IB97" s="387">
        <f t="shared" si="382"/>
        <v>0</v>
      </c>
      <c r="IC97" s="390">
        <f t="shared" si="383"/>
        <v>0</v>
      </c>
      <c r="ID97" s="387">
        <f t="shared" si="384"/>
        <v>0</v>
      </c>
      <c r="IE97" s="391">
        <v>6.31</v>
      </c>
      <c r="IF97" s="391"/>
      <c r="IG97" s="387"/>
      <c r="IH97" s="387"/>
      <c r="II97" s="387">
        <f t="shared" si="385"/>
        <v>0</v>
      </c>
      <c r="IJ97" s="387"/>
      <c r="IK97" s="387">
        <f t="shared" si="386"/>
        <v>0</v>
      </c>
      <c r="IL97" s="107" t="e">
        <f t="shared" si="387"/>
        <v>#DIV/0!</v>
      </c>
      <c r="IM97" s="387"/>
      <c r="IN97" s="387"/>
      <c r="IO97" s="387">
        <f t="shared" si="388"/>
        <v>0</v>
      </c>
      <c r="IP97" s="394">
        <f t="shared" si="389"/>
        <v>0</v>
      </c>
      <c r="IQ97" s="277"/>
      <c r="IR97" s="277">
        <f t="shared" si="390"/>
        <v>0</v>
      </c>
      <c r="IS97" s="278"/>
      <c r="IT97" s="281">
        <v>0</v>
      </c>
      <c r="IU97" s="281"/>
      <c r="IV97" s="253"/>
      <c r="IW97" s="253"/>
      <c r="IX97" s="385">
        <v>0</v>
      </c>
      <c r="IY97" s="261"/>
      <c r="IZ97" s="274">
        <v>0</v>
      </c>
      <c r="JA97" s="261"/>
      <c r="JB97" s="460"/>
      <c r="JC97" s="279"/>
      <c r="JD97" s="284"/>
      <c r="JE97" s="282"/>
      <c r="JF97" s="282"/>
      <c r="JG97" s="276"/>
      <c r="JH97" s="277"/>
      <c r="JI97" s="276"/>
      <c r="JJ97" s="277"/>
      <c r="JK97" s="300"/>
      <c r="JL97" s="300"/>
      <c r="JM97" s="300"/>
      <c r="JN97" s="300"/>
      <c r="JO97" s="269"/>
      <c r="JP97" s="269"/>
      <c r="JQ97" s="269"/>
      <c r="JR97" s="269"/>
      <c r="JS97" s="269"/>
      <c r="JT97" s="269"/>
      <c r="JU97" s="281" t="e">
        <f t="shared" si="391"/>
        <v>#VALUE!</v>
      </c>
      <c r="JV97" s="117"/>
      <c r="JW97" s="279"/>
      <c r="JX97" s="117"/>
      <c r="JY97" s="117"/>
      <c r="JZ97" s="279"/>
    </row>
    <row r="98" spans="1:286" ht="15" customHeight="1">
      <c r="A98" s="294" t="s">
        <v>458</v>
      </c>
      <c r="B98" s="294"/>
      <c r="C98" s="53" t="s">
        <v>35</v>
      </c>
      <c r="D98" s="53" t="s">
        <v>112</v>
      </c>
      <c r="E98" s="53">
        <v>2020</v>
      </c>
      <c r="F98" s="53"/>
      <c r="G98" s="53" t="s">
        <v>433</v>
      </c>
      <c r="H98" s="53"/>
      <c r="I98" s="53" t="s">
        <v>404</v>
      </c>
      <c r="J98" s="53"/>
      <c r="K98" s="53" t="s">
        <v>245</v>
      </c>
      <c r="L98" s="255" t="s">
        <v>486</v>
      </c>
      <c r="M98" s="166"/>
      <c r="N98" s="167"/>
      <c r="O98" s="168"/>
      <c r="P98" s="231"/>
      <c r="Q98" s="231"/>
      <c r="R98" s="231"/>
      <c r="S98" s="231"/>
      <c r="T98" s="231"/>
      <c r="U98" s="604"/>
      <c r="V98" s="604"/>
      <c r="W98" s="604"/>
      <c r="X98" s="231"/>
      <c r="Y98" s="208"/>
      <c r="Z98" s="907" t="e">
        <f t="shared" si="282"/>
        <v>#DIV/0!</v>
      </c>
      <c r="AA98" s="208"/>
      <c r="AB98" s="208"/>
      <c r="AC98" s="209"/>
      <c r="AD98" s="53" t="s">
        <v>432</v>
      </c>
      <c r="AE98" s="771">
        <f t="shared" si="339"/>
        <v>83</v>
      </c>
      <c r="AF98" s="771">
        <f t="shared" si="340"/>
        <v>0</v>
      </c>
      <c r="AG98" s="64"/>
      <c r="AH98" s="114"/>
      <c r="AI98" s="114"/>
      <c r="AJ98" s="193">
        <v>83</v>
      </c>
      <c r="AK98" s="269"/>
      <c r="AL98" s="57"/>
      <c r="AM98" s="57"/>
      <c r="AN98" s="225"/>
      <c r="AO98" s="57"/>
      <c r="AP98" s="78"/>
      <c r="AQ98" s="78"/>
      <c r="AR98" s="78"/>
      <c r="AS98" s="78"/>
      <c r="AT98" s="78"/>
      <c r="AU98" s="57"/>
      <c r="AV98" s="76"/>
      <c r="AW98" s="78"/>
      <c r="AX98" s="57"/>
      <c r="AY98" s="53"/>
      <c r="AZ98" s="53"/>
      <c r="BA98" s="53"/>
      <c r="BB98" s="53"/>
      <c r="BC98" s="53"/>
      <c r="BD98" s="53"/>
      <c r="BE98" s="53"/>
      <c r="BF98" s="110"/>
      <c r="BG98" s="110"/>
      <c r="BH98" s="97"/>
      <c r="BI98" s="204"/>
      <c r="BJ98" s="99"/>
      <c r="BK98" s="99"/>
      <c r="BL98" s="204"/>
      <c r="BM98" s="99"/>
      <c r="BN98" s="161"/>
      <c r="BO98" s="203"/>
      <c r="BP98" s="161"/>
      <c r="BQ98" s="161"/>
      <c r="BR98" s="299">
        <f t="shared" si="341"/>
        <v>0</v>
      </c>
      <c r="BS98" s="298">
        <f t="shared" si="342"/>
        <v>731</v>
      </c>
      <c r="BT98" s="298">
        <f t="shared" si="343"/>
        <v>1096</v>
      </c>
      <c r="BU98" s="298"/>
      <c r="BV98" s="298" t="str">
        <f t="shared" si="344"/>
        <v>oui</v>
      </c>
      <c r="BW98" s="672" t="e">
        <f t="shared" si="345"/>
        <v>#NUM!</v>
      </c>
      <c r="BX98" s="672" t="e">
        <f t="shared" si="346"/>
        <v>#NUM!</v>
      </c>
      <c r="BY98" s="672" t="e">
        <f t="shared" si="347"/>
        <v>#NUM!</v>
      </c>
      <c r="BZ98" s="824"/>
      <c r="CA98" s="832"/>
      <c r="CB98" s="826"/>
      <c r="CC98" s="826"/>
      <c r="CD98" s="826"/>
      <c r="CE98" s="826"/>
      <c r="CF98" s="819"/>
      <c r="CG98" s="819"/>
      <c r="CH98" s="819"/>
      <c r="CI98" s="819"/>
      <c r="CJ98" s="819"/>
      <c r="CK98" s="819"/>
      <c r="CL98" s="819"/>
      <c r="CM98" s="819"/>
      <c r="CN98" s="819"/>
      <c r="CO98" s="819"/>
      <c r="CP98" s="819"/>
      <c r="CQ98" s="819"/>
      <c r="CR98" s="819"/>
      <c r="CS98" s="159"/>
      <c r="CT98" s="250"/>
      <c r="CU98" s="250"/>
      <c r="CV98" s="158"/>
      <c r="CW98" s="250"/>
      <c r="CX98" s="250"/>
      <c r="CY98" s="250"/>
      <c r="CZ98" s="405"/>
      <c r="DA98" s="405"/>
      <c r="DB98" s="540"/>
      <c r="DC98" s="543"/>
      <c r="DD98" s="543"/>
      <c r="DE98" s="545" t="str">
        <f t="shared" si="392"/>
        <v>0</v>
      </c>
      <c r="DF98" s="543"/>
      <c r="DG98" s="543"/>
      <c r="DH98" s="545" t="str">
        <f t="shared" si="348"/>
        <v>0</v>
      </c>
      <c r="DI98" s="543"/>
      <c r="DJ98" s="543"/>
      <c r="DK98" s="545" t="str">
        <f t="shared" si="349"/>
        <v>0</v>
      </c>
      <c r="DL98" s="543"/>
      <c r="DM98" s="543"/>
      <c r="DN98" s="545" t="str">
        <f t="shared" si="350"/>
        <v>0</v>
      </c>
      <c r="DO98" s="546"/>
      <c r="DP98" s="547"/>
      <c r="DQ98" s="545" t="str">
        <f t="shared" si="351"/>
        <v>0</v>
      </c>
      <c r="DR98" s="451"/>
      <c r="DS98" s="548"/>
      <c r="DT98" s="527"/>
      <c r="DU98" s="528"/>
      <c r="DV98" s="529" t="str">
        <f t="shared" si="352"/>
        <v>0</v>
      </c>
      <c r="DW98" s="527"/>
      <c r="DX98" s="686">
        <v>44378</v>
      </c>
      <c r="DY98" s="344"/>
      <c r="DZ98" s="442">
        <f t="shared" si="353"/>
        <v>1479.2666666666667</v>
      </c>
      <c r="EA98" s="529" t="str">
        <f t="shared" si="354"/>
        <v>0</v>
      </c>
      <c r="EB98" s="687">
        <v>16</v>
      </c>
      <c r="EC98" s="241">
        <f t="shared" si="355"/>
        <v>17</v>
      </c>
      <c r="ED98" s="527"/>
      <c r="EE98" s="533">
        <f t="shared" ca="1" si="356"/>
        <v>43423</v>
      </c>
      <c r="EF98" s="529" t="str">
        <f t="shared" ca="1" si="357"/>
        <v>0</v>
      </c>
      <c r="EG98" s="527"/>
      <c r="EH98" s="551"/>
      <c r="EI98" s="530" t="str">
        <f t="shared" si="358"/>
        <v>0</v>
      </c>
      <c r="EJ98" s="531"/>
      <c r="EK98" s="532">
        <f ca="1">IF(EJ98&lt;TODAY(),TODAY(),EJ98)</f>
        <v>43423</v>
      </c>
      <c r="EL98" s="529" t="str">
        <f t="shared" ca="1" si="359"/>
        <v>0</v>
      </c>
      <c r="EM98" s="528"/>
      <c r="EN98" s="533"/>
      <c r="EO98" s="529" t="str">
        <f t="shared" si="360"/>
        <v>0</v>
      </c>
      <c r="EP98" s="535"/>
      <c r="EQ98" s="535"/>
      <c r="ER98" s="529" t="str">
        <f t="shared" si="361"/>
        <v>0</v>
      </c>
      <c r="ES98" s="535"/>
      <c r="ET98" s="535"/>
      <c r="EU98" s="529" t="str">
        <f t="shared" si="362"/>
        <v>0</v>
      </c>
      <c r="EV98" s="533"/>
      <c r="EW98" s="533">
        <f t="shared" ca="1" si="363"/>
        <v>43423</v>
      </c>
      <c r="EX98" s="529" t="str">
        <f t="shared" ca="1" si="364"/>
        <v>0</v>
      </c>
      <c r="EY98" s="535"/>
      <c r="EZ98" s="535"/>
      <c r="FA98" s="535"/>
      <c r="FB98" s="731">
        <f t="shared" si="365"/>
        <v>44866</v>
      </c>
      <c r="FC98" s="730">
        <f t="shared" si="366"/>
        <v>44896</v>
      </c>
      <c r="FD98" s="727">
        <f t="shared" si="291"/>
        <v>1</v>
      </c>
      <c r="FE98" s="573"/>
      <c r="FF98" s="242"/>
      <c r="FG98" s="242"/>
      <c r="FH98" s="186">
        <f t="shared" si="367"/>
        <v>44927</v>
      </c>
      <c r="FI98" s="461"/>
      <c r="FJ98" s="571">
        <f t="shared" si="368"/>
        <v>44896</v>
      </c>
      <c r="FK98" s="730">
        <f t="shared" si="369"/>
        <v>44958</v>
      </c>
      <c r="FL98" s="574"/>
      <c r="FM98" s="724">
        <f t="shared" si="393"/>
        <v>2.0666666666666669</v>
      </c>
      <c r="FN98" s="700"/>
      <c r="FO98" s="246">
        <f t="shared" si="292"/>
        <v>0</v>
      </c>
      <c r="FP98" s="117"/>
      <c r="FQ98" s="556"/>
      <c r="FR98" s="556">
        <v>0</v>
      </c>
      <c r="FS98" s="556"/>
      <c r="FT98" s="556"/>
      <c r="FU98" s="556"/>
      <c r="FV98" s="556"/>
      <c r="FW98" s="553"/>
      <c r="FX98" s="566"/>
      <c r="FY98" s="553"/>
      <c r="FZ98" s="553"/>
      <c r="GA98" s="121"/>
      <c r="GB98" s="121"/>
      <c r="GC98" s="121"/>
      <c r="GD98" s="121"/>
      <c r="GE98" s="121"/>
      <c r="GF98" s="53"/>
      <c r="GG98" s="280">
        <f t="shared" si="370"/>
        <v>45261</v>
      </c>
      <c r="GH98" s="280"/>
      <c r="GI98" s="53"/>
      <c r="GJ98" s="53"/>
      <c r="GK98" s="53"/>
      <c r="GL98" s="53"/>
      <c r="GM98" s="53"/>
      <c r="GN98" s="53"/>
      <c r="GO98" s="53"/>
      <c r="GP98" s="53"/>
      <c r="GQ98" s="53"/>
      <c r="GR98" s="53"/>
      <c r="GS98" s="53"/>
      <c r="GT98" s="53"/>
      <c r="GU98" s="53"/>
      <c r="GV98" s="112"/>
      <c r="GW98" s="112"/>
      <c r="GX98" s="387">
        <f t="shared" si="371"/>
        <v>0</v>
      </c>
      <c r="GY98" s="387">
        <f>HJ98+HO98+HV98+IO98+HW98+HZ98</f>
        <v>0</v>
      </c>
      <c r="GZ98" s="387"/>
      <c r="HA98" s="387">
        <f t="shared" si="372"/>
        <v>0</v>
      </c>
      <c r="HB98" s="387" t="e">
        <f t="shared" si="373"/>
        <v>#DIV/0!</v>
      </c>
      <c r="HC98" s="387">
        <f t="shared" si="374"/>
        <v>0</v>
      </c>
      <c r="HD98" s="387"/>
      <c r="HE98" s="387"/>
      <c r="HF98" s="387">
        <f t="shared" si="375"/>
        <v>0</v>
      </c>
      <c r="HG98" s="107" t="e">
        <f t="shared" si="376"/>
        <v>#DIV/0!</v>
      </c>
      <c r="HH98" s="107">
        <v>0.4</v>
      </c>
      <c r="HI98" s="387"/>
      <c r="HJ98" s="387"/>
      <c r="HK98" s="387"/>
      <c r="HL98" s="387">
        <f t="shared" si="377"/>
        <v>0</v>
      </c>
      <c r="HM98" s="387"/>
      <c r="HN98" s="387"/>
      <c r="HO98" s="387">
        <f t="shared" si="394"/>
        <v>0</v>
      </c>
      <c r="HP98" s="387"/>
      <c r="HQ98" s="387"/>
      <c r="HR98" s="387">
        <f t="shared" si="378"/>
        <v>0</v>
      </c>
      <c r="HS98" s="683">
        <f t="shared" si="379"/>
        <v>0</v>
      </c>
      <c r="HT98" s="387"/>
      <c r="HU98" s="387"/>
      <c r="HV98" s="387"/>
      <c r="HW98" s="387"/>
      <c r="HX98" s="393" t="e">
        <f t="shared" si="380"/>
        <v>#DIV/0!</v>
      </c>
      <c r="HY98" s="393"/>
      <c r="HZ98" s="387"/>
      <c r="IA98" s="387">
        <f t="shared" si="381"/>
        <v>0</v>
      </c>
      <c r="IB98" s="387">
        <f t="shared" si="382"/>
        <v>0</v>
      </c>
      <c r="IC98" s="390">
        <f t="shared" si="383"/>
        <v>0</v>
      </c>
      <c r="ID98" s="387">
        <f t="shared" si="384"/>
        <v>0</v>
      </c>
      <c r="IE98" s="391">
        <v>6.31</v>
      </c>
      <c r="IF98" s="391"/>
      <c r="IG98" s="387"/>
      <c r="IH98" s="387"/>
      <c r="II98" s="387">
        <f t="shared" si="385"/>
        <v>0</v>
      </c>
      <c r="IJ98" s="387"/>
      <c r="IK98" s="387">
        <f t="shared" si="386"/>
        <v>0</v>
      </c>
      <c r="IL98" s="107" t="e">
        <f t="shared" si="387"/>
        <v>#DIV/0!</v>
      </c>
      <c r="IM98" s="387"/>
      <c r="IN98" s="387"/>
      <c r="IO98" s="387">
        <f t="shared" si="388"/>
        <v>0</v>
      </c>
      <c r="IP98" s="394">
        <f t="shared" si="389"/>
        <v>0</v>
      </c>
      <c r="IQ98" s="277"/>
      <c r="IR98" s="277">
        <f t="shared" si="390"/>
        <v>0</v>
      </c>
      <c r="IS98" s="278"/>
      <c r="IT98" s="281">
        <v>0</v>
      </c>
      <c r="IU98" s="281"/>
      <c r="IV98" s="253"/>
      <c r="IW98" s="253"/>
      <c r="IX98" s="385">
        <v>0</v>
      </c>
      <c r="IY98" s="261"/>
      <c r="IZ98" s="274">
        <v>0</v>
      </c>
      <c r="JA98" s="261"/>
      <c r="JB98" s="460"/>
      <c r="JC98" s="279"/>
      <c r="JD98" s="284"/>
      <c r="JE98" s="282"/>
      <c r="JF98" s="282"/>
      <c r="JG98" s="276"/>
      <c r="JH98" s="277"/>
      <c r="JI98" s="276"/>
      <c r="JJ98" s="277"/>
      <c r="JK98" s="300"/>
      <c r="JL98" s="300"/>
      <c r="JM98" s="300"/>
      <c r="JN98" s="300"/>
      <c r="JO98" s="269"/>
      <c r="JP98" s="269"/>
      <c r="JQ98" s="269"/>
      <c r="JR98" s="269"/>
      <c r="JS98" s="269"/>
      <c r="JT98" s="269"/>
      <c r="JU98" s="281" t="e">
        <f t="shared" si="391"/>
        <v>#VALUE!</v>
      </c>
      <c r="JV98" s="117"/>
      <c r="JW98" s="279"/>
      <c r="JX98" s="117"/>
      <c r="JY98" s="117"/>
      <c r="JZ98" s="279"/>
    </row>
    <row r="99" spans="1:286" ht="15" customHeight="1">
      <c r="A99" s="815" t="s">
        <v>614</v>
      </c>
      <c r="B99" s="815"/>
      <c r="C99" s="53" t="s">
        <v>35</v>
      </c>
      <c r="D99" s="53" t="s">
        <v>112</v>
      </c>
      <c r="E99" s="53">
        <v>2021</v>
      </c>
      <c r="F99" s="53"/>
      <c r="G99" s="53"/>
      <c r="H99" s="53"/>
      <c r="I99" s="55" t="s">
        <v>404</v>
      </c>
      <c r="J99" s="53"/>
      <c r="K99" s="53" t="s">
        <v>918</v>
      </c>
      <c r="L99" s="255" t="s">
        <v>917</v>
      </c>
      <c r="M99" s="166"/>
      <c r="N99" s="167"/>
      <c r="O99" s="168"/>
      <c r="P99" s="207">
        <v>3115</v>
      </c>
      <c r="Q99" s="207"/>
      <c r="R99" s="207"/>
      <c r="S99" s="207">
        <f t="shared" ref="S99:S127" si="395">Q99/AE99</f>
        <v>0</v>
      </c>
      <c r="T99" s="207">
        <f t="shared" ref="T99:T125" si="396">Q99/P99</f>
        <v>0</v>
      </c>
      <c r="U99" s="213">
        <f t="shared" ref="U99:U125" si="397">R99/P99</f>
        <v>0</v>
      </c>
      <c r="V99" s="213" t="e">
        <f>R99/AN99</f>
        <v>#DIV/0!</v>
      </c>
      <c r="W99" s="213">
        <f t="shared" ref="W99:W127" si="398">R99/AE99</f>
        <v>0</v>
      </c>
      <c r="X99" s="207">
        <f t="shared" ref="X99:X125" si="399">P99/AE99</f>
        <v>77.875</v>
      </c>
      <c r="Y99" s="208"/>
      <c r="Z99" s="907">
        <f t="shared" si="282"/>
        <v>128.41091492776886</v>
      </c>
      <c r="AA99" s="208" t="s">
        <v>188</v>
      </c>
      <c r="AB99" s="208">
        <v>490</v>
      </c>
      <c r="AC99" s="209">
        <v>0.1</v>
      </c>
      <c r="AD99" s="53" t="s">
        <v>16</v>
      </c>
      <c r="AE99" s="771">
        <f t="shared" si="339"/>
        <v>40</v>
      </c>
      <c r="AF99" s="771">
        <f t="shared" si="340"/>
        <v>40</v>
      </c>
      <c r="AG99" s="64"/>
      <c r="AH99" s="53">
        <v>40</v>
      </c>
      <c r="AI99" s="64"/>
      <c r="AJ99" s="53"/>
      <c r="AK99" s="807"/>
      <c r="AL99" s="57"/>
      <c r="AM99" s="804"/>
      <c r="AN99" s="92"/>
      <c r="AO99" s="57">
        <f t="shared" ref="AO99:AO104" si="400">AN99/AE99</f>
        <v>0</v>
      </c>
      <c r="AP99" s="78"/>
      <c r="AQ99" s="78"/>
      <c r="AR99" s="78"/>
      <c r="AS99" s="78"/>
      <c r="AT99" s="78"/>
      <c r="AU99" s="57"/>
      <c r="AV99" s="76"/>
      <c r="AW99" s="78"/>
      <c r="AX99" s="57"/>
      <c r="AY99" s="56"/>
      <c r="AZ99" s="53"/>
      <c r="BA99" s="53"/>
      <c r="BB99" s="53"/>
      <c r="BC99" s="184">
        <v>43229</v>
      </c>
      <c r="BD99" s="237"/>
      <c r="BE99" s="184"/>
      <c r="BF99" s="110" t="s">
        <v>168</v>
      </c>
      <c r="BG99" s="110" t="s">
        <v>168</v>
      </c>
      <c r="BH99" s="97"/>
      <c r="BI99" s="204"/>
      <c r="BJ99" s="99"/>
      <c r="BK99" s="99"/>
      <c r="BL99" s="204"/>
      <c r="BM99" s="99"/>
      <c r="BN99" s="161"/>
      <c r="BO99" s="203"/>
      <c r="BP99" s="161"/>
      <c r="BQ99" s="161"/>
      <c r="BR99" s="299">
        <f t="shared" si="341"/>
        <v>0</v>
      </c>
      <c r="BS99" s="298">
        <f t="shared" si="342"/>
        <v>731</v>
      </c>
      <c r="BT99" s="298">
        <f t="shared" si="343"/>
        <v>1096</v>
      </c>
      <c r="BU99" s="298"/>
      <c r="BV99" s="298" t="str">
        <f t="shared" si="344"/>
        <v>oui</v>
      </c>
      <c r="BW99" s="672" t="e">
        <f t="shared" si="345"/>
        <v>#NUM!</v>
      </c>
      <c r="BX99" s="672" t="e">
        <f t="shared" si="346"/>
        <v>#NUM!</v>
      </c>
      <c r="BY99" s="672" t="e">
        <f t="shared" si="347"/>
        <v>#NUM!</v>
      </c>
      <c r="BZ99" s="824"/>
      <c r="CA99" s="832"/>
      <c r="CB99" s="826"/>
      <c r="CC99" s="826"/>
      <c r="CD99" s="826"/>
      <c r="CE99" s="826"/>
      <c r="CF99" s="819"/>
      <c r="CG99" s="819"/>
      <c r="CH99" s="819"/>
      <c r="CI99" s="819"/>
      <c r="CJ99" s="819"/>
      <c r="CK99" s="819"/>
      <c r="CL99" s="819"/>
      <c r="CM99" s="819"/>
      <c r="CN99" s="819"/>
      <c r="CO99" s="819"/>
      <c r="CP99" s="819"/>
      <c r="CQ99" s="819"/>
      <c r="CR99" s="819"/>
      <c r="CS99" s="159"/>
      <c r="CT99" s="250"/>
      <c r="CU99" s="250"/>
      <c r="CV99" s="158"/>
      <c r="CW99" s="250"/>
      <c r="CX99" s="250"/>
      <c r="CY99" s="250"/>
      <c r="CZ99" s="250"/>
      <c r="DA99" s="597"/>
      <c r="DB99" s="540"/>
      <c r="DC99" s="543"/>
      <c r="DD99" s="543"/>
      <c r="DE99" s="545"/>
      <c r="DF99" s="543"/>
      <c r="DG99" s="543"/>
      <c r="DH99" s="545"/>
      <c r="DI99" s="543"/>
      <c r="DJ99" s="543"/>
      <c r="DK99" s="545"/>
      <c r="DL99" s="543"/>
      <c r="DM99" s="543"/>
      <c r="DN99" s="545"/>
      <c r="DO99" s="546"/>
      <c r="DP99" s="547"/>
      <c r="DQ99" s="545"/>
      <c r="DR99" s="451"/>
      <c r="DS99" s="548"/>
      <c r="DT99" s="527"/>
      <c r="DU99" s="528"/>
      <c r="DV99" s="529"/>
      <c r="DW99" s="527"/>
      <c r="DX99" s="686">
        <v>44743</v>
      </c>
      <c r="DY99" s="344"/>
      <c r="DZ99" s="442"/>
      <c r="EA99" s="529" t="str">
        <f t="shared" si="354"/>
        <v>0</v>
      </c>
      <c r="EB99" s="687">
        <v>16</v>
      </c>
      <c r="EC99" s="241">
        <f t="shared" si="355"/>
        <v>19</v>
      </c>
      <c r="ED99" s="527"/>
      <c r="EE99" s="533">
        <f t="shared" ca="1" si="356"/>
        <v>43423</v>
      </c>
      <c r="EF99" s="529" t="str">
        <f t="shared" ca="1" si="357"/>
        <v>0</v>
      </c>
      <c r="EG99" s="527"/>
      <c r="EH99" s="551">
        <f ca="1">IF(EG99&lt;TODAY(),TODAY(),EG99)</f>
        <v>43423</v>
      </c>
      <c r="EI99" s="530"/>
      <c r="EJ99" s="531"/>
      <c r="EK99" s="532"/>
      <c r="EL99" s="529" t="str">
        <f t="shared" si="359"/>
        <v>0</v>
      </c>
      <c r="EM99" s="527"/>
      <c r="EN99" s="533">
        <f ca="1">IF(EM99&lt;TODAY(),TODAY(),EM99)</f>
        <v>43423</v>
      </c>
      <c r="EO99" s="529" t="str">
        <f t="shared" ca="1" si="360"/>
        <v>0</v>
      </c>
      <c r="EP99" s="533"/>
      <c r="EQ99" s="533">
        <f ca="1">IF(EP99&lt;TODAY(),TODAY(),EP99)</f>
        <v>43423</v>
      </c>
      <c r="ER99" s="529" t="str">
        <f t="shared" ca="1" si="361"/>
        <v>0</v>
      </c>
      <c r="ES99" s="533"/>
      <c r="ET99" s="533">
        <f ca="1">IF(ES99&lt;TODAY(),TODAY(),ES99)</f>
        <v>43423</v>
      </c>
      <c r="EU99" s="529" t="str">
        <f t="shared" ca="1" si="362"/>
        <v>0</v>
      </c>
      <c r="EV99" s="533"/>
      <c r="EW99" s="533">
        <f t="shared" ca="1" si="363"/>
        <v>43423</v>
      </c>
      <c r="EX99" s="529" t="str">
        <f t="shared" ca="1" si="364"/>
        <v>0</v>
      </c>
      <c r="EY99" s="533"/>
      <c r="EZ99" s="533"/>
      <c r="FA99" s="533"/>
      <c r="FB99" s="616">
        <f t="shared" si="365"/>
        <v>45231</v>
      </c>
      <c r="FC99" s="401">
        <f>DATE(YEAR(FB99),MONTH(FB99)+3,DAY(FB99))</f>
        <v>45323</v>
      </c>
      <c r="FD99" s="727">
        <f t="shared" si="291"/>
        <v>3.0666666666666669</v>
      </c>
      <c r="FE99" s="573">
        <f>DATE(YEAR(CY99)+2,MONTH(CY99),DAY(CY99))</f>
        <v>731</v>
      </c>
      <c r="FF99" s="242"/>
      <c r="FG99" s="242"/>
      <c r="FH99" s="186">
        <f>DATE(YEAR(FC99),MONTH(FC99),DAY(FC99)+15)</f>
        <v>45338</v>
      </c>
      <c r="FI99" s="461"/>
      <c r="FJ99" s="571">
        <f t="shared" si="368"/>
        <v>45261</v>
      </c>
      <c r="FK99" s="450">
        <f t="shared" si="369"/>
        <v>45367</v>
      </c>
      <c r="FL99" s="574"/>
      <c r="FM99" s="724">
        <f t="shared" si="393"/>
        <v>3.5333333333333332</v>
      </c>
      <c r="FN99" s="700"/>
      <c r="FO99" s="246">
        <f t="shared" si="292"/>
        <v>0</v>
      </c>
      <c r="FP99" s="117"/>
      <c r="FQ99" s="556"/>
      <c r="FR99" s="556">
        <v>0</v>
      </c>
      <c r="FS99" s="556"/>
      <c r="FT99" s="556"/>
      <c r="FU99" s="556"/>
      <c r="FV99" s="749" t="e">
        <f>FU99/GY99</f>
        <v>#DIV/0!</v>
      </c>
      <c r="FW99" s="553"/>
      <c r="FX99" s="566"/>
      <c r="FY99" s="553"/>
      <c r="FZ99" s="553"/>
      <c r="GA99" s="121"/>
      <c r="GB99" s="121"/>
      <c r="GC99" s="121"/>
      <c r="GD99" s="121"/>
      <c r="GE99" s="121"/>
      <c r="GF99" s="53"/>
      <c r="GG99" s="280">
        <f t="shared" si="370"/>
        <v>45689</v>
      </c>
      <c r="GH99" s="280"/>
      <c r="GI99" s="53"/>
      <c r="GJ99" s="53"/>
      <c r="GK99" s="53"/>
      <c r="GL99" s="53"/>
      <c r="GM99" s="53"/>
      <c r="GN99" s="53"/>
      <c r="GO99" s="53"/>
      <c r="GP99" s="53"/>
      <c r="GQ99" s="53"/>
      <c r="GR99" s="53"/>
      <c r="GS99" s="53"/>
      <c r="GT99" s="53"/>
      <c r="GU99" s="53"/>
      <c r="GV99" s="112"/>
      <c r="GW99" s="112"/>
      <c r="GX99" s="93"/>
      <c r="GY99" s="67"/>
      <c r="GZ99" s="67">
        <f>GY99</f>
        <v>0</v>
      </c>
      <c r="HA99" s="94"/>
      <c r="HB99" s="49"/>
      <c r="HC99" s="49"/>
      <c r="HD99" s="93"/>
      <c r="HE99" s="67"/>
      <c r="HF99" s="94"/>
      <c r="HG99" s="128"/>
      <c r="HH99" s="129"/>
      <c r="HI99" s="93"/>
      <c r="HJ99" s="67"/>
      <c r="HK99" s="67"/>
      <c r="HL99" s="49"/>
      <c r="HM99" s="95"/>
      <c r="HN99" s="93"/>
      <c r="HO99" s="67"/>
      <c r="HP99" s="87"/>
      <c r="HQ99" s="87"/>
      <c r="HR99" s="95"/>
      <c r="HS99" s="630"/>
      <c r="HT99" s="67"/>
      <c r="HU99" s="287"/>
      <c r="HV99" s="67"/>
      <c r="HW99" s="67"/>
      <c r="HX99" s="88"/>
      <c r="HY99" s="93"/>
      <c r="HZ99" s="67"/>
      <c r="IA99" s="89"/>
      <c r="IB99" s="49"/>
      <c r="IC99" s="81"/>
      <c r="ID99" s="89"/>
      <c r="IE99" s="90"/>
      <c r="IF99" s="90"/>
      <c r="IG99" s="91"/>
      <c r="IH99" s="91"/>
      <c r="II99" s="49"/>
      <c r="IJ99" s="91"/>
      <c r="IK99" s="49"/>
      <c r="IL99" s="50"/>
      <c r="IM99" s="91"/>
      <c r="IN99" s="91"/>
      <c r="IO99" s="67">
        <f t="shared" si="388"/>
        <v>0</v>
      </c>
      <c r="IP99" s="96"/>
      <c r="IQ99" s="231"/>
      <c r="IR99" s="231"/>
      <c r="IS99" s="113"/>
      <c r="IT99" s="314"/>
      <c r="IU99" s="314"/>
      <c r="IV99" s="239"/>
      <c r="IW99" s="239"/>
      <c r="IX99" s="330"/>
      <c r="IY99" s="236"/>
      <c r="IZ99" s="331"/>
      <c r="JA99" s="236"/>
      <c r="JB99" s="331"/>
      <c r="JC99" s="291"/>
      <c r="JD99" s="332"/>
      <c r="JE99" s="328"/>
      <c r="JF99" s="328"/>
      <c r="JG99" s="194"/>
      <c r="JH99" s="330"/>
      <c r="JI99" s="194"/>
      <c r="JJ99" s="330"/>
      <c r="JK99" s="291"/>
      <c r="JL99" s="291"/>
      <c r="JM99" s="291"/>
      <c r="JN99" s="291"/>
      <c r="JO99" s="269"/>
      <c r="JP99" s="269"/>
      <c r="JQ99" s="269"/>
      <c r="JR99" s="269"/>
      <c r="JS99" s="269"/>
      <c r="JT99" s="269"/>
      <c r="JU99" s="330"/>
      <c r="JV99" s="329"/>
      <c r="JW99" s="291"/>
      <c r="JX99" s="329"/>
      <c r="JY99" s="329"/>
      <c r="JZ99" s="291"/>
    </row>
    <row r="100" spans="1:286" ht="15" customHeight="1">
      <c r="A100" s="773" t="s">
        <v>957</v>
      </c>
      <c r="B100" s="773"/>
      <c r="C100" s="53" t="s">
        <v>35</v>
      </c>
      <c r="D100" s="53" t="s">
        <v>112</v>
      </c>
      <c r="E100" s="53">
        <v>2020</v>
      </c>
      <c r="F100" s="53" t="s">
        <v>644</v>
      </c>
      <c r="G100" s="53" t="s">
        <v>374</v>
      </c>
      <c r="H100" s="53"/>
      <c r="I100" s="55" t="s">
        <v>404</v>
      </c>
      <c r="J100" s="53"/>
      <c r="K100" s="53" t="s">
        <v>635</v>
      </c>
      <c r="L100" s="255" t="s">
        <v>959</v>
      </c>
      <c r="M100" s="166"/>
      <c r="N100" s="167"/>
      <c r="O100" s="306" t="s">
        <v>645</v>
      </c>
      <c r="P100" s="207">
        <f>1017+580</f>
        <v>1597</v>
      </c>
      <c r="Q100" s="207">
        <f>150000+300000</f>
        <v>450000</v>
      </c>
      <c r="R100" s="207"/>
      <c r="S100" s="207" t="e">
        <f t="shared" si="395"/>
        <v>#DIV/0!</v>
      </c>
      <c r="T100" s="207">
        <f t="shared" si="396"/>
        <v>281.77833437695682</v>
      </c>
      <c r="U100" s="213">
        <f t="shared" si="397"/>
        <v>0</v>
      </c>
      <c r="V100" s="213" t="e">
        <f>R100/AN100</f>
        <v>#DIV/0!</v>
      </c>
      <c r="W100" s="213" t="e">
        <f t="shared" si="398"/>
        <v>#DIV/0!</v>
      </c>
      <c r="X100" s="207" t="e">
        <f t="shared" si="399"/>
        <v>#DIV/0!</v>
      </c>
      <c r="Y100" s="208"/>
      <c r="Z100" s="907">
        <f t="shared" si="282"/>
        <v>0</v>
      </c>
      <c r="AA100" s="208"/>
      <c r="AB100" s="208"/>
      <c r="AC100" s="209"/>
      <c r="AD100" s="53" t="s">
        <v>425</v>
      </c>
      <c r="AE100" s="771">
        <f>SUM(AG100:AJ100)*0</f>
        <v>0</v>
      </c>
      <c r="AF100" s="771">
        <f t="shared" si="340"/>
        <v>0</v>
      </c>
      <c r="AG100" s="114"/>
      <c r="AH100" s="64"/>
      <c r="AI100" s="53">
        <v>25</v>
      </c>
      <c r="AJ100" s="64"/>
      <c r="AK100" s="269"/>
      <c r="AL100" s="57">
        <v>2237</v>
      </c>
      <c r="AM100" s="57"/>
      <c r="AN100" s="92"/>
      <c r="AO100" s="57" t="e">
        <f t="shared" si="400"/>
        <v>#DIV/0!</v>
      </c>
      <c r="AP100" s="78"/>
      <c r="AQ100" s="78"/>
      <c r="AR100" s="78"/>
      <c r="AS100" s="78"/>
      <c r="AT100" s="78"/>
      <c r="AU100" s="57"/>
      <c r="AV100" s="76"/>
      <c r="AW100" s="78"/>
      <c r="AX100" s="57"/>
      <c r="AY100" s="53" t="s">
        <v>549</v>
      </c>
      <c r="AZ100" s="53" t="s">
        <v>120</v>
      </c>
      <c r="BA100" s="53"/>
      <c r="BB100" s="53"/>
      <c r="BC100" s="53"/>
      <c r="BD100" s="236"/>
      <c r="BE100" s="236"/>
      <c r="BF100" s="110" t="s">
        <v>168</v>
      </c>
      <c r="BG100" s="110" t="s">
        <v>168</v>
      </c>
      <c r="BH100" s="97"/>
      <c r="BI100" s="204"/>
      <c r="BJ100" s="99"/>
      <c r="BK100" s="99"/>
      <c r="BL100" s="204"/>
      <c r="BM100" s="99"/>
      <c r="BN100" s="161"/>
      <c r="BO100" s="203"/>
      <c r="BP100" s="161"/>
      <c r="BQ100" s="161"/>
      <c r="BR100" s="299">
        <f t="shared" si="341"/>
        <v>0</v>
      </c>
      <c r="BS100" s="298">
        <f t="shared" si="342"/>
        <v>731</v>
      </c>
      <c r="BT100" s="298">
        <f t="shared" si="343"/>
        <v>1096</v>
      </c>
      <c r="BU100" s="298"/>
      <c r="BV100" s="298" t="str">
        <f t="shared" si="344"/>
        <v>oui</v>
      </c>
      <c r="BW100" s="672" t="e">
        <f t="shared" si="345"/>
        <v>#NUM!</v>
      </c>
      <c r="BX100" s="672" t="e">
        <f t="shared" si="346"/>
        <v>#NUM!</v>
      </c>
      <c r="BY100" s="672" t="e">
        <f t="shared" si="347"/>
        <v>#NUM!</v>
      </c>
      <c r="BZ100" s="824"/>
      <c r="CA100" s="832"/>
      <c r="CB100" s="826"/>
      <c r="CC100" s="826"/>
      <c r="CD100" s="826"/>
      <c r="CE100" s="826"/>
      <c r="CF100" s="819"/>
      <c r="CG100" s="819"/>
      <c r="CH100" s="819"/>
      <c r="CI100" s="819"/>
      <c r="CJ100" s="819"/>
      <c r="CK100" s="819"/>
      <c r="CL100" s="819"/>
      <c r="CM100" s="819"/>
      <c r="CN100" s="819"/>
      <c r="CO100" s="819"/>
      <c r="CP100" s="819"/>
      <c r="CQ100" s="819"/>
      <c r="CR100" s="819"/>
      <c r="CS100" s="159"/>
      <c r="CT100" s="250"/>
      <c r="CU100" s="250"/>
      <c r="CV100" s="158"/>
      <c r="CW100" s="250"/>
      <c r="CX100" s="250"/>
      <c r="CY100" s="250"/>
      <c r="CZ100" s="250" t="s">
        <v>168</v>
      </c>
      <c r="DA100" s="598"/>
      <c r="DB100" s="540">
        <v>43150</v>
      </c>
      <c r="DC100" s="543">
        <v>43151</v>
      </c>
      <c r="DD100" s="543"/>
      <c r="DE100" s="545" t="str">
        <f>IF(AND(DC100&gt;0,DD100&gt;0),DD100-DC100,"0")</f>
        <v>0</v>
      </c>
      <c r="DF100" s="543">
        <v>43266</v>
      </c>
      <c r="DG100" s="543">
        <v>43266</v>
      </c>
      <c r="DH100" s="545">
        <f>IF(AND(DF100&gt;0,DG100&gt;0),DG100-DF100,"0")</f>
        <v>0</v>
      </c>
      <c r="DI100" s="543">
        <v>43245</v>
      </c>
      <c r="DJ100" s="543">
        <f ca="1">IF(DI100&lt;TODAY(),TODAY(),DI100)</f>
        <v>43423</v>
      </c>
      <c r="DK100" s="545">
        <f ca="1">IF(AND(DI100&gt;0,DJ100&gt;0),DJ100-DI100,"0")</f>
        <v>178</v>
      </c>
      <c r="DL100" s="543">
        <v>43326</v>
      </c>
      <c r="DM100" s="543">
        <f ca="1">IF(DL100&lt;TODAY(),TODAY(),DL100)</f>
        <v>43423</v>
      </c>
      <c r="DN100" s="545">
        <f ca="1">IF(AND(DL100&gt;0,DM100&gt;0),DM100-DL100,"0")</f>
        <v>97</v>
      </c>
      <c r="DO100" s="543">
        <v>43388</v>
      </c>
      <c r="DP100" s="543">
        <f ca="1">IF(DO100&lt;TODAY(),TODAY(),DO100)</f>
        <v>43423</v>
      </c>
      <c r="DQ100" s="545">
        <f ca="1">IF(AND(DO100&gt;0,DP100&gt;0),DP100-DO100,"0")</f>
        <v>35</v>
      </c>
      <c r="DR100" s="451"/>
      <c r="DS100" s="544"/>
      <c r="DT100" s="527">
        <v>43676</v>
      </c>
      <c r="DU100" s="533">
        <f ca="1">IF(DT100&lt;TODAY(),TODAY(),DT100)</f>
        <v>43676</v>
      </c>
      <c r="DV100" s="529">
        <f ca="1">IF(AND(DT100&gt;0,DU100&gt;0),DU100-DT100,"0")</f>
        <v>0</v>
      </c>
      <c r="DW100" s="527">
        <v>43691</v>
      </c>
      <c r="DX100" s="686">
        <v>44378</v>
      </c>
      <c r="DY100" s="344"/>
      <c r="DZ100" s="442">
        <f>(DATEDIF(BI100,DX100,"d"))/30</f>
        <v>1479.2666666666667</v>
      </c>
      <c r="EA100" s="529">
        <f t="shared" si="354"/>
        <v>687</v>
      </c>
      <c r="EB100" s="687">
        <v>16</v>
      </c>
      <c r="EC100" s="241">
        <f t="shared" si="355"/>
        <v>19</v>
      </c>
      <c r="ED100" s="527"/>
      <c r="EE100" s="533">
        <f t="shared" ca="1" si="356"/>
        <v>43423</v>
      </c>
      <c r="EF100" s="529" t="str">
        <f t="shared" ca="1" si="357"/>
        <v>0</v>
      </c>
      <c r="EG100" s="527"/>
      <c r="EH100" s="551">
        <f ca="1">IF(EG100&lt;TODAY(),TODAY(),EG100)</f>
        <v>43423</v>
      </c>
      <c r="EI100" s="530" t="str">
        <f ca="1">IF(AND(EG100&gt;0,EH100&gt;0),EH100-EG100,"0")</f>
        <v>0</v>
      </c>
      <c r="EJ100" s="531"/>
      <c r="EK100" s="533">
        <f ca="1">IF(EJ100&lt;TODAY(),TODAY(),EJ100)</f>
        <v>43423</v>
      </c>
      <c r="EL100" s="529" t="str">
        <f t="shared" ca="1" si="359"/>
        <v>0</v>
      </c>
      <c r="EM100" s="527"/>
      <c r="EN100" s="533">
        <f ca="1">IF(EM100&lt;TODAY(),TODAY(),EM100)</f>
        <v>43423</v>
      </c>
      <c r="EO100" s="529" t="str">
        <f t="shared" ca="1" si="360"/>
        <v>0</v>
      </c>
      <c r="EP100" s="533"/>
      <c r="EQ100" s="533">
        <f ca="1">IF(EP100&lt;TODAY(),TODAY(),EP100)</f>
        <v>43423</v>
      </c>
      <c r="ER100" s="529" t="str">
        <f t="shared" ca="1" si="361"/>
        <v>0</v>
      </c>
      <c r="ES100" s="533"/>
      <c r="ET100" s="533">
        <f ca="1">IF(ES100&lt;TODAY(),TODAY(),ES100)</f>
        <v>43423</v>
      </c>
      <c r="EU100" s="529" t="str">
        <f t="shared" ca="1" si="362"/>
        <v>0</v>
      </c>
      <c r="EV100" s="533"/>
      <c r="EW100" s="533">
        <f t="shared" ca="1" si="363"/>
        <v>43423</v>
      </c>
      <c r="EX100" s="529" t="str">
        <f t="shared" ca="1" si="364"/>
        <v>0</v>
      </c>
      <c r="EY100" s="533"/>
      <c r="EZ100" s="533"/>
      <c r="FA100" s="533"/>
      <c r="FB100" s="731">
        <f t="shared" si="365"/>
        <v>44866</v>
      </c>
      <c r="FC100" s="730">
        <f>DATE(YEAR(FB100),MONTH(FB100)+3,DAY(FB100))</f>
        <v>44958</v>
      </c>
      <c r="FD100" s="727">
        <f t="shared" si="291"/>
        <v>3.0666666666666669</v>
      </c>
      <c r="FE100" s="573">
        <f>DATE(YEAR(CY100)+2,MONTH(CY100),DAY(CY100))</f>
        <v>731</v>
      </c>
      <c r="FF100" s="242"/>
      <c r="FG100" s="242"/>
      <c r="FH100" s="186">
        <f>DATE(YEAR(FC100),MONTH(FC100)+1,DAY(FC100))</f>
        <v>44986</v>
      </c>
      <c r="FI100" s="461"/>
      <c r="FJ100" s="571">
        <f t="shared" si="368"/>
        <v>44896</v>
      </c>
      <c r="FK100" s="730">
        <f t="shared" si="369"/>
        <v>45017</v>
      </c>
      <c r="FL100" s="574"/>
      <c r="FM100" s="724">
        <f t="shared" si="393"/>
        <v>4.0333333333333332</v>
      </c>
      <c r="FN100" s="700"/>
      <c r="FO100" s="246">
        <f t="shared" si="292"/>
        <v>0</v>
      </c>
      <c r="FP100" s="117"/>
      <c r="FQ100" s="556">
        <v>0</v>
      </c>
      <c r="FR100" s="556">
        <v>0</v>
      </c>
      <c r="FS100" s="556"/>
      <c r="FT100" s="556"/>
      <c r="FU100" s="556"/>
      <c r="FV100" s="749" t="e">
        <f>FU100/GY100</f>
        <v>#DIV/0!</v>
      </c>
      <c r="FW100" s="553"/>
      <c r="FX100" s="566"/>
      <c r="FY100" s="553" t="s">
        <v>716</v>
      </c>
      <c r="FZ100" s="553"/>
      <c r="GA100" s="121"/>
      <c r="GB100" s="121"/>
      <c r="GC100" s="121"/>
      <c r="GD100" s="121"/>
      <c r="GE100" s="121"/>
      <c r="GF100" s="53"/>
      <c r="GG100" s="280">
        <f t="shared" si="370"/>
        <v>45323</v>
      </c>
      <c r="GH100" s="280"/>
      <c r="GI100" s="53"/>
      <c r="GJ100" s="53"/>
      <c r="GK100" s="53"/>
      <c r="GL100" s="53"/>
      <c r="GM100" s="53"/>
      <c r="GN100" s="53"/>
      <c r="GO100" s="53"/>
      <c r="GP100" s="53"/>
      <c r="GQ100" s="53"/>
      <c r="GR100" s="53"/>
      <c r="GS100" s="53"/>
      <c r="GT100" s="53"/>
      <c r="GU100" s="53"/>
      <c r="GV100" s="112"/>
      <c r="GW100" s="112"/>
      <c r="GX100" s="93">
        <f>+HI100+HN100+HU100+IO100+HZ100</f>
        <v>5276624</v>
      </c>
      <c r="GY100" s="67">
        <f>HJ100+HO100+HV100+IO100+HW100+HZ100</f>
        <v>0</v>
      </c>
      <c r="GZ100" s="67">
        <f>GY100</f>
        <v>0</v>
      </c>
      <c r="HA100" s="94">
        <f>GY100-GX100</f>
        <v>-5276624</v>
      </c>
      <c r="HB100" s="49">
        <f>GX100/AL100</f>
        <v>2358.7948144836837</v>
      </c>
      <c r="HC100" s="49" t="e">
        <f>GX100/AE100</f>
        <v>#DIV/0!</v>
      </c>
      <c r="HD100" s="93"/>
      <c r="HE100" s="67"/>
      <c r="HF100" s="94">
        <f>HE100-HD100</f>
        <v>0</v>
      </c>
      <c r="HG100" s="128" t="e">
        <f>HE100*1.021/GY100</f>
        <v>#DIV/0!</v>
      </c>
      <c r="HH100" s="129">
        <v>0.4</v>
      </c>
      <c r="HI100" s="93">
        <v>1821843</v>
      </c>
      <c r="HJ100" s="67"/>
      <c r="HK100" s="67"/>
      <c r="HL100" s="49" t="e">
        <f>HJ100/AE100</f>
        <v>#DIV/0!</v>
      </c>
      <c r="HM100" s="95"/>
      <c r="HN100" s="93">
        <v>3454781</v>
      </c>
      <c r="HO100" s="67">
        <f>HP100+HQ100</f>
        <v>0</v>
      </c>
      <c r="HP100" s="87"/>
      <c r="HQ100" s="87"/>
      <c r="HR100" s="95">
        <f>HO100-HN100</f>
        <v>-3454781</v>
      </c>
      <c r="HS100" s="630" t="e">
        <f>HO100/AE100</f>
        <v>#DIV/0!</v>
      </c>
      <c r="HT100" s="67"/>
      <c r="HU100" s="93"/>
      <c r="HV100" s="67"/>
      <c r="HW100" s="67"/>
      <c r="HX100" s="88" t="e">
        <f>HV100/GY100</f>
        <v>#DIV/0!</v>
      </c>
      <c r="HY100" s="303"/>
      <c r="HZ100" s="67"/>
      <c r="IA100" s="89">
        <f>HV100-HU100</f>
        <v>0</v>
      </c>
      <c r="IB100" s="49" t="e">
        <f>HV100/AE100</f>
        <v>#DIV/0!</v>
      </c>
      <c r="IC100" s="81" t="e">
        <f>(HJ100+HV100)/AE100</f>
        <v>#DIV/0!</v>
      </c>
      <c r="ID100" s="89" t="e">
        <f>IA100/AE100</f>
        <v>#DIV/0!</v>
      </c>
      <c r="IE100" s="90">
        <v>6.31</v>
      </c>
      <c r="IF100" s="90"/>
      <c r="IG100" s="91"/>
      <c r="IH100" s="91"/>
      <c r="II100" s="49" t="e">
        <f>(HI100+HU100+IH100)/AE100</f>
        <v>#DIV/0!</v>
      </c>
      <c r="IJ100" s="91"/>
      <c r="IK100" s="49" t="e">
        <f>(HJ100+HV100+IH100+IJ100)/AE100</f>
        <v>#DIV/0!</v>
      </c>
      <c r="IL100" s="50">
        <f>(HI100+HU100+IH100+IJ100)/(IG100+GX100-IM100)</f>
        <v>0.34526678421657486</v>
      </c>
      <c r="IM100" s="91"/>
      <c r="IN100" s="91"/>
      <c r="IO100" s="67">
        <f t="shared" si="388"/>
        <v>0</v>
      </c>
      <c r="IP100" s="96">
        <f>GX100+IG100</f>
        <v>5276624</v>
      </c>
      <c r="IQ100" s="277"/>
      <c r="IR100" s="277">
        <f>IT100+IV100+IX100+IZ100+JB100+JD100+JF100+JH100+JJ100+JL100+JN100+JP100+JR100+JT100+JV100+JX100+JZ100</f>
        <v>0</v>
      </c>
      <c r="IS100" s="113"/>
      <c r="IT100" s="231"/>
      <c r="IU100" s="231"/>
      <c r="IV100" s="113"/>
      <c r="IW100" s="113"/>
      <c r="IX100" s="231"/>
      <c r="IY100" s="113"/>
      <c r="IZ100" s="231"/>
      <c r="JA100" s="113"/>
      <c r="JB100" s="231"/>
      <c r="JC100" s="114"/>
      <c r="JD100" s="321"/>
      <c r="JE100" s="313"/>
      <c r="JF100" s="313"/>
      <c r="JG100" s="276"/>
      <c r="JH100" s="285"/>
      <c r="JI100" s="276"/>
      <c r="JJ100" s="285"/>
      <c r="JK100" s="300"/>
      <c r="JL100" s="300"/>
      <c r="JM100" s="300"/>
      <c r="JN100" s="300"/>
      <c r="JO100" s="269"/>
      <c r="JP100" s="269"/>
      <c r="JQ100" s="269"/>
      <c r="JR100" s="269"/>
      <c r="JS100" s="269"/>
      <c r="JT100" s="269"/>
      <c r="JU100" s="231"/>
      <c r="JV100" s="122"/>
      <c r="JW100" s="114"/>
      <c r="JX100" s="122"/>
      <c r="JY100" s="122"/>
      <c r="JZ100" s="114"/>
    </row>
    <row r="101" spans="1:286" ht="15" customHeight="1">
      <c r="A101" s="98" t="s">
        <v>904</v>
      </c>
      <c r="B101" s="98"/>
      <c r="C101" s="53" t="s">
        <v>45</v>
      </c>
      <c r="D101" s="53" t="s">
        <v>112</v>
      </c>
      <c r="E101" s="53">
        <v>2020</v>
      </c>
      <c r="F101" s="53"/>
      <c r="G101" s="53"/>
      <c r="H101" s="53"/>
      <c r="I101" s="55" t="s">
        <v>404</v>
      </c>
      <c r="J101" s="53"/>
      <c r="K101" s="53" t="s">
        <v>901</v>
      </c>
      <c r="L101" s="255" t="s">
        <v>902</v>
      </c>
      <c r="M101" s="166"/>
      <c r="N101" s="167"/>
      <c r="O101" s="168"/>
      <c r="P101" s="207">
        <f>3472+1996</f>
        <v>5468</v>
      </c>
      <c r="Q101" s="207"/>
      <c r="R101" s="207"/>
      <c r="S101" s="207">
        <f t="shared" si="395"/>
        <v>0</v>
      </c>
      <c r="T101" s="207">
        <f t="shared" si="396"/>
        <v>0</v>
      </c>
      <c r="U101" s="213">
        <f t="shared" si="397"/>
        <v>0</v>
      </c>
      <c r="V101" s="213" t="e">
        <f>R101/AN101</f>
        <v>#DIV/0!</v>
      </c>
      <c r="W101" s="213">
        <f t="shared" si="398"/>
        <v>0</v>
      </c>
      <c r="X101" s="207">
        <f t="shared" si="399"/>
        <v>105.15384615384616</v>
      </c>
      <c r="Y101" s="208"/>
      <c r="Z101" s="907">
        <f t="shared" si="282"/>
        <v>95.098756400877832</v>
      </c>
      <c r="AA101" s="208" t="s">
        <v>903</v>
      </c>
      <c r="AB101" s="208"/>
      <c r="AC101" s="209"/>
      <c r="AD101" s="53" t="s">
        <v>16</v>
      </c>
      <c r="AE101" s="772">
        <f t="shared" ref="AE101:AE127" si="401">SUM(AG101:AJ101)</f>
        <v>52</v>
      </c>
      <c r="AF101" s="772">
        <f t="shared" si="340"/>
        <v>52</v>
      </c>
      <c r="AG101" s="64"/>
      <c r="AH101" s="53">
        <v>40</v>
      </c>
      <c r="AI101" s="53">
        <v>12</v>
      </c>
      <c r="AJ101" s="114"/>
      <c r="AK101" s="807"/>
      <c r="AL101" s="57"/>
      <c r="AM101" s="804"/>
      <c r="AN101" s="92"/>
      <c r="AO101" s="57">
        <f t="shared" si="400"/>
        <v>0</v>
      </c>
      <c r="AP101" s="78"/>
      <c r="AQ101" s="78"/>
      <c r="AR101" s="78"/>
      <c r="AS101" s="78"/>
      <c r="AT101" s="78"/>
      <c r="AU101" s="57"/>
      <c r="AV101" s="76"/>
      <c r="AW101" s="78"/>
      <c r="AX101" s="57"/>
      <c r="AY101" s="56"/>
      <c r="AZ101" s="53"/>
      <c r="BA101" s="53"/>
      <c r="BB101" s="53"/>
      <c r="BC101" s="53"/>
      <c r="BD101" s="237"/>
      <c r="BE101" s="184"/>
      <c r="BF101" s="110"/>
      <c r="BG101" s="110"/>
      <c r="BH101" s="97"/>
      <c r="BI101" s="204"/>
      <c r="BJ101" s="99"/>
      <c r="BK101" s="99"/>
      <c r="BL101" s="204"/>
      <c r="BM101" s="99"/>
      <c r="BN101" s="161"/>
      <c r="BO101" s="203"/>
      <c r="BP101" s="161"/>
      <c r="BQ101" s="161"/>
      <c r="BR101" s="299"/>
      <c r="BS101" s="298"/>
      <c r="BT101" s="298"/>
      <c r="BU101" s="298"/>
      <c r="BV101" s="298"/>
      <c r="BW101" s="672"/>
      <c r="BX101" s="672"/>
      <c r="BY101" s="672"/>
      <c r="BZ101" s="824"/>
      <c r="CA101" s="832"/>
      <c r="CB101" s="826"/>
      <c r="CC101" s="826"/>
      <c r="CD101" s="826"/>
      <c r="CE101" s="826"/>
      <c r="CF101" s="819"/>
      <c r="CG101" s="819"/>
      <c r="CH101" s="819"/>
      <c r="CI101" s="819"/>
      <c r="CJ101" s="819"/>
      <c r="CK101" s="819"/>
      <c r="CL101" s="819"/>
      <c r="CM101" s="819"/>
      <c r="CN101" s="819"/>
      <c r="CO101" s="819"/>
      <c r="CP101" s="819"/>
      <c r="CQ101" s="819"/>
      <c r="CR101" s="819"/>
      <c r="CS101" s="159"/>
      <c r="CT101" s="250"/>
      <c r="CU101" s="250"/>
      <c r="CV101" s="158"/>
      <c r="CW101" s="250"/>
      <c r="CX101" s="250"/>
      <c r="CY101" s="250"/>
      <c r="CZ101" s="250"/>
      <c r="DA101" s="598"/>
      <c r="DB101" s="540"/>
      <c r="DC101" s="543"/>
      <c r="DD101" s="543"/>
      <c r="DE101" s="545"/>
      <c r="DF101" s="543"/>
      <c r="DG101" s="543"/>
      <c r="DH101" s="545"/>
      <c r="DI101" s="543"/>
      <c r="DJ101" s="543"/>
      <c r="DK101" s="545"/>
      <c r="DL101" s="543"/>
      <c r="DM101" s="543"/>
      <c r="DN101" s="545"/>
      <c r="DO101" s="546"/>
      <c r="DP101" s="547"/>
      <c r="DQ101" s="545"/>
      <c r="DR101" s="451"/>
      <c r="DS101" s="548"/>
      <c r="DT101" s="527"/>
      <c r="DU101" s="528"/>
      <c r="DV101" s="529"/>
      <c r="DW101" s="527"/>
      <c r="DX101" s="686">
        <v>44378</v>
      </c>
      <c r="DY101" s="344"/>
      <c r="DZ101" s="442"/>
      <c r="EA101" s="529"/>
      <c r="EB101" s="687">
        <v>16</v>
      </c>
      <c r="EC101" s="241"/>
      <c r="ED101" s="527"/>
      <c r="EE101" s="533"/>
      <c r="EF101" s="529"/>
      <c r="EG101" s="527"/>
      <c r="EH101" s="551"/>
      <c r="EI101" s="530"/>
      <c r="EJ101" s="531"/>
      <c r="EK101" s="532"/>
      <c r="EL101" s="529"/>
      <c r="EM101" s="527"/>
      <c r="EN101" s="533"/>
      <c r="EO101" s="529"/>
      <c r="EP101" s="533"/>
      <c r="EQ101" s="533"/>
      <c r="ER101" s="529"/>
      <c r="ES101" s="533"/>
      <c r="ET101" s="533"/>
      <c r="EU101" s="529"/>
      <c r="EV101" s="533"/>
      <c r="EW101" s="533"/>
      <c r="EX101" s="529"/>
      <c r="EY101" s="533"/>
      <c r="EZ101" s="533"/>
      <c r="FA101" s="533"/>
      <c r="FB101" s="731">
        <f t="shared" si="365"/>
        <v>44866</v>
      </c>
      <c r="FC101" s="730">
        <f>DATE(YEAR(FB101),MONTH(FB101)+3,DAY(FB101))</f>
        <v>44958</v>
      </c>
      <c r="FD101" s="727">
        <f t="shared" ref="FD101:FD116" si="402">(DATEDIF(FB101,FC101,"d"))/30</f>
        <v>3.0666666666666669</v>
      </c>
      <c r="FE101" s="573"/>
      <c r="FF101" s="242"/>
      <c r="FG101" s="242"/>
      <c r="FH101" s="186">
        <f>DATE(YEAR(FC101),MONTH(FC101)+1,DAY(FC101))</f>
        <v>44986</v>
      </c>
      <c r="FI101" s="461">
        <f>DATE(YEAR(FA101),MONTH(FA101)+1,DAY(FA101))</f>
        <v>31</v>
      </c>
      <c r="FJ101" s="571">
        <f t="shared" si="368"/>
        <v>44896</v>
      </c>
      <c r="FK101" s="730">
        <f t="shared" si="369"/>
        <v>45017</v>
      </c>
      <c r="FL101" s="574"/>
      <c r="FM101" s="724">
        <f t="shared" si="393"/>
        <v>4.0333333333333332</v>
      </c>
      <c r="FN101" s="700"/>
      <c r="FO101" s="246">
        <f t="shared" ref="FO101:FO116" si="403">FN101*FM101</f>
        <v>0</v>
      </c>
      <c r="FP101" s="117"/>
      <c r="FQ101" s="556"/>
      <c r="FR101" s="556"/>
      <c r="FS101" s="556"/>
      <c r="FT101" s="556"/>
      <c r="FU101" s="556"/>
      <c r="FV101" s="749"/>
      <c r="FW101" s="553"/>
      <c r="FX101" s="566"/>
      <c r="FY101" s="553"/>
      <c r="FZ101" s="553"/>
      <c r="GA101" s="121"/>
      <c r="GB101" s="121"/>
      <c r="GC101" s="121"/>
      <c r="GD101" s="121"/>
      <c r="GE101" s="121"/>
      <c r="GF101" s="53"/>
      <c r="GG101" s="280"/>
      <c r="GH101" s="280"/>
      <c r="GI101" s="53"/>
      <c r="GJ101" s="53"/>
      <c r="GK101" s="53"/>
      <c r="GL101" s="53"/>
      <c r="GM101" s="53"/>
      <c r="GN101" s="53"/>
      <c r="GO101" s="53"/>
      <c r="GP101" s="53"/>
      <c r="GQ101" s="53"/>
      <c r="GR101" s="53"/>
      <c r="GS101" s="53"/>
      <c r="GT101" s="53"/>
      <c r="GU101" s="53"/>
      <c r="GV101" s="112"/>
      <c r="GW101" s="112"/>
      <c r="GX101" s="93"/>
      <c r="GY101" s="67"/>
      <c r="GZ101" s="67"/>
      <c r="HA101" s="94"/>
      <c r="HB101" s="49"/>
      <c r="HC101" s="49"/>
      <c r="HD101" s="93"/>
      <c r="HE101" s="67"/>
      <c r="HF101" s="94"/>
      <c r="HG101" s="128"/>
      <c r="HH101" s="129"/>
      <c r="HI101" s="93"/>
      <c r="HJ101" s="67"/>
      <c r="HK101" s="67"/>
      <c r="HL101" s="49"/>
      <c r="HM101" s="95"/>
      <c r="HN101" s="93"/>
      <c r="HO101" s="67"/>
      <c r="HP101" s="87"/>
      <c r="HQ101" s="87"/>
      <c r="HR101" s="95"/>
      <c r="HS101" s="630"/>
      <c r="HT101" s="67"/>
      <c r="HU101" s="287"/>
      <c r="HV101" s="67"/>
      <c r="HW101" s="67"/>
      <c r="HX101" s="88"/>
      <c r="HY101" s="93"/>
      <c r="HZ101" s="67"/>
      <c r="IA101" s="89"/>
      <c r="IB101" s="49"/>
      <c r="IC101" s="81"/>
      <c r="ID101" s="89"/>
      <c r="IE101" s="90"/>
      <c r="IF101" s="90"/>
      <c r="IG101" s="91"/>
      <c r="IH101" s="91"/>
      <c r="II101" s="49"/>
      <c r="IJ101" s="91"/>
      <c r="IK101" s="49"/>
      <c r="IL101" s="50"/>
      <c r="IM101" s="91"/>
      <c r="IN101" s="91"/>
      <c r="IO101" s="67"/>
      <c r="IP101" s="96"/>
      <c r="IQ101" s="231"/>
      <c r="IR101" s="231"/>
      <c r="IS101" s="113"/>
      <c r="IT101" s="314"/>
      <c r="IU101" s="314"/>
      <c r="IV101" s="239"/>
      <c r="IW101" s="239"/>
      <c r="IX101" s="330"/>
      <c r="IY101" s="236"/>
      <c r="IZ101" s="331"/>
      <c r="JA101" s="236"/>
      <c r="JB101" s="331"/>
      <c r="JC101" s="291"/>
      <c r="JD101" s="332"/>
      <c r="JE101" s="328"/>
      <c r="JF101" s="328"/>
      <c r="JG101" s="194"/>
      <c r="JH101" s="330"/>
      <c r="JI101" s="194"/>
      <c r="JJ101" s="330"/>
      <c r="JK101" s="291"/>
      <c r="JL101" s="291"/>
      <c r="JM101" s="291"/>
      <c r="JN101" s="291"/>
      <c r="JO101" s="269"/>
      <c r="JP101" s="269"/>
      <c r="JQ101" s="269"/>
      <c r="JR101" s="269"/>
      <c r="JS101" s="269"/>
      <c r="JT101" s="269"/>
      <c r="JU101" s="330"/>
      <c r="JV101" s="329"/>
      <c r="JW101" s="291"/>
      <c r="JX101" s="329"/>
      <c r="JY101" s="329"/>
      <c r="JZ101" s="291"/>
    </row>
    <row r="102" spans="1:286" ht="15" customHeight="1">
      <c r="A102" s="86" t="s">
        <v>895</v>
      </c>
      <c r="B102" s="86"/>
      <c r="C102" s="53" t="s">
        <v>39</v>
      </c>
      <c r="D102" s="53" t="s">
        <v>114</v>
      </c>
      <c r="E102" s="53">
        <v>2020</v>
      </c>
      <c r="F102" s="53"/>
      <c r="G102" s="53"/>
      <c r="H102" s="53"/>
      <c r="I102" s="55" t="s">
        <v>404</v>
      </c>
      <c r="J102" s="53"/>
      <c r="K102" s="53" t="s">
        <v>586</v>
      </c>
      <c r="L102" s="255" t="s">
        <v>896</v>
      </c>
      <c r="M102" s="166"/>
      <c r="N102" s="167"/>
      <c r="O102" s="168"/>
      <c r="P102" s="207">
        <v>10113</v>
      </c>
      <c r="Q102" s="207">
        <v>1097000</v>
      </c>
      <c r="R102" s="207">
        <f>Q102</f>
        <v>1097000</v>
      </c>
      <c r="S102" s="207">
        <f t="shared" si="395"/>
        <v>12465.90909090909</v>
      </c>
      <c r="T102" s="207">
        <f t="shared" si="396"/>
        <v>108.47424107584297</v>
      </c>
      <c r="U102" s="213">
        <f t="shared" si="397"/>
        <v>108.47424107584297</v>
      </c>
      <c r="V102" s="213" t="e">
        <f>R102/AN102</f>
        <v>#DIV/0!</v>
      </c>
      <c r="W102" s="213">
        <f t="shared" si="398"/>
        <v>12465.90909090909</v>
      </c>
      <c r="X102" s="207">
        <f t="shared" si="399"/>
        <v>114.92045454545455</v>
      </c>
      <c r="Y102" s="208"/>
      <c r="Z102" s="907">
        <f t="shared" si="282"/>
        <v>87.016711163848512</v>
      </c>
      <c r="AA102" s="208" t="s">
        <v>188</v>
      </c>
      <c r="AB102" s="208"/>
      <c r="AC102" s="209"/>
      <c r="AD102" s="53" t="s">
        <v>16</v>
      </c>
      <c r="AE102" s="772">
        <f t="shared" si="401"/>
        <v>88</v>
      </c>
      <c r="AF102" s="772">
        <f t="shared" si="340"/>
        <v>88</v>
      </c>
      <c r="AG102" s="64"/>
      <c r="AH102" s="53">
        <v>88</v>
      </c>
      <c r="AI102" s="64"/>
      <c r="AJ102" s="53"/>
      <c r="AK102" s="807"/>
      <c r="AL102" s="57"/>
      <c r="AM102" s="804"/>
      <c r="AN102" s="92"/>
      <c r="AO102" s="57">
        <f t="shared" si="400"/>
        <v>0</v>
      </c>
      <c r="AP102" s="78"/>
      <c r="AQ102" s="78"/>
      <c r="AR102" s="78"/>
      <c r="AS102" s="78"/>
      <c r="AT102" s="78"/>
      <c r="AU102" s="57"/>
      <c r="AV102" s="76"/>
      <c r="AW102" s="78"/>
      <c r="AX102" s="57"/>
      <c r="AY102" s="56"/>
      <c r="AZ102" s="53"/>
      <c r="BA102" s="53"/>
      <c r="BB102" s="53"/>
      <c r="BC102" s="184">
        <v>43208</v>
      </c>
      <c r="BD102" s="237"/>
      <c r="BE102" s="184"/>
      <c r="BF102" s="110" t="s">
        <v>168</v>
      </c>
      <c r="BG102" s="110" t="s">
        <v>168</v>
      </c>
      <c r="BH102" s="97"/>
      <c r="BI102" s="204"/>
      <c r="BJ102" s="99"/>
      <c r="BK102" s="99"/>
      <c r="BL102" s="204"/>
      <c r="BM102" s="99"/>
      <c r="BN102" s="161"/>
      <c r="BO102" s="203"/>
      <c r="BP102" s="161"/>
      <c r="BQ102" s="161"/>
      <c r="BR102" s="299">
        <f>BO102</f>
        <v>0</v>
      </c>
      <c r="BS102" s="298">
        <f>DATE(YEAR(BR102),MONTH(BR102)+24,DAY(BR102))</f>
        <v>731</v>
      </c>
      <c r="BT102" s="298">
        <f>DATE(YEAR(BR102),MONTH(BR102)+36,DAY(BR102))</f>
        <v>1096</v>
      </c>
      <c r="BU102" s="298"/>
      <c r="BV102" s="298" t="str">
        <f>IF(FK102&gt;BS102,"oui","non")</f>
        <v>oui</v>
      </c>
      <c r="BW102" s="672" t="e">
        <f>DATEDIF(FK102,BT102,"M")</f>
        <v>#NUM!</v>
      </c>
      <c r="BX102" s="672" t="e">
        <f>BW102*FN102</f>
        <v>#NUM!</v>
      </c>
      <c r="BY102" s="672" t="e">
        <f>IF((BX102-BU102&gt;0),0,(BX102-BU102))</f>
        <v>#NUM!</v>
      </c>
      <c r="BZ102" s="824"/>
      <c r="CA102" s="832"/>
      <c r="CB102" s="826"/>
      <c r="CC102" s="826"/>
      <c r="CD102" s="826"/>
      <c r="CE102" s="826"/>
      <c r="CF102" s="819"/>
      <c r="CG102" s="819"/>
      <c r="CH102" s="819"/>
      <c r="CI102" s="819"/>
      <c r="CJ102" s="819"/>
      <c r="CK102" s="819"/>
      <c r="CL102" s="819"/>
      <c r="CM102" s="819"/>
      <c r="CN102" s="819"/>
      <c r="CO102" s="819"/>
      <c r="CP102" s="819"/>
      <c r="CQ102" s="819"/>
      <c r="CR102" s="819"/>
      <c r="CS102" s="159"/>
      <c r="CT102" s="250"/>
      <c r="CU102" s="250"/>
      <c r="CV102" s="158"/>
      <c r="CW102" s="250"/>
      <c r="CX102" s="250"/>
      <c r="CY102" s="250"/>
      <c r="CZ102" s="250"/>
      <c r="DA102" s="597"/>
      <c r="DB102" s="540"/>
      <c r="DC102" s="543"/>
      <c r="DD102" s="543"/>
      <c r="DE102" s="545"/>
      <c r="DF102" s="543"/>
      <c r="DG102" s="543"/>
      <c r="DH102" s="545"/>
      <c r="DI102" s="543"/>
      <c r="DJ102" s="543"/>
      <c r="DK102" s="545"/>
      <c r="DL102" s="543"/>
      <c r="DM102" s="543"/>
      <c r="DN102" s="545"/>
      <c r="DO102" s="546"/>
      <c r="DP102" s="547"/>
      <c r="DQ102" s="545"/>
      <c r="DR102" s="451"/>
      <c r="DS102" s="548"/>
      <c r="DT102" s="527"/>
      <c r="DU102" s="528"/>
      <c r="DV102" s="529"/>
      <c r="DW102" s="527"/>
      <c r="DX102" s="686">
        <v>44378</v>
      </c>
      <c r="DY102" s="344"/>
      <c r="DZ102" s="442">
        <f>(DATEDIF(BI102,DX102,"d"))/30</f>
        <v>1479.2666666666667</v>
      </c>
      <c r="EA102" s="529" t="str">
        <f>IF(AND(DW102&gt;0,DX102&gt;0),DX102-DW102,"0")</f>
        <v>0</v>
      </c>
      <c r="EB102" s="687">
        <v>24</v>
      </c>
      <c r="EC102" s="241">
        <f>DATEDIF(DX102,FC102,"M")</f>
        <v>24</v>
      </c>
      <c r="ED102" s="527"/>
      <c r="EE102" s="533">
        <f ca="1">IF(ED102&lt;TODAY(),TODAY(),ED102)</f>
        <v>43423</v>
      </c>
      <c r="EF102" s="529" t="str">
        <f ca="1">IF(AND(ED102&gt;0,EE102&gt;0),EE102-ED102,"0")</f>
        <v>0</v>
      </c>
      <c r="EG102" s="527"/>
      <c r="EH102" s="551">
        <f ca="1">IF(EG102&lt;TODAY(),TODAY(),EG102)</f>
        <v>43423</v>
      </c>
      <c r="EI102" s="530"/>
      <c r="EJ102" s="531"/>
      <c r="EK102" s="532"/>
      <c r="EL102" s="529" t="str">
        <f>IF(AND(EJ102&gt;0,EK102&gt;0),EK102-EJ102,"0")</f>
        <v>0</v>
      </c>
      <c r="EM102" s="527"/>
      <c r="EN102" s="533">
        <f ca="1">IF(EM102&lt;TODAY(),TODAY(),EM102)</f>
        <v>43423</v>
      </c>
      <c r="EO102" s="529" t="str">
        <f ca="1">IF(AND(EM102&gt;0,EN102&gt;0),EN102-EM102,"0")</f>
        <v>0</v>
      </c>
      <c r="EP102" s="533"/>
      <c r="EQ102" s="533">
        <f ca="1">IF(EP102&lt;TODAY(),TODAY(),EP102)</f>
        <v>43423</v>
      </c>
      <c r="ER102" s="529" t="str">
        <f ca="1">IF(AND(EP102&gt;0,EQ102&gt;0),EQ102-EP102,"0")</f>
        <v>0</v>
      </c>
      <c r="ES102" s="533"/>
      <c r="ET102" s="533">
        <f ca="1">IF(ES102&lt;TODAY(),TODAY(),ES102)</f>
        <v>43423</v>
      </c>
      <c r="EU102" s="529" t="str">
        <f ca="1">IF(AND(ES102&gt;0,ET102&gt;0),ET102-ES102,"0")</f>
        <v>0</v>
      </c>
      <c r="EV102" s="533"/>
      <c r="EW102" s="533">
        <f ca="1">IF(EV102&lt;TODAY(),TODAY(),EV102)</f>
        <v>43423</v>
      </c>
      <c r="EX102" s="529" t="str">
        <f ca="1">IF(AND(EV102&gt;0,EW102&gt;0),EW102-EV102,"0")</f>
        <v>0</v>
      </c>
      <c r="EY102" s="533"/>
      <c r="EZ102" s="533"/>
      <c r="FA102" s="533"/>
      <c r="FB102" s="616">
        <f t="shared" si="365"/>
        <v>45108</v>
      </c>
      <c r="FC102" s="352">
        <f>DATE(YEAR(DX102),MONTH(DX102)+EB102,DAY(DX102))</f>
        <v>45108</v>
      </c>
      <c r="FD102" s="727">
        <f t="shared" si="402"/>
        <v>0</v>
      </c>
      <c r="FE102" s="573">
        <f>DATE(YEAR(CY102)+2,MONTH(CY102),DAY(CY102))</f>
        <v>731</v>
      </c>
      <c r="FF102" s="242"/>
      <c r="FG102" s="242"/>
      <c r="FH102" s="186">
        <f>DATE(YEAR(FC102),MONTH(FC102)+1,DAY(FC102))</f>
        <v>45139</v>
      </c>
      <c r="FI102" s="461"/>
      <c r="FJ102" s="571">
        <f t="shared" si="368"/>
        <v>45139</v>
      </c>
      <c r="FK102" s="450">
        <f>FH102</f>
        <v>45139</v>
      </c>
      <c r="FL102" s="574"/>
      <c r="FM102" s="724">
        <f t="shared" si="393"/>
        <v>0</v>
      </c>
      <c r="FN102" s="700"/>
      <c r="FO102" s="246">
        <f t="shared" si="403"/>
        <v>0</v>
      </c>
      <c r="FP102" s="117"/>
      <c r="FQ102" s="556"/>
      <c r="FR102" s="556">
        <v>0</v>
      </c>
      <c r="FS102" s="556"/>
      <c r="FT102" s="556"/>
      <c r="FU102" s="556"/>
      <c r="FV102" s="749" t="e">
        <f>FU102/GY102</f>
        <v>#DIV/0!</v>
      </c>
      <c r="FW102" s="553"/>
      <c r="FX102" s="566"/>
      <c r="FY102" s="553"/>
      <c r="FZ102" s="553"/>
      <c r="GA102" s="121"/>
      <c r="GB102" s="121"/>
      <c r="GC102" s="121"/>
      <c r="GD102" s="121"/>
      <c r="GE102" s="121"/>
      <c r="GF102" s="53"/>
      <c r="GG102" s="280">
        <f>DATE(YEAR(FC102)+1,MONTH(FC102),DAY(FC102))</f>
        <v>45474</v>
      </c>
      <c r="GH102" s="280"/>
      <c r="GI102" s="53"/>
      <c r="GJ102" s="53"/>
      <c r="GK102" s="53"/>
      <c r="GL102" s="53"/>
      <c r="GM102" s="53"/>
      <c r="GN102" s="53"/>
      <c r="GO102" s="53"/>
      <c r="GP102" s="53"/>
      <c r="GQ102" s="53"/>
      <c r="GR102" s="53"/>
      <c r="GS102" s="53"/>
      <c r="GT102" s="53"/>
      <c r="GU102" s="53"/>
      <c r="GV102" s="112"/>
      <c r="GW102" s="112"/>
      <c r="GX102" s="93"/>
      <c r="GY102" s="67"/>
      <c r="GZ102" s="67">
        <f>GY102</f>
        <v>0</v>
      </c>
      <c r="HA102" s="94"/>
      <c r="HB102" s="49"/>
      <c r="HC102" s="49"/>
      <c r="HD102" s="93"/>
      <c r="HE102" s="67"/>
      <c r="HF102" s="94"/>
      <c r="HG102" s="128"/>
      <c r="HH102" s="129"/>
      <c r="HI102" s="93"/>
      <c r="HJ102" s="67"/>
      <c r="HK102" s="67"/>
      <c r="HL102" s="49"/>
      <c r="HM102" s="95"/>
      <c r="HN102" s="93"/>
      <c r="HO102" s="67"/>
      <c r="HP102" s="87"/>
      <c r="HQ102" s="87"/>
      <c r="HR102" s="95"/>
      <c r="HS102" s="630"/>
      <c r="HT102" s="67"/>
      <c r="HU102" s="287"/>
      <c r="HV102" s="67"/>
      <c r="HW102" s="67"/>
      <c r="HX102" s="88"/>
      <c r="HY102" s="93"/>
      <c r="HZ102" s="67"/>
      <c r="IA102" s="89"/>
      <c r="IB102" s="49"/>
      <c r="IC102" s="81"/>
      <c r="ID102" s="89"/>
      <c r="IE102" s="90"/>
      <c r="IF102" s="90"/>
      <c r="IG102" s="91"/>
      <c r="IH102" s="91"/>
      <c r="II102" s="49"/>
      <c r="IJ102" s="91"/>
      <c r="IK102" s="49"/>
      <c r="IL102" s="50"/>
      <c r="IM102" s="91"/>
      <c r="IN102" s="91"/>
      <c r="IO102" s="67">
        <f>FR102</f>
        <v>0</v>
      </c>
      <c r="IP102" s="96"/>
      <c r="IQ102" s="231"/>
      <c r="IR102" s="231"/>
      <c r="IS102" s="113"/>
      <c r="IT102" s="314"/>
      <c r="IU102" s="314"/>
      <c r="IV102" s="239"/>
      <c r="IW102" s="239"/>
      <c r="IX102" s="330"/>
      <c r="IY102" s="236"/>
      <c r="IZ102" s="331"/>
      <c r="JA102" s="236"/>
      <c r="JB102" s="331"/>
      <c r="JC102" s="291"/>
      <c r="JD102" s="332"/>
      <c r="JE102" s="328"/>
      <c r="JF102" s="328"/>
      <c r="JG102" s="194"/>
      <c r="JH102" s="330"/>
      <c r="JI102" s="194"/>
      <c r="JJ102" s="330"/>
      <c r="JK102" s="291"/>
      <c r="JL102" s="291"/>
      <c r="JM102" s="291"/>
      <c r="JN102" s="291"/>
      <c r="JO102" s="269"/>
      <c r="JP102" s="269"/>
      <c r="JQ102" s="269"/>
      <c r="JR102" s="269"/>
      <c r="JS102" s="269"/>
      <c r="JT102" s="269"/>
      <c r="JU102" s="330"/>
      <c r="JV102" s="329"/>
      <c r="JW102" s="291"/>
      <c r="JX102" s="329"/>
      <c r="JY102" s="329"/>
      <c r="JZ102" s="291"/>
    </row>
    <row r="103" spans="1:286" ht="15" customHeight="1">
      <c r="A103" s="655" t="s">
        <v>577</v>
      </c>
      <c r="B103" s="655"/>
      <c r="C103" s="53" t="s">
        <v>40</v>
      </c>
      <c r="D103" s="53" t="s">
        <v>113</v>
      </c>
      <c r="E103" s="53">
        <v>2020</v>
      </c>
      <c r="F103" s="53" t="s">
        <v>584</v>
      </c>
      <c r="G103" s="53"/>
      <c r="H103" s="53"/>
      <c r="I103" s="55" t="s">
        <v>243</v>
      </c>
      <c r="J103" s="53"/>
      <c r="K103" s="53" t="s">
        <v>612</v>
      </c>
      <c r="L103" s="255" t="s">
        <v>832</v>
      </c>
      <c r="M103" s="166"/>
      <c r="N103" s="167"/>
      <c r="O103" s="168"/>
      <c r="P103" s="207"/>
      <c r="Q103" s="207"/>
      <c r="R103" s="207"/>
      <c r="S103" s="207">
        <f t="shared" si="395"/>
        <v>0</v>
      </c>
      <c r="T103" s="207" t="e">
        <f t="shared" si="396"/>
        <v>#DIV/0!</v>
      </c>
      <c r="U103" s="213" t="e">
        <f t="shared" si="397"/>
        <v>#DIV/0!</v>
      </c>
      <c r="V103" s="213" t="e">
        <f>R103/AN103</f>
        <v>#DIV/0!</v>
      </c>
      <c r="W103" s="213">
        <f t="shared" si="398"/>
        <v>0</v>
      </c>
      <c r="X103" s="207">
        <f t="shared" si="399"/>
        <v>0</v>
      </c>
      <c r="Y103" s="208"/>
      <c r="Z103" s="907" t="e">
        <f t="shared" si="282"/>
        <v>#DIV/0!</v>
      </c>
      <c r="AA103" s="208"/>
      <c r="AB103" s="208"/>
      <c r="AC103" s="209"/>
      <c r="AD103" s="53" t="s">
        <v>16</v>
      </c>
      <c r="AE103" s="771">
        <f t="shared" si="401"/>
        <v>60</v>
      </c>
      <c r="AF103" s="771">
        <f t="shared" si="340"/>
        <v>60</v>
      </c>
      <c r="AG103" s="64"/>
      <c r="AH103" s="53">
        <v>60</v>
      </c>
      <c r="AI103" s="64"/>
      <c r="AJ103" s="53"/>
      <c r="AK103" s="807"/>
      <c r="AL103" s="57"/>
      <c r="AM103" s="804"/>
      <c r="AN103" s="92"/>
      <c r="AO103" s="57">
        <f t="shared" si="400"/>
        <v>0</v>
      </c>
      <c r="AP103" s="78"/>
      <c r="AQ103" s="78"/>
      <c r="AR103" s="78"/>
      <c r="AS103" s="78"/>
      <c r="AT103" s="78"/>
      <c r="AU103" s="57"/>
      <c r="AV103" s="76"/>
      <c r="AW103" s="78"/>
      <c r="AX103" s="57"/>
      <c r="AY103" s="56"/>
      <c r="AZ103" s="53"/>
      <c r="BA103" s="53"/>
      <c r="BB103" s="53"/>
      <c r="BC103" s="53"/>
      <c r="BD103" s="237"/>
      <c r="BE103" s="184"/>
      <c r="BF103" s="110" t="s">
        <v>168</v>
      </c>
      <c r="BG103" s="110" t="s">
        <v>168</v>
      </c>
      <c r="BH103" s="97"/>
      <c r="BI103" s="204"/>
      <c r="BJ103" s="99"/>
      <c r="BK103" s="99"/>
      <c r="BL103" s="204"/>
      <c r="BM103" s="99"/>
      <c r="BN103" s="161"/>
      <c r="BO103" s="203"/>
      <c r="BP103" s="161"/>
      <c r="BQ103" s="161"/>
      <c r="BR103" s="299">
        <f>BO103</f>
        <v>0</v>
      </c>
      <c r="BS103" s="298">
        <f>DATE(YEAR(BR103),MONTH(BR103)+24,DAY(BR103))</f>
        <v>731</v>
      </c>
      <c r="BT103" s="298">
        <f>DATE(YEAR(BR103),MONTH(BR103)+36,DAY(BR103))</f>
        <v>1096</v>
      </c>
      <c r="BU103" s="298"/>
      <c r="BV103" s="298" t="str">
        <f>IF(FK103&gt;BS103,"oui","non")</f>
        <v>oui</v>
      </c>
      <c r="BW103" s="672" t="e">
        <f>DATEDIF(FK103,BT103,"M")</f>
        <v>#NUM!</v>
      </c>
      <c r="BX103" s="672" t="e">
        <f>BW103*FN103</f>
        <v>#NUM!</v>
      </c>
      <c r="BY103" s="672" t="e">
        <f>IF((BX103-BU103&gt;0),0,(BX103-BU103))</f>
        <v>#NUM!</v>
      </c>
      <c r="BZ103" s="824"/>
      <c r="CA103" s="832"/>
      <c r="CB103" s="826"/>
      <c r="CC103" s="826"/>
      <c r="CD103" s="826"/>
      <c r="CE103" s="826"/>
      <c r="CF103" s="819"/>
      <c r="CG103" s="819"/>
      <c r="CH103" s="819"/>
      <c r="CI103" s="819"/>
      <c r="CJ103" s="819"/>
      <c r="CK103" s="819"/>
      <c r="CL103" s="819"/>
      <c r="CM103" s="819"/>
      <c r="CN103" s="819"/>
      <c r="CO103" s="819"/>
      <c r="CP103" s="819"/>
      <c r="CQ103" s="819"/>
      <c r="CR103" s="819"/>
      <c r="CS103" s="159"/>
      <c r="CT103" s="250"/>
      <c r="CU103" s="250"/>
      <c r="CV103" s="158"/>
      <c r="CW103" s="250"/>
      <c r="CX103" s="250"/>
      <c r="CY103" s="250"/>
      <c r="CZ103" s="250" t="s">
        <v>168</v>
      </c>
      <c r="DA103" s="598"/>
      <c r="DB103" s="540"/>
      <c r="DC103" s="543"/>
      <c r="DD103" s="543"/>
      <c r="DE103" s="545" t="str">
        <f>IF(AND(DC103&gt;0,DD103&gt;0),DD103-DC103,"0")</f>
        <v>0</v>
      </c>
      <c r="DF103" s="543"/>
      <c r="DG103" s="543"/>
      <c r="DH103" s="545" t="str">
        <f>IF(AND(DF103&gt;0,DG103&gt;0),DG103-DF103,"0")</f>
        <v>0</v>
      </c>
      <c r="DI103" s="543"/>
      <c r="DJ103" s="543"/>
      <c r="DK103" s="545" t="str">
        <f>IF(AND(DI103&gt;0,DJ103&gt;0),DJ103-DI103,"0")</f>
        <v>0</v>
      </c>
      <c r="DL103" s="543"/>
      <c r="DM103" s="543"/>
      <c r="DN103" s="545" t="str">
        <f>IF(AND(DL103&gt;0,DM103&gt;0),DM103-DL103,"0")</f>
        <v>0</v>
      </c>
      <c r="DO103" s="546"/>
      <c r="DP103" s="547"/>
      <c r="DQ103" s="545" t="str">
        <f>IF(AND(DO103&gt;0,DP103&gt;0),DP103-DO103,"0")</f>
        <v>0</v>
      </c>
      <c r="DR103" s="451"/>
      <c r="DS103" s="548"/>
      <c r="DT103" s="527"/>
      <c r="DU103" s="528"/>
      <c r="DV103" s="529" t="str">
        <f>IF(AND(DT103&gt;0,DU103&gt;0),DU103-DT103,"0")</f>
        <v>0</v>
      </c>
      <c r="DW103" s="527"/>
      <c r="DX103" s="686">
        <v>44378</v>
      </c>
      <c r="DY103" s="344"/>
      <c r="DZ103" s="442">
        <f>(DATEDIF(BI103,DX103,"d"))/30</f>
        <v>1479.2666666666667</v>
      </c>
      <c r="EA103" s="529" t="str">
        <f>IF(AND(DW103&gt;0,DX103&gt;0),DX103-DW103,"0")</f>
        <v>0</v>
      </c>
      <c r="EB103" s="687">
        <v>20</v>
      </c>
      <c r="EC103" s="241">
        <f>DATEDIF(DX103,FC103,"M")</f>
        <v>23</v>
      </c>
      <c r="ED103" s="527"/>
      <c r="EE103" s="533">
        <f ca="1">IF(ED103&lt;TODAY(),TODAY(),ED103)</f>
        <v>43423</v>
      </c>
      <c r="EF103" s="529" t="str">
        <f ca="1">IF(AND(ED103&gt;0,EE103&gt;0),EE103-ED103,"0")</f>
        <v>0</v>
      </c>
      <c r="EG103" s="527"/>
      <c r="EH103" s="551">
        <f ca="1">IF(EG103&lt;TODAY(),TODAY(),EG103)</f>
        <v>43423</v>
      </c>
      <c r="EI103" s="530" t="str">
        <f ca="1">IF(AND(EG103&gt;0,EH103&gt;0),EH103-EG103,"0")</f>
        <v>0</v>
      </c>
      <c r="EJ103" s="531"/>
      <c r="EK103" s="532"/>
      <c r="EL103" s="529" t="str">
        <f>IF(AND(EJ103&gt;0,EK103&gt;0),EK103-EJ103,"0")</f>
        <v>0</v>
      </c>
      <c r="EM103" s="527"/>
      <c r="EN103" s="533">
        <f ca="1">IF(EM103&lt;TODAY(),TODAY(),EM103)</f>
        <v>43423</v>
      </c>
      <c r="EO103" s="529" t="str">
        <f ca="1">IF(AND(EM103&gt;0,EN103&gt;0),EN103-EM103,"0")</f>
        <v>0</v>
      </c>
      <c r="EP103" s="533"/>
      <c r="EQ103" s="533">
        <f ca="1">IF(EP103&lt;TODAY(),TODAY(),EP103)</f>
        <v>43423</v>
      </c>
      <c r="ER103" s="529" t="str">
        <f ca="1">IF(AND(EP103&gt;0,EQ103&gt;0),EQ103-EP103,"0")</f>
        <v>0</v>
      </c>
      <c r="ES103" s="533"/>
      <c r="ET103" s="533">
        <f ca="1">IF(ES103&lt;TODAY(),TODAY(),ES103)</f>
        <v>43423</v>
      </c>
      <c r="EU103" s="529" t="str">
        <f ca="1">IF(AND(ES103&gt;0,ET103&gt;0),ET103-ES103,"0")</f>
        <v>0</v>
      </c>
      <c r="EV103" s="533"/>
      <c r="EW103" s="533">
        <f ca="1">IF(EV103&lt;TODAY(),TODAY(),EV103)</f>
        <v>43423</v>
      </c>
      <c r="EX103" s="529" t="str">
        <f ca="1">IF(AND(EV103&gt;0,EW103&gt;0),EW103-EV103,"0")</f>
        <v>0</v>
      </c>
      <c r="EY103" s="533"/>
      <c r="EZ103" s="533"/>
      <c r="FA103" s="533"/>
      <c r="FB103" s="731">
        <f t="shared" si="365"/>
        <v>44986</v>
      </c>
      <c r="FC103" s="730">
        <f t="shared" ref="FC103:FC116" si="404">DATE(YEAR(FB103),MONTH(FB103)+3,DAY(FB103))</f>
        <v>45078</v>
      </c>
      <c r="FD103" s="727">
        <f t="shared" si="402"/>
        <v>3.0666666666666669</v>
      </c>
      <c r="FE103" s="573">
        <f>DATE(YEAR(CY103)+2,MONTH(CY103),DAY(CY103))</f>
        <v>731</v>
      </c>
      <c r="FF103" s="242"/>
      <c r="FG103" s="242"/>
      <c r="FH103" s="186">
        <f>DATE(YEAR(FC103),MONTH(FC103)+1,DAY(FC103))</f>
        <v>45108</v>
      </c>
      <c r="FI103" s="461"/>
      <c r="FJ103" s="753">
        <f t="shared" si="368"/>
        <v>45017</v>
      </c>
      <c r="FK103" s="730">
        <f t="shared" ref="FK103:FK116" si="405">DATE(YEAR(FH103),MONTH(FH103)+1,DAY(FH103))</f>
        <v>45139</v>
      </c>
      <c r="FL103" s="574"/>
      <c r="FM103" s="724">
        <f t="shared" si="393"/>
        <v>4.0666666666666664</v>
      </c>
      <c r="FN103" s="700"/>
      <c r="FO103" s="246">
        <f t="shared" si="403"/>
        <v>0</v>
      </c>
      <c r="FP103" s="117"/>
      <c r="FQ103" s="556"/>
      <c r="FR103" s="556">
        <v>0</v>
      </c>
      <c r="FS103" s="556"/>
      <c r="FT103" s="556"/>
      <c r="FU103" s="556"/>
      <c r="FV103" s="749" t="e">
        <f>FU103/GY103</f>
        <v>#DIV/0!</v>
      </c>
      <c r="FW103" s="553"/>
      <c r="FX103" s="566"/>
      <c r="FY103" s="553"/>
      <c r="FZ103" s="553"/>
      <c r="GA103" s="121"/>
      <c r="GB103" s="121"/>
      <c r="GC103" s="121"/>
      <c r="GD103" s="121"/>
      <c r="GE103" s="121"/>
      <c r="GF103" s="53"/>
      <c r="GG103" s="280">
        <f>DATE(YEAR(FC103)+1,MONTH(FC103),DAY(FC103))</f>
        <v>45444</v>
      </c>
      <c r="GH103" s="280"/>
      <c r="GI103" s="53"/>
      <c r="GJ103" s="53"/>
      <c r="GK103" s="53"/>
      <c r="GL103" s="53"/>
      <c r="GM103" s="53"/>
      <c r="GN103" s="53"/>
      <c r="GO103" s="53"/>
      <c r="GP103" s="53"/>
      <c r="GQ103" s="53"/>
      <c r="GR103" s="53"/>
      <c r="GS103" s="53"/>
      <c r="GT103" s="53"/>
      <c r="GU103" s="53"/>
      <c r="GV103" s="112"/>
      <c r="GW103" s="112"/>
      <c r="GX103" s="93">
        <f>+HI103+HN103+HU103+IO103+HZ103</f>
        <v>0</v>
      </c>
      <c r="GY103" s="67">
        <f>HJ103+HO103+HV103+IO103+HW103+HZ103</f>
        <v>0</v>
      </c>
      <c r="GZ103" s="67">
        <f>GY103</f>
        <v>0</v>
      </c>
      <c r="HA103" s="94">
        <f>GY103-GX103</f>
        <v>0</v>
      </c>
      <c r="HB103" s="49" t="e">
        <f>GX103/AL103</f>
        <v>#DIV/0!</v>
      </c>
      <c r="HC103" s="49">
        <f>GX103/AE103</f>
        <v>0</v>
      </c>
      <c r="HD103" s="93"/>
      <c r="HE103" s="67"/>
      <c r="HF103" s="94">
        <f>HE103-HD103</f>
        <v>0</v>
      </c>
      <c r="HG103" s="128" t="e">
        <f>HE103*1.021/GY103</f>
        <v>#DIV/0!</v>
      </c>
      <c r="HH103" s="129">
        <v>0.4</v>
      </c>
      <c r="HI103" s="93"/>
      <c r="HJ103" s="67"/>
      <c r="HK103" s="67"/>
      <c r="HL103" s="49">
        <f>HJ103/AE103</f>
        <v>0</v>
      </c>
      <c r="HM103" s="95"/>
      <c r="HN103" s="93"/>
      <c r="HO103" s="67">
        <f>HP103+HQ103</f>
        <v>0</v>
      </c>
      <c r="HP103" s="87"/>
      <c r="HQ103" s="87"/>
      <c r="HR103" s="95">
        <f>HO103-HN103</f>
        <v>0</v>
      </c>
      <c r="HS103" s="630">
        <f>HO103/AE103</f>
        <v>0</v>
      </c>
      <c r="HT103" s="67"/>
      <c r="HU103" s="287"/>
      <c r="HV103" s="67"/>
      <c r="HW103" s="67"/>
      <c r="HX103" s="88" t="e">
        <f>HV103/GY103</f>
        <v>#DIV/0!</v>
      </c>
      <c r="HY103" s="93"/>
      <c r="HZ103" s="67"/>
      <c r="IA103" s="89">
        <f>HV103-HU103</f>
        <v>0</v>
      </c>
      <c r="IB103" s="49">
        <f>HV103/AE103</f>
        <v>0</v>
      </c>
      <c r="IC103" s="81">
        <f>(HJ103+HV103)/AE103</f>
        <v>0</v>
      </c>
      <c r="ID103" s="89">
        <f>IA103/AE103</f>
        <v>0</v>
      </c>
      <c r="IE103" s="90">
        <v>6.31</v>
      </c>
      <c r="IF103" s="90"/>
      <c r="IG103" s="91"/>
      <c r="IH103" s="91"/>
      <c r="II103" s="49">
        <f>(HI103+HU103+IH103)/AE103</f>
        <v>0</v>
      </c>
      <c r="IJ103" s="91"/>
      <c r="IK103" s="49">
        <f>(HJ103+HV103+IH103+IJ103)/AE103</f>
        <v>0</v>
      </c>
      <c r="IL103" s="50" t="e">
        <f>(HI103+HU103+IH103+IJ103)/(IG103+GX103-IM103)</f>
        <v>#DIV/0!</v>
      </c>
      <c r="IM103" s="91"/>
      <c r="IN103" s="91"/>
      <c r="IO103" s="67">
        <f>FR103</f>
        <v>0</v>
      </c>
      <c r="IP103" s="96">
        <f>GX103+IG103</f>
        <v>0</v>
      </c>
      <c r="IQ103" s="231"/>
      <c r="IR103" s="231">
        <f>IT103+IV103+IX103+IZ103+JB103+JD103+JF103+JH103+JJ103+JL103+JN103+JP103+JR103+JT103+JV103+JX103+JZ103</f>
        <v>0</v>
      </c>
      <c r="IS103" s="113"/>
      <c r="IT103" s="314"/>
      <c r="IU103" s="314"/>
      <c r="IV103" s="239"/>
      <c r="IW103" s="239"/>
      <c r="IX103" s="330"/>
      <c r="IY103" s="236"/>
      <c r="IZ103" s="331"/>
      <c r="JA103" s="236"/>
      <c r="JB103" s="331"/>
      <c r="JC103" s="291"/>
      <c r="JD103" s="332"/>
      <c r="JE103" s="328"/>
      <c r="JF103" s="328"/>
      <c r="JG103" s="194"/>
      <c r="JH103" s="330"/>
      <c r="JI103" s="194"/>
      <c r="JJ103" s="330"/>
      <c r="JK103" s="291"/>
      <c r="JL103" s="291"/>
      <c r="JM103" s="291"/>
      <c r="JN103" s="291"/>
      <c r="JO103" s="269"/>
      <c r="JP103" s="269"/>
      <c r="JQ103" s="269"/>
      <c r="JR103" s="269"/>
      <c r="JS103" s="269"/>
      <c r="JT103" s="269"/>
      <c r="JU103" s="330"/>
      <c r="JV103" s="329"/>
      <c r="JW103" s="291"/>
      <c r="JX103" s="329"/>
      <c r="JY103" s="329"/>
      <c r="JZ103" s="291"/>
    </row>
    <row r="104" spans="1:286" ht="15" customHeight="1">
      <c r="A104" s="86" t="s">
        <v>954</v>
      </c>
      <c r="B104" s="86"/>
      <c r="C104" s="53" t="s">
        <v>35</v>
      </c>
      <c r="D104" s="53" t="s">
        <v>112</v>
      </c>
      <c r="E104" s="53">
        <v>2020</v>
      </c>
      <c r="F104" s="53"/>
      <c r="G104" s="53"/>
      <c r="H104" s="53"/>
      <c r="I104" s="55" t="s">
        <v>404</v>
      </c>
      <c r="J104" s="53"/>
      <c r="K104" s="53" t="s">
        <v>953</v>
      </c>
      <c r="L104" s="255"/>
      <c r="M104" s="166"/>
      <c r="N104" s="167"/>
      <c r="O104" s="168"/>
      <c r="P104" s="207">
        <v>33407</v>
      </c>
      <c r="Q104" s="207"/>
      <c r="R104" s="207"/>
      <c r="S104" s="207">
        <f t="shared" si="395"/>
        <v>0</v>
      </c>
      <c r="T104" s="207">
        <f t="shared" si="396"/>
        <v>0</v>
      </c>
      <c r="U104" s="213">
        <f t="shared" si="397"/>
        <v>0</v>
      </c>
      <c r="V104" s="213"/>
      <c r="W104" s="213">
        <f t="shared" si="398"/>
        <v>0</v>
      </c>
      <c r="X104" s="207">
        <f t="shared" si="399"/>
        <v>189.8125</v>
      </c>
      <c r="Y104" s="208"/>
      <c r="Z104" s="907">
        <f t="shared" si="282"/>
        <v>52.683569311820875</v>
      </c>
      <c r="AA104" s="208"/>
      <c r="AB104" s="208"/>
      <c r="AC104" s="209"/>
      <c r="AD104" s="53" t="s">
        <v>16</v>
      </c>
      <c r="AE104" s="771">
        <f t="shared" si="401"/>
        <v>176</v>
      </c>
      <c r="AF104" s="771">
        <f t="shared" si="340"/>
        <v>176</v>
      </c>
      <c r="AG104" s="53">
        <v>30</v>
      </c>
      <c r="AH104" s="53">
        <v>146</v>
      </c>
      <c r="AI104" s="64"/>
      <c r="AJ104" s="53"/>
      <c r="AK104" s="807"/>
      <c r="AL104" s="57"/>
      <c r="AM104" s="804"/>
      <c r="AN104" s="92"/>
      <c r="AO104" s="57">
        <f t="shared" si="400"/>
        <v>0</v>
      </c>
      <c r="AP104" s="78"/>
      <c r="AQ104" s="78"/>
      <c r="AR104" s="78"/>
      <c r="AS104" s="78"/>
      <c r="AT104" s="78"/>
      <c r="AU104" s="57"/>
      <c r="AV104" s="76"/>
      <c r="AW104" s="78"/>
      <c r="AX104" s="57"/>
      <c r="AY104" s="56"/>
      <c r="AZ104" s="53"/>
      <c r="BA104" s="53"/>
      <c r="BB104" s="53"/>
      <c r="BC104" s="184"/>
      <c r="BD104" s="237"/>
      <c r="BE104" s="184"/>
      <c r="BF104" s="110"/>
      <c r="BG104" s="110"/>
      <c r="BH104" s="97"/>
      <c r="BI104" s="204"/>
      <c r="BJ104" s="99"/>
      <c r="BK104" s="99"/>
      <c r="BL104" s="204"/>
      <c r="BM104" s="99"/>
      <c r="BN104" s="161"/>
      <c r="BO104" s="203"/>
      <c r="BP104" s="161"/>
      <c r="BQ104" s="161"/>
      <c r="BR104" s="299"/>
      <c r="BS104" s="298"/>
      <c r="BT104" s="298"/>
      <c r="BU104" s="298"/>
      <c r="BV104" s="298"/>
      <c r="BW104" s="672"/>
      <c r="BX104" s="672"/>
      <c r="BY104" s="672"/>
      <c r="BZ104" s="824"/>
      <c r="CA104" s="832"/>
      <c r="CB104" s="826"/>
      <c r="CC104" s="826"/>
      <c r="CD104" s="826"/>
      <c r="CE104" s="826"/>
      <c r="CF104" s="819"/>
      <c r="CG104" s="819"/>
      <c r="CH104" s="819"/>
      <c r="CI104" s="819"/>
      <c r="CJ104" s="819"/>
      <c r="CK104" s="819"/>
      <c r="CL104" s="819"/>
      <c r="CM104" s="819"/>
      <c r="CN104" s="819"/>
      <c r="CO104" s="819"/>
      <c r="CP104" s="819"/>
      <c r="CQ104" s="819"/>
      <c r="CR104" s="819"/>
      <c r="CS104" s="159"/>
      <c r="CT104" s="250"/>
      <c r="CU104" s="250"/>
      <c r="CV104" s="158"/>
      <c r="CW104" s="250"/>
      <c r="CX104" s="250"/>
      <c r="CY104" s="250"/>
      <c r="CZ104" s="250"/>
      <c r="DA104" s="597"/>
      <c r="DB104" s="540"/>
      <c r="DC104" s="543"/>
      <c r="DD104" s="543"/>
      <c r="DE104" s="545"/>
      <c r="DF104" s="543"/>
      <c r="DG104" s="543"/>
      <c r="DH104" s="545"/>
      <c r="DI104" s="543"/>
      <c r="DJ104" s="543"/>
      <c r="DK104" s="545"/>
      <c r="DL104" s="543"/>
      <c r="DM104" s="543"/>
      <c r="DN104" s="545"/>
      <c r="DO104" s="546"/>
      <c r="DP104" s="547"/>
      <c r="DQ104" s="545"/>
      <c r="DR104" s="451"/>
      <c r="DS104" s="548"/>
      <c r="DT104" s="527"/>
      <c r="DU104" s="528"/>
      <c r="DV104" s="529"/>
      <c r="DW104" s="527"/>
      <c r="DX104" s="686">
        <v>44378</v>
      </c>
      <c r="DY104" s="344"/>
      <c r="DZ104" s="442"/>
      <c r="EA104" s="529"/>
      <c r="EB104" s="687">
        <v>24</v>
      </c>
      <c r="EC104" s="241"/>
      <c r="ED104" s="527"/>
      <c r="EE104" s="533"/>
      <c r="EF104" s="529"/>
      <c r="EG104" s="527"/>
      <c r="EH104" s="551"/>
      <c r="EI104" s="530"/>
      <c r="EJ104" s="531"/>
      <c r="EK104" s="532"/>
      <c r="EL104" s="529"/>
      <c r="EM104" s="527"/>
      <c r="EN104" s="533"/>
      <c r="EO104" s="529"/>
      <c r="EP104" s="533"/>
      <c r="EQ104" s="533"/>
      <c r="ER104" s="529"/>
      <c r="ES104" s="533"/>
      <c r="ET104" s="533"/>
      <c r="EU104" s="529"/>
      <c r="EV104" s="533"/>
      <c r="EW104" s="533"/>
      <c r="EX104" s="529"/>
      <c r="EY104" s="533"/>
      <c r="EZ104" s="533"/>
      <c r="FA104" s="533"/>
      <c r="FB104" s="616">
        <f t="shared" si="365"/>
        <v>45108</v>
      </c>
      <c r="FC104" s="401">
        <f t="shared" si="404"/>
        <v>45200</v>
      </c>
      <c r="FD104" s="727">
        <f t="shared" si="402"/>
        <v>3.0666666666666669</v>
      </c>
      <c r="FE104" s="573"/>
      <c r="FF104" s="242"/>
      <c r="FG104" s="242"/>
      <c r="FH104" s="186">
        <f>DATE(YEAR(FC104),MONTH(FC104),DAY(FC104)+15)</f>
        <v>45215</v>
      </c>
      <c r="FI104" s="461"/>
      <c r="FJ104" s="571">
        <f t="shared" si="368"/>
        <v>45139</v>
      </c>
      <c r="FK104" s="450">
        <f t="shared" si="405"/>
        <v>45246</v>
      </c>
      <c r="FL104" s="574"/>
      <c r="FM104" s="724">
        <f t="shared" si="393"/>
        <v>3.5666666666666669</v>
      </c>
      <c r="FN104" s="700"/>
      <c r="FO104" s="246">
        <f t="shared" si="403"/>
        <v>0</v>
      </c>
      <c r="FP104" s="117"/>
      <c r="FQ104" s="556"/>
      <c r="FR104" s="556"/>
      <c r="FS104" s="556"/>
      <c r="FT104" s="556"/>
      <c r="FU104" s="556"/>
      <c r="FV104" s="749"/>
      <c r="FW104" s="553"/>
      <c r="FX104" s="566"/>
      <c r="FY104" s="553"/>
      <c r="FZ104" s="553"/>
      <c r="GA104" s="121"/>
      <c r="GB104" s="121"/>
      <c r="GC104" s="121"/>
      <c r="GD104" s="121"/>
      <c r="GE104" s="121"/>
      <c r="GF104" s="53"/>
      <c r="GG104" s="280"/>
      <c r="GH104" s="280"/>
      <c r="GI104" s="53"/>
      <c r="GJ104" s="53"/>
      <c r="GK104" s="53"/>
      <c r="GL104" s="53"/>
      <c r="GM104" s="53"/>
      <c r="GN104" s="53"/>
      <c r="GO104" s="53"/>
      <c r="GP104" s="53"/>
      <c r="GQ104" s="53"/>
      <c r="GR104" s="53"/>
      <c r="GS104" s="53"/>
      <c r="GT104" s="53"/>
      <c r="GU104" s="53"/>
      <c r="GV104" s="112"/>
      <c r="GW104" s="112"/>
      <c r="GX104" s="93"/>
      <c r="GY104" s="67"/>
      <c r="GZ104" s="67"/>
      <c r="HA104" s="94"/>
      <c r="HB104" s="49"/>
      <c r="HC104" s="49"/>
      <c r="HD104" s="93"/>
      <c r="HE104" s="67"/>
      <c r="HF104" s="94"/>
      <c r="HG104" s="128"/>
      <c r="HH104" s="129"/>
      <c r="HI104" s="93"/>
      <c r="HJ104" s="67"/>
      <c r="HK104" s="67"/>
      <c r="HL104" s="49"/>
      <c r="HM104" s="95"/>
      <c r="HN104" s="93"/>
      <c r="HO104" s="67"/>
      <c r="HP104" s="87"/>
      <c r="HQ104" s="87"/>
      <c r="HR104" s="95"/>
      <c r="HS104" s="630"/>
      <c r="HT104" s="67"/>
      <c r="HU104" s="287"/>
      <c r="HV104" s="67"/>
      <c r="HW104" s="67"/>
      <c r="HX104" s="88"/>
      <c r="HY104" s="93"/>
      <c r="HZ104" s="67"/>
      <c r="IA104" s="89"/>
      <c r="IB104" s="49"/>
      <c r="IC104" s="81"/>
      <c r="ID104" s="89"/>
      <c r="IE104" s="90"/>
      <c r="IF104" s="90"/>
      <c r="IG104" s="91"/>
      <c r="IH104" s="91"/>
      <c r="II104" s="49"/>
      <c r="IJ104" s="91"/>
      <c r="IK104" s="49"/>
      <c r="IL104" s="50"/>
      <c r="IM104" s="91"/>
      <c r="IN104" s="91"/>
      <c r="IO104" s="67"/>
      <c r="IP104" s="96"/>
      <c r="IQ104" s="231"/>
      <c r="IR104" s="231"/>
      <c r="IS104" s="113"/>
      <c r="IT104" s="314"/>
      <c r="IU104" s="314"/>
      <c r="IV104" s="239"/>
      <c r="IW104" s="239"/>
      <c r="IX104" s="330"/>
      <c r="IY104" s="236"/>
      <c r="IZ104" s="331"/>
      <c r="JA104" s="236"/>
      <c r="JB104" s="331"/>
      <c r="JC104" s="291"/>
      <c r="JD104" s="332"/>
      <c r="JE104" s="328"/>
      <c r="JF104" s="328"/>
      <c r="JG104" s="194"/>
      <c r="JH104" s="330"/>
      <c r="JI104" s="194"/>
      <c r="JJ104" s="330"/>
      <c r="JK104" s="291"/>
      <c r="JL104" s="291"/>
      <c r="JM104" s="291"/>
      <c r="JN104" s="291"/>
      <c r="JO104" s="269"/>
      <c r="JP104" s="269"/>
      <c r="JQ104" s="269"/>
      <c r="JR104" s="269"/>
      <c r="JS104" s="269"/>
      <c r="JT104" s="269"/>
      <c r="JU104" s="330"/>
      <c r="JV104" s="329"/>
      <c r="JW104" s="291"/>
      <c r="JX104" s="329"/>
      <c r="JY104" s="329"/>
      <c r="JZ104" s="291"/>
    </row>
    <row r="105" spans="1:286" ht="100.5" customHeight="1">
      <c r="A105" s="773" t="s">
        <v>919</v>
      </c>
      <c r="B105" s="773"/>
      <c r="C105" s="53" t="s">
        <v>35</v>
      </c>
      <c r="D105" s="53" t="s">
        <v>112</v>
      </c>
      <c r="E105" s="53"/>
      <c r="F105" s="53"/>
      <c r="G105" s="53"/>
      <c r="H105" s="53"/>
      <c r="I105" s="55"/>
      <c r="J105" s="53"/>
      <c r="K105" s="53" t="s">
        <v>462</v>
      </c>
      <c r="L105" s="255" t="s">
        <v>920</v>
      </c>
      <c r="M105" s="166" t="s">
        <v>921</v>
      </c>
      <c r="N105" s="167"/>
      <c r="O105" s="168"/>
      <c r="P105" s="207">
        <v>52241</v>
      </c>
      <c r="Q105" s="207"/>
      <c r="R105" s="207"/>
      <c r="S105" s="207">
        <f t="shared" si="395"/>
        <v>0</v>
      </c>
      <c r="T105" s="207">
        <f t="shared" si="396"/>
        <v>0</v>
      </c>
      <c r="U105" s="213">
        <f t="shared" si="397"/>
        <v>0</v>
      </c>
      <c r="V105" s="213" t="e">
        <f>R105/AN105</f>
        <v>#DIV/0!</v>
      </c>
      <c r="W105" s="213">
        <f t="shared" si="398"/>
        <v>0</v>
      </c>
      <c r="X105" s="207">
        <f t="shared" si="399"/>
        <v>870.68333333333328</v>
      </c>
      <c r="Y105" s="208"/>
      <c r="Z105" s="904">
        <f t="shared" si="282"/>
        <v>11.485231905974235</v>
      </c>
      <c r="AA105" s="208"/>
      <c r="AB105" s="208"/>
      <c r="AC105" s="209"/>
      <c r="AD105" s="53" t="s">
        <v>16</v>
      </c>
      <c r="AE105" s="771">
        <f t="shared" si="401"/>
        <v>60</v>
      </c>
      <c r="AF105" s="771">
        <f t="shared" si="340"/>
        <v>60</v>
      </c>
      <c r="AG105" s="64"/>
      <c r="AH105" s="53">
        <v>60</v>
      </c>
      <c r="AI105" s="64"/>
      <c r="AJ105" s="53"/>
      <c r="AK105" s="807"/>
      <c r="AL105" s="57"/>
      <c r="AM105" s="804"/>
      <c r="AN105" s="92"/>
      <c r="AO105" s="57"/>
      <c r="AP105" s="78"/>
      <c r="AQ105" s="78"/>
      <c r="AR105" s="78"/>
      <c r="AS105" s="78"/>
      <c r="AT105" s="78"/>
      <c r="AU105" s="57"/>
      <c r="AV105" s="76"/>
      <c r="AW105" s="78"/>
      <c r="AX105" s="57"/>
      <c r="AY105" s="56"/>
      <c r="AZ105" s="53"/>
      <c r="BA105" s="53"/>
      <c r="BB105" s="53"/>
      <c r="BC105" s="53"/>
      <c r="BD105" s="237"/>
      <c r="BE105" s="184"/>
      <c r="BF105" s="110"/>
      <c r="BG105" s="110"/>
      <c r="BH105" s="97"/>
      <c r="BI105" s="204"/>
      <c r="BJ105" s="99"/>
      <c r="BK105" s="99"/>
      <c r="BL105" s="204"/>
      <c r="BM105" s="99"/>
      <c r="BN105" s="161"/>
      <c r="BO105" s="203"/>
      <c r="BP105" s="161"/>
      <c r="BQ105" s="161"/>
      <c r="BR105" s="299"/>
      <c r="BS105" s="298"/>
      <c r="BT105" s="298"/>
      <c r="BU105" s="298"/>
      <c r="BV105" s="298"/>
      <c r="BW105" s="672"/>
      <c r="BX105" s="672"/>
      <c r="BY105" s="672"/>
      <c r="BZ105" s="824"/>
      <c r="CA105" s="832"/>
      <c r="CB105" s="826"/>
      <c r="CC105" s="826"/>
      <c r="CD105" s="826"/>
      <c r="CE105" s="826"/>
      <c r="CF105" s="819"/>
      <c r="CG105" s="819"/>
      <c r="CH105" s="819"/>
      <c r="CI105" s="819"/>
      <c r="CJ105" s="819"/>
      <c r="CK105" s="819"/>
      <c r="CL105" s="819"/>
      <c r="CM105" s="819"/>
      <c r="CN105" s="819"/>
      <c r="CO105" s="819"/>
      <c r="CP105" s="819"/>
      <c r="CQ105" s="819"/>
      <c r="CR105" s="819"/>
      <c r="CS105" s="159"/>
      <c r="CT105" s="250"/>
      <c r="CU105" s="250"/>
      <c r="CV105" s="158"/>
      <c r="CW105" s="250"/>
      <c r="CX105" s="250"/>
      <c r="CY105" s="250"/>
      <c r="CZ105" s="250"/>
      <c r="DA105" s="598"/>
      <c r="DB105" s="540"/>
      <c r="DC105" s="543"/>
      <c r="DD105" s="543"/>
      <c r="DE105" s="545"/>
      <c r="DF105" s="543"/>
      <c r="DG105" s="543"/>
      <c r="DH105" s="545"/>
      <c r="DI105" s="543"/>
      <c r="DJ105" s="543"/>
      <c r="DK105" s="545"/>
      <c r="DL105" s="543"/>
      <c r="DM105" s="543"/>
      <c r="DN105" s="545"/>
      <c r="DO105" s="546"/>
      <c r="DP105" s="547"/>
      <c r="DQ105" s="545"/>
      <c r="DR105" s="451"/>
      <c r="DS105" s="548"/>
      <c r="DT105" s="527"/>
      <c r="DU105" s="528"/>
      <c r="DV105" s="529"/>
      <c r="DW105" s="527"/>
      <c r="DX105" s="686">
        <v>44743</v>
      </c>
      <c r="DY105" s="344"/>
      <c r="DZ105" s="442"/>
      <c r="EA105" s="529"/>
      <c r="EB105" s="687">
        <v>20</v>
      </c>
      <c r="EC105" s="241"/>
      <c r="ED105" s="527"/>
      <c r="EE105" s="533"/>
      <c r="EF105" s="529"/>
      <c r="EG105" s="527"/>
      <c r="EH105" s="551"/>
      <c r="EI105" s="530"/>
      <c r="EJ105" s="531"/>
      <c r="EK105" s="532"/>
      <c r="EL105" s="529"/>
      <c r="EM105" s="527"/>
      <c r="EN105" s="533"/>
      <c r="EO105" s="529"/>
      <c r="EP105" s="533"/>
      <c r="EQ105" s="533"/>
      <c r="ER105" s="529"/>
      <c r="ES105" s="533"/>
      <c r="ET105" s="533"/>
      <c r="EU105" s="529"/>
      <c r="EV105" s="533"/>
      <c r="EW105" s="533"/>
      <c r="EX105" s="529"/>
      <c r="EY105" s="533"/>
      <c r="EZ105" s="533"/>
      <c r="FA105" s="533"/>
      <c r="FB105" s="731">
        <f t="shared" si="365"/>
        <v>45352</v>
      </c>
      <c r="FC105" s="730">
        <f t="shared" si="404"/>
        <v>45444</v>
      </c>
      <c r="FD105" s="727">
        <f t="shared" si="402"/>
        <v>3.0666666666666669</v>
      </c>
      <c r="FE105" s="573"/>
      <c r="FF105" s="242"/>
      <c r="FG105" s="242"/>
      <c r="FH105" s="186">
        <f>DATE(YEAR(FC105),MONTH(FC105)+1,DAY(FC105))</f>
        <v>45474</v>
      </c>
      <c r="FI105" s="571"/>
      <c r="FJ105" s="571">
        <f t="shared" si="368"/>
        <v>45383</v>
      </c>
      <c r="FK105" s="730">
        <f t="shared" si="405"/>
        <v>45505</v>
      </c>
      <c r="FL105" s="574"/>
      <c r="FM105" s="724">
        <f t="shared" si="393"/>
        <v>4.0666666666666664</v>
      </c>
      <c r="FN105" s="700"/>
      <c r="FO105" s="246">
        <f t="shared" si="403"/>
        <v>0</v>
      </c>
      <c r="FP105" s="884"/>
      <c r="FQ105" s="556"/>
      <c r="FR105" s="556"/>
      <c r="FS105" s="556"/>
      <c r="FT105" s="556"/>
      <c r="FU105" s="556"/>
      <c r="FV105" s="749" t="e">
        <f>FU105/GY105</f>
        <v>#DIV/0!</v>
      </c>
      <c r="FW105" s="553"/>
      <c r="FX105" s="566"/>
      <c r="FY105" s="553"/>
      <c r="FZ105" s="553"/>
      <c r="GA105" s="121"/>
      <c r="GB105" s="121"/>
      <c r="GC105" s="121"/>
      <c r="GD105" s="121"/>
      <c r="GE105" s="121"/>
      <c r="GF105" s="53"/>
      <c r="GG105" s="280"/>
      <c r="GH105" s="280"/>
      <c r="GI105" s="53"/>
      <c r="GJ105" s="53"/>
      <c r="GK105" s="53"/>
      <c r="GL105" s="53"/>
      <c r="GM105" s="53"/>
      <c r="GN105" s="53"/>
      <c r="GO105" s="53"/>
      <c r="GP105" s="53"/>
      <c r="GQ105" s="53"/>
      <c r="GR105" s="53"/>
      <c r="GS105" s="53"/>
      <c r="GT105" s="53"/>
      <c r="GU105" s="53"/>
      <c r="GV105" s="112"/>
      <c r="GW105" s="112"/>
      <c r="GX105" s="93"/>
      <c r="GY105" s="67"/>
      <c r="GZ105" s="67"/>
      <c r="HA105" s="94"/>
      <c r="HB105" s="49"/>
      <c r="HC105" s="49"/>
      <c r="HD105" s="93"/>
      <c r="HE105" s="67"/>
      <c r="HF105" s="94"/>
      <c r="HG105" s="128"/>
      <c r="HH105" s="129"/>
      <c r="HI105" s="93"/>
      <c r="HJ105" s="67"/>
      <c r="HK105" s="67"/>
      <c r="HL105" s="49"/>
      <c r="HM105" s="95"/>
      <c r="HN105" s="93"/>
      <c r="HO105" s="67"/>
      <c r="HP105" s="87"/>
      <c r="HQ105" s="87"/>
      <c r="HR105" s="95"/>
      <c r="HS105" s="630"/>
      <c r="HT105" s="67"/>
      <c r="HU105" s="287"/>
      <c r="HV105" s="67"/>
      <c r="HW105" s="67"/>
      <c r="HX105" s="88"/>
      <c r="HY105" s="93"/>
      <c r="HZ105" s="67"/>
      <c r="IA105" s="89"/>
      <c r="IB105" s="49"/>
      <c r="IC105" s="81"/>
      <c r="ID105" s="89"/>
      <c r="IE105" s="90"/>
      <c r="IF105" s="90"/>
      <c r="IG105" s="91"/>
      <c r="IH105" s="91"/>
      <c r="II105" s="49"/>
      <c r="IJ105" s="91"/>
      <c r="IK105" s="49"/>
      <c r="IL105" s="50"/>
      <c r="IM105" s="91"/>
      <c r="IN105" s="91"/>
      <c r="IO105" s="67"/>
      <c r="IP105" s="96"/>
      <c r="IQ105" s="231"/>
      <c r="IR105" s="231"/>
      <c r="IS105" s="113"/>
      <c r="IT105" s="314"/>
      <c r="IU105" s="314"/>
      <c r="IV105" s="239"/>
      <c r="IW105" s="239"/>
      <c r="IX105" s="330"/>
      <c r="IY105" s="236"/>
      <c r="IZ105" s="331"/>
      <c r="JA105" s="236"/>
      <c r="JB105" s="331"/>
      <c r="JC105" s="291"/>
      <c r="JD105" s="332"/>
      <c r="JE105" s="328"/>
      <c r="JF105" s="328"/>
      <c r="JG105" s="194"/>
      <c r="JH105" s="330"/>
      <c r="JI105" s="194"/>
      <c r="JJ105" s="330"/>
      <c r="JK105" s="291"/>
      <c r="JL105" s="291"/>
      <c r="JM105" s="291"/>
      <c r="JN105" s="291"/>
      <c r="JO105" s="269"/>
      <c r="JP105" s="269"/>
      <c r="JQ105" s="269"/>
      <c r="JR105" s="269"/>
      <c r="JS105" s="269"/>
      <c r="JT105" s="269"/>
      <c r="JU105" s="330"/>
      <c r="JV105" s="329"/>
      <c r="JW105" s="291"/>
      <c r="JX105" s="329"/>
      <c r="JY105" s="329"/>
      <c r="JZ105" s="291"/>
    </row>
    <row r="106" spans="1:286" ht="15" customHeight="1">
      <c r="A106" s="86" t="s">
        <v>955</v>
      </c>
      <c r="B106" s="86"/>
      <c r="C106" s="53" t="s">
        <v>35</v>
      </c>
      <c r="D106" s="53" t="s">
        <v>112</v>
      </c>
      <c r="E106" s="53">
        <v>2021</v>
      </c>
      <c r="F106" s="53"/>
      <c r="G106" s="53"/>
      <c r="H106" s="53"/>
      <c r="I106" s="55" t="s">
        <v>404</v>
      </c>
      <c r="J106" s="53"/>
      <c r="K106" s="53" t="s">
        <v>953</v>
      </c>
      <c r="L106" s="255"/>
      <c r="M106" s="166"/>
      <c r="N106" s="167"/>
      <c r="O106" s="168"/>
      <c r="P106" s="207">
        <v>33407</v>
      </c>
      <c r="Q106" s="207"/>
      <c r="R106" s="207"/>
      <c r="S106" s="207">
        <f t="shared" si="395"/>
        <v>0</v>
      </c>
      <c r="T106" s="207">
        <f t="shared" si="396"/>
        <v>0</v>
      </c>
      <c r="U106" s="213">
        <f t="shared" si="397"/>
        <v>0</v>
      </c>
      <c r="V106" s="213"/>
      <c r="W106" s="213">
        <f t="shared" si="398"/>
        <v>0</v>
      </c>
      <c r="X106" s="207">
        <f t="shared" si="399"/>
        <v>249.30597014925374</v>
      </c>
      <c r="Y106" s="208"/>
      <c r="Z106" s="907">
        <f t="shared" si="282"/>
        <v>40.111353907863624</v>
      </c>
      <c r="AA106" s="208"/>
      <c r="AB106" s="208"/>
      <c r="AC106" s="209"/>
      <c r="AD106" s="53" t="s">
        <v>16</v>
      </c>
      <c r="AE106" s="771">
        <f t="shared" si="401"/>
        <v>134</v>
      </c>
      <c r="AF106" s="771">
        <f t="shared" si="340"/>
        <v>134</v>
      </c>
      <c r="AG106" s="53">
        <v>134</v>
      </c>
      <c r="AH106" s="64"/>
      <c r="AI106" s="64"/>
      <c r="AJ106" s="53"/>
      <c r="AK106" s="807"/>
      <c r="AL106" s="57"/>
      <c r="AM106" s="804"/>
      <c r="AN106" s="92"/>
      <c r="AO106" s="57">
        <f>AN106/AE106</f>
        <v>0</v>
      </c>
      <c r="AP106" s="78"/>
      <c r="AQ106" s="78"/>
      <c r="AR106" s="78"/>
      <c r="AS106" s="78"/>
      <c r="AT106" s="78"/>
      <c r="AU106" s="57"/>
      <c r="AV106" s="76"/>
      <c r="AW106" s="78"/>
      <c r="AX106" s="57"/>
      <c r="AY106" s="56"/>
      <c r="AZ106" s="53"/>
      <c r="BA106" s="53"/>
      <c r="BB106" s="53"/>
      <c r="BC106" s="184"/>
      <c r="BD106" s="237"/>
      <c r="BE106" s="184"/>
      <c r="BF106" s="110"/>
      <c r="BG106" s="110"/>
      <c r="BH106" s="97"/>
      <c r="BI106" s="204"/>
      <c r="BJ106" s="99"/>
      <c r="BK106" s="99"/>
      <c r="BL106" s="204"/>
      <c r="BM106" s="99"/>
      <c r="BN106" s="161"/>
      <c r="BO106" s="203"/>
      <c r="BP106" s="161"/>
      <c r="BQ106" s="161"/>
      <c r="BR106" s="299"/>
      <c r="BS106" s="298"/>
      <c r="BT106" s="298"/>
      <c r="BU106" s="298"/>
      <c r="BV106" s="298"/>
      <c r="BW106" s="672"/>
      <c r="BX106" s="672"/>
      <c r="BY106" s="672"/>
      <c r="BZ106" s="824"/>
      <c r="CA106" s="832"/>
      <c r="CB106" s="826"/>
      <c r="CC106" s="826"/>
      <c r="CD106" s="826"/>
      <c r="CE106" s="826"/>
      <c r="CF106" s="819"/>
      <c r="CG106" s="819"/>
      <c r="CH106" s="819"/>
      <c r="CI106" s="819"/>
      <c r="CJ106" s="819"/>
      <c r="CK106" s="819"/>
      <c r="CL106" s="819"/>
      <c r="CM106" s="819"/>
      <c r="CN106" s="819"/>
      <c r="CO106" s="819"/>
      <c r="CP106" s="819"/>
      <c r="CQ106" s="819"/>
      <c r="CR106" s="819"/>
      <c r="CS106" s="159"/>
      <c r="CT106" s="250"/>
      <c r="CU106" s="250"/>
      <c r="CV106" s="158"/>
      <c r="CW106" s="250"/>
      <c r="CX106" s="250"/>
      <c r="CY106" s="250"/>
      <c r="CZ106" s="250"/>
      <c r="DA106" s="597"/>
      <c r="DB106" s="540"/>
      <c r="DC106" s="543"/>
      <c r="DD106" s="543"/>
      <c r="DE106" s="545"/>
      <c r="DF106" s="543"/>
      <c r="DG106" s="543"/>
      <c r="DH106" s="545"/>
      <c r="DI106" s="543"/>
      <c r="DJ106" s="543"/>
      <c r="DK106" s="545"/>
      <c r="DL106" s="543"/>
      <c r="DM106" s="543"/>
      <c r="DN106" s="545"/>
      <c r="DO106" s="546"/>
      <c r="DP106" s="547"/>
      <c r="DQ106" s="545"/>
      <c r="DR106" s="451"/>
      <c r="DS106" s="548"/>
      <c r="DT106" s="527"/>
      <c r="DU106" s="528"/>
      <c r="DV106" s="529"/>
      <c r="DW106" s="527"/>
      <c r="DX106" s="686">
        <v>44743</v>
      </c>
      <c r="DY106" s="344"/>
      <c r="DZ106" s="442"/>
      <c r="EA106" s="529"/>
      <c r="EB106" s="687">
        <v>24</v>
      </c>
      <c r="EC106" s="241"/>
      <c r="ED106" s="527"/>
      <c r="EE106" s="533"/>
      <c r="EF106" s="529"/>
      <c r="EG106" s="527"/>
      <c r="EH106" s="551"/>
      <c r="EI106" s="530"/>
      <c r="EJ106" s="531"/>
      <c r="EK106" s="532"/>
      <c r="EL106" s="529"/>
      <c r="EM106" s="527"/>
      <c r="EN106" s="533"/>
      <c r="EO106" s="529"/>
      <c r="EP106" s="533"/>
      <c r="EQ106" s="533"/>
      <c r="ER106" s="529"/>
      <c r="ES106" s="533"/>
      <c r="ET106" s="533"/>
      <c r="EU106" s="529"/>
      <c r="EV106" s="533"/>
      <c r="EW106" s="533"/>
      <c r="EX106" s="529"/>
      <c r="EY106" s="533"/>
      <c r="EZ106" s="533"/>
      <c r="FA106" s="533"/>
      <c r="FB106" s="616">
        <f t="shared" si="365"/>
        <v>45474</v>
      </c>
      <c r="FC106" s="401">
        <f t="shared" si="404"/>
        <v>45566</v>
      </c>
      <c r="FD106" s="727">
        <f t="shared" si="402"/>
        <v>3.0666666666666669</v>
      </c>
      <c r="FE106" s="573"/>
      <c r="FF106" s="242"/>
      <c r="FG106" s="242"/>
      <c r="FH106" s="186">
        <f>DATE(YEAR(FC106),MONTH(FC106),DAY(FC106)+15)</f>
        <v>45581</v>
      </c>
      <c r="FI106" s="461"/>
      <c r="FJ106" s="571">
        <f t="shared" si="368"/>
        <v>45505</v>
      </c>
      <c r="FK106" s="450">
        <f t="shared" si="405"/>
        <v>45612</v>
      </c>
      <c r="FL106" s="574"/>
      <c r="FM106" s="724">
        <f t="shared" si="393"/>
        <v>3.5666666666666669</v>
      </c>
      <c r="FN106" s="700"/>
      <c r="FO106" s="246">
        <f t="shared" si="403"/>
        <v>0</v>
      </c>
      <c r="FP106" s="117"/>
      <c r="FQ106" s="556"/>
      <c r="FR106" s="556"/>
      <c r="FS106" s="556"/>
      <c r="FT106" s="556"/>
      <c r="FU106" s="748"/>
      <c r="FV106" s="749"/>
      <c r="FW106" s="559"/>
      <c r="FX106" s="577"/>
      <c r="FY106" s="559"/>
      <c r="FZ106" s="559"/>
      <c r="GA106" s="121"/>
      <c r="GB106" s="121"/>
      <c r="GC106" s="121"/>
      <c r="GD106" s="121"/>
      <c r="GE106" s="121"/>
      <c r="GF106" s="53"/>
      <c r="GG106" s="280"/>
      <c r="GH106" s="280"/>
      <c r="GI106" s="53"/>
      <c r="GJ106" s="53"/>
      <c r="GK106" s="53"/>
      <c r="GL106" s="53"/>
      <c r="GM106" s="53"/>
      <c r="GN106" s="53"/>
      <c r="GO106" s="53"/>
      <c r="GP106" s="53"/>
      <c r="GQ106" s="53"/>
      <c r="GR106" s="53"/>
      <c r="GS106" s="53"/>
      <c r="GT106" s="53"/>
      <c r="GU106" s="53"/>
      <c r="GV106" s="112"/>
      <c r="GW106" s="112"/>
      <c r="GX106" s="93"/>
      <c r="GY106" s="67"/>
      <c r="GZ106" s="67"/>
      <c r="HA106" s="94"/>
      <c r="HB106" s="49"/>
      <c r="HC106" s="49"/>
      <c r="HD106" s="93"/>
      <c r="HE106" s="67"/>
      <c r="HF106" s="94"/>
      <c r="HG106" s="128"/>
      <c r="HH106" s="129"/>
      <c r="HI106" s="93"/>
      <c r="HJ106" s="67"/>
      <c r="HK106" s="67"/>
      <c r="HL106" s="49"/>
      <c r="HM106" s="95"/>
      <c r="HN106" s="93"/>
      <c r="HO106" s="67"/>
      <c r="HP106" s="87"/>
      <c r="HQ106" s="87"/>
      <c r="HR106" s="95"/>
      <c r="HS106" s="630"/>
      <c r="HT106" s="67"/>
      <c r="HU106" s="287"/>
      <c r="HV106" s="67"/>
      <c r="HW106" s="67"/>
      <c r="HX106" s="88"/>
      <c r="HY106" s="93"/>
      <c r="HZ106" s="67"/>
      <c r="IA106" s="89"/>
      <c r="IB106" s="49"/>
      <c r="IC106" s="81"/>
      <c r="ID106" s="89"/>
      <c r="IE106" s="90"/>
      <c r="IF106" s="90"/>
      <c r="IG106" s="91"/>
      <c r="IH106" s="91"/>
      <c r="II106" s="49"/>
      <c r="IJ106" s="91"/>
      <c r="IK106" s="49"/>
      <c r="IL106" s="50"/>
      <c r="IM106" s="91"/>
      <c r="IN106" s="91"/>
      <c r="IO106" s="67"/>
      <c r="IP106" s="96"/>
      <c r="IQ106" s="231"/>
      <c r="IR106" s="231"/>
      <c r="IS106" s="113"/>
      <c r="IT106" s="314"/>
      <c r="IU106" s="314"/>
      <c r="IV106" s="239"/>
      <c r="IW106" s="239"/>
      <c r="IX106" s="330"/>
      <c r="IY106" s="236"/>
      <c r="IZ106" s="331"/>
      <c r="JA106" s="236"/>
      <c r="JB106" s="331"/>
      <c r="JC106" s="291"/>
      <c r="JD106" s="332"/>
      <c r="JE106" s="328"/>
      <c r="JF106" s="328"/>
      <c r="JG106" s="194"/>
      <c r="JH106" s="330"/>
      <c r="JI106" s="194"/>
      <c r="JJ106" s="330"/>
      <c r="JK106" s="291"/>
      <c r="JL106" s="291"/>
      <c r="JM106" s="291"/>
      <c r="JN106" s="291"/>
      <c r="JO106" s="269"/>
      <c r="JP106" s="269"/>
      <c r="JQ106" s="269"/>
      <c r="JR106" s="269"/>
      <c r="JS106" s="269"/>
      <c r="JT106" s="269"/>
      <c r="JU106" s="330"/>
      <c r="JV106" s="329"/>
      <c r="JW106" s="291"/>
      <c r="JX106" s="329"/>
      <c r="JY106" s="329"/>
      <c r="JZ106" s="291"/>
    </row>
    <row r="107" spans="1:286" ht="45" customHeight="1">
      <c r="A107" s="98" t="s">
        <v>910</v>
      </c>
      <c r="B107" s="98"/>
      <c r="C107" s="53" t="s">
        <v>28</v>
      </c>
      <c r="D107" s="53" t="s">
        <v>112</v>
      </c>
      <c r="E107" s="53">
        <v>2021</v>
      </c>
      <c r="F107" s="53"/>
      <c r="G107" s="53"/>
      <c r="H107" s="53"/>
      <c r="I107" s="55" t="s">
        <v>911</v>
      </c>
      <c r="J107" s="53"/>
      <c r="K107" s="53" t="s">
        <v>914</v>
      </c>
      <c r="L107" s="255" t="s">
        <v>912</v>
      </c>
      <c r="M107" s="166" t="s">
        <v>913</v>
      </c>
      <c r="N107" s="167"/>
      <c r="O107" s="168"/>
      <c r="P107" s="207">
        <f>1074+15560+237+7673+7583+10102+145</f>
        <v>42374</v>
      </c>
      <c r="Q107" s="207">
        <v>1330000</v>
      </c>
      <c r="R107" s="207"/>
      <c r="S107" s="207">
        <f t="shared" si="395"/>
        <v>11083.333333333334</v>
      </c>
      <c r="T107" s="207">
        <f t="shared" si="396"/>
        <v>31.387171378675603</v>
      </c>
      <c r="U107" s="213">
        <f t="shared" si="397"/>
        <v>0</v>
      </c>
      <c r="V107" s="213" t="e">
        <f t="shared" ref="V107:V113" si="406">R107/AN107</f>
        <v>#DIV/0!</v>
      </c>
      <c r="W107" s="213">
        <f t="shared" si="398"/>
        <v>0</v>
      </c>
      <c r="X107" s="207">
        <f t="shared" si="399"/>
        <v>353.11666666666667</v>
      </c>
      <c r="Y107" s="208"/>
      <c r="Z107" s="907">
        <f t="shared" si="282"/>
        <v>28.319252371737385</v>
      </c>
      <c r="AA107" s="208" t="s">
        <v>864</v>
      </c>
      <c r="AB107" s="208"/>
      <c r="AC107" s="209"/>
      <c r="AD107" s="53" t="s">
        <v>16</v>
      </c>
      <c r="AE107" s="771">
        <f t="shared" si="401"/>
        <v>120</v>
      </c>
      <c r="AF107" s="771">
        <f t="shared" si="340"/>
        <v>120</v>
      </c>
      <c r="AG107" s="64"/>
      <c r="AH107" s="53">
        <v>120</v>
      </c>
      <c r="AI107" s="53"/>
      <c r="AJ107" s="114"/>
      <c r="AK107" s="807"/>
      <c r="AL107" s="57"/>
      <c r="AM107" s="804"/>
      <c r="AN107" s="92"/>
      <c r="AO107" s="57"/>
      <c r="AP107" s="78"/>
      <c r="AQ107" s="78"/>
      <c r="AR107" s="78"/>
      <c r="AS107" s="78"/>
      <c r="AT107" s="78"/>
      <c r="AU107" s="57"/>
      <c r="AV107" s="76"/>
      <c r="AW107" s="78"/>
      <c r="AX107" s="57"/>
      <c r="AY107" s="56"/>
      <c r="AZ107" s="53"/>
      <c r="BA107" s="53"/>
      <c r="BB107" s="53"/>
      <c r="BC107" s="53"/>
      <c r="BD107" s="237"/>
      <c r="BE107" s="184"/>
      <c r="BF107" s="110"/>
      <c r="BG107" s="110"/>
      <c r="BH107" s="97"/>
      <c r="BI107" s="204"/>
      <c r="BJ107" s="99"/>
      <c r="BK107" s="99"/>
      <c r="BL107" s="204"/>
      <c r="BM107" s="99"/>
      <c r="BN107" s="161"/>
      <c r="BO107" s="203"/>
      <c r="BP107" s="161"/>
      <c r="BQ107" s="161"/>
      <c r="BR107" s="299"/>
      <c r="BS107" s="298"/>
      <c r="BT107" s="298"/>
      <c r="BU107" s="298"/>
      <c r="BV107" s="298"/>
      <c r="BW107" s="672"/>
      <c r="BX107" s="672"/>
      <c r="BY107" s="672"/>
      <c r="BZ107" s="824"/>
      <c r="CA107" s="832"/>
      <c r="CB107" s="826"/>
      <c r="CC107" s="826"/>
      <c r="CD107" s="826"/>
      <c r="CE107" s="826"/>
      <c r="CF107" s="819"/>
      <c r="CG107" s="819"/>
      <c r="CH107" s="819"/>
      <c r="CI107" s="819"/>
      <c r="CJ107" s="819"/>
      <c r="CK107" s="819"/>
      <c r="CL107" s="819"/>
      <c r="CM107" s="819"/>
      <c r="CN107" s="819"/>
      <c r="CO107" s="819"/>
      <c r="CP107" s="819"/>
      <c r="CQ107" s="819"/>
      <c r="CR107" s="819"/>
      <c r="CS107" s="159"/>
      <c r="CT107" s="250"/>
      <c r="CU107" s="250"/>
      <c r="CV107" s="158"/>
      <c r="CW107" s="250"/>
      <c r="CX107" s="250"/>
      <c r="CY107" s="250"/>
      <c r="CZ107" s="250"/>
      <c r="DA107" s="598"/>
      <c r="DB107" s="540"/>
      <c r="DC107" s="543"/>
      <c r="DD107" s="543"/>
      <c r="DE107" s="545"/>
      <c r="DF107" s="543"/>
      <c r="DG107" s="543"/>
      <c r="DH107" s="545"/>
      <c r="DI107" s="543"/>
      <c r="DJ107" s="543"/>
      <c r="DK107" s="545"/>
      <c r="DL107" s="543"/>
      <c r="DM107" s="543"/>
      <c r="DN107" s="545"/>
      <c r="DO107" s="546"/>
      <c r="DP107" s="547"/>
      <c r="DQ107" s="545"/>
      <c r="DR107" s="451"/>
      <c r="DS107" s="548"/>
      <c r="DT107" s="527"/>
      <c r="DU107" s="528"/>
      <c r="DV107" s="529"/>
      <c r="DW107" s="527"/>
      <c r="DX107" s="686">
        <v>44743</v>
      </c>
      <c r="DY107" s="344"/>
      <c r="DZ107" s="442"/>
      <c r="EA107" s="529"/>
      <c r="EB107" s="687">
        <v>24</v>
      </c>
      <c r="EC107" s="241"/>
      <c r="ED107" s="527"/>
      <c r="EE107" s="533"/>
      <c r="EF107" s="529"/>
      <c r="EG107" s="527"/>
      <c r="EH107" s="551"/>
      <c r="EI107" s="530"/>
      <c r="EJ107" s="531"/>
      <c r="EK107" s="532"/>
      <c r="EL107" s="529"/>
      <c r="EM107" s="527"/>
      <c r="EN107" s="533"/>
      <c r="EO107" s="529"/>
      <c r="EP107" s="533"/>
      <c r="EQ107" s="533"/>
      <c r="ER107" s="529"/>
      <c r="ES107" s="533"/>
      <c r="ET107" s="533"/>
      <c r="EU107" s="529"/>
      <c r="EV107" s="533"/>
      <c r="EW107" s="533"/>
      <c r="EX107" s="529"/>
      <c r="EY107" s="533"/>
      <c r="EZ107" s="533"/>
      <c r="FA107" s="533"/>
      <c r="FB107" s="731">
        <f t="shared" si="365"/>
        <v>45474</v>
      </c>
      <c r="FC107" s="730">
        <f t="shared" si="404"/>
        <v>45566</v>
      </c>
      <c r="FD107" s="727">
        <f t="shared" si="402"/>
        <v>3.0666666666666669</v>
      </c>
      <c r="FE107" s="573"/>
      <c r="FF107" s="242"/>
      <c r="FG107" s="242"/>
      <c r="FH107" s="186">
        <f>DATE(YEAR(FC107),MONTH(FC107)+1,DAY(FC107))</f>
        <v>45597</v>
      </c>
      <c r="FI107" s="461"/>
      <c r="FJ107" s="571">
        <f t="shared" si="368"/>
        <v>45505</v>
      </c>
      <c r="FK107" s="730">
        <f t="shared" si="405"/>
        <v>45627</v>
      </c>
      <c r="FL107" s="574"/>
      <c r="FM107" s="724">
        <f t="shared" si="393"/>
        <v>4.0666666666666664</v>
      </c>
      <c r="FN107" s="700"/>
      <c r="FO107" s="246">
        <f t="shared" si="403"/>
        <v>0</v>
      </c>
      <c r="FP107" s="117"/>
      <c r="FQ107" s="556"/>
      <c r="FR107" s="556"/>
      <c r="FS107" s="556"/>
      <c r="FT107" s="556"/>
      <c r="FU107" s="748"/>
      <c r="FV107" s="749" t="e">
        <f t="shared" ref="FV107:FV113" si="407">FU107/GY107</f>
        <v>#DIV/0!</v>
      </c>
      <c r="FW107" s="559"/>
      <c r="FX107" s="577"/>
      <c r="FY107" s="559"/>
      <c r="FZ107" s="559"/>
      <c r="GA107" s="121"/>
      <c r="GB107" s="121"/>
      <c r="GC107" s="121"/>
      <c r="GD107" s="121"/>
      <c r="GE107" s="121"/>
      <c r="GF107" s="53"/>
      <c r="GG107" s="280"/>
      <c r="GH107" s="280"/>
      <c r="GI107" s="53"/>
      <c r="GJ107" s="53"/>
      <c r="GK107" s="53"/>
      <c r="GL107" s="53"/>
      <c r="GM107" s="53"/>
      <c r="GN107" s="53"/>
      <c r="GO107" s="53"/>
      <c r="GP107" s="53"/>
      <c r="GQ107" s="53"/>
      <c r="GR107" s="53"/>
      <c r="GS107" s="53"/>
      <c r="GT107" s="53"/>
      <c r="GU107" s="53"/>
      <c r="GV107" s="112"/>
      <c r="GW107" s="112"/>
      <c r="GX107" s="93"/>
      <c r="GY107" s="67"/>
      <c r="GZ107" s="67"/>
      <c r="HA107" s="94"/>
      <c r="HB107" s="49"/>
      <c r="HC107" s="49"/>
      <c r="HD107" s="93"/>
      <c r="HE107" s="67"/>
      <c r="HF107" s="94"/>
      <c r="HG107" s="128"/>
      <c r="HH107" s="129"/>
      <c r="HI107" s="93"/>
      <c r="HJ107" s="67"/>
      <c r="HK107" s="67"/>
      <c r="HL107" s="49"/>
      <c r="HM107" s="95"/>
      <c r="HN107" s="93"/>
      <c r="HO107" s="67"/>
      <c r="HP107" s="87"/>
      <c r="HQ107" s="87"/>
      <c r="HR107" s="95"/>
      <c r="HS107" s="630"/>
      <c r="HT107" s="67"/>
      <c r="HU107" s="287"/>
      <c r="HV107" s="67"/>
      <c r="HW107" s="67"/>
      <c r="HX107" s="88"/>
      <c r="HY107" s="93"/>
      <c r="HZ107" s="67"/>
      <c r="IA107" s="89"/>
      <c r="IB107" s="49"/>
      <c r="IC107" s="81"/>
      <c r="ID107" s="89"/>
      <c r="IE107" s="90"/>
      <c r="IF107" s="90"/>
      <c r="IG107" s="91"/>
      <c r="IH107" s="91"/>
      <c r="II107" s="49"/>
      <c r="IJ107" s="91"/>
      <c r="IK107" s="49"/>
      <c r="IL107" s="50"/>
      <c r="IM107" s="91"/>
      <c r="IN107" s="91"/>
      <c r="IO107" s="67"/>
      <c r="IP107" s="96"/>
      <c r="IQ107" s="231"/>
      <c r="IR107" s="231"/>
      <c r="IS107" s="113"/>
      <c r="IT107" s="314"/>
      <c r="IU107" s="314"/>
      <c r="IV107" s="239"/>
      <c r="IW107" s="239"/>
      <c r="IX107" s="330"/>
      <c r="IY107" s="236"/>
      <c r="IZ107" s="331"/>
      <c r="JA107" s="236"/>
      <c r="JB107" s="331"/>
      <c r="JC107" s="291"/>
      <c r="JD107" s="332"/>
      <c r="JE107" s="328"/>
      <c r="JF107" s="328"/>
      <c r="JG107" s="194"/>
      <c r="JH107" s="330"/>
      <c r="JI107" s="194"/>
      <c r="JJ107" s="330"/>
      <c r="JK107" s="291"/>
      <c r="JL107" s="291"/>
      <c r="JM107" s="291"/>
      <c r="JN107" s="291"/>
      <c r="JO107" s="269"/>
      <c r="JP107" s="269"/>
      <c r="JQ107" s="269"/>
      <c r="JR107" s="269"/>
      <c r="JS107" s="269"/>
      <c r="JT107" s="269"/>
      <c r="JU107" s="330"/>
      <c r="JV107" s="329"/>
      <c r="JW107" s="291"/>
      <c r="JX107" s="329"/>
      <c r="JY107" s="329"/>
      <c r="JZ107" s="291"/>
    </row>
    <row r="108" spans="1:286" ht="15" customHeight="1">
      <c r="A108" s="86" t="s">
        <v>617</v>
      </c>
      <c r="B108" s="86"/>
      <c r="C108" s="53" t="s">
        <v>35</v>
      </c>
      <c r="D108" s="53" t="s">
        <v>112</v>
      </c>
      <c r="E108" s="53">
        <v>2022</v>
      </c>
      <c r="F108" s="53"/>
      <c r="G108" s="53"/>
      <c r="H108" s="53"/>
      <c r="I108" s="53" t="s">
        <v>271</v>
      </c>
      <c r="J108" s="53"/>
      <c r="K108" s="53" t="s">
        <v>617</v>
      </c>
      <c r="L108" s="255" t="s">
        <v>925</v>
      </c>
      <c r="M108" s="166"/>
      <c r="N108" s="167"/>
      <c r="O108" s="168"/>
      <c r="P108" s="207">
        <v>2165</v>
      </c>
      <c r="Q108" s="207">
        <v>866000</v>
      </c>
      <c r="R108" s="207"/>
      <c r="S108" s="207">
        <f t="shared" si="395"/>
        <v>14433.333333333334</v>
      </c>
      <c r="T108" s="207">
        <f t="shared" si="396"/>
        <v>400</v>
      </c>
      <c r="U108" s="213">
        <f t="shared" si="397"/>
        <v>0</v>
      </c>
      <c r="V108" s="213" t="e">
        <f t="shared" si="406"/>
        <v>#DIV/0!</v>
      </c>
      <c r="W108" s="213">
        <f t="shared" si="398"/>
        <v>0</v>
      </c>
      <c r="X108" s="207">
        <f t="shared" si="399"/>
        <v>36.083333333333336</v>
      </c>
      <c r="Y108" s="208"/>
      <c r="Z108" s="907">
        <f t="shared" si="282"/>
        <v>277.13625866050808</v>
      </c>
      <c r="AA108" s="208" t="s">
        <v>188</v>
      </c>
      <c r="AB108" s="208">
        <v>500</v>
      </c>
      <c r="AC108" s="209">
        <v>0.1</v>
      </c>
      <c r="AD108" s="54" t="s">
        <v>15</v>
      </c>
      <c r="AE108" s="771">
        <f t="shared" si="401"/>
        <v>60</v>
      </c>
      <c r="AF108" s="771">
        <f t="shared" si="340"/>
        <v>60</v>
      </c>
      <c r="AG108" s="53">
        <v>30</v>
      </c>
      <c r="AH108" s="114"/>
      <c r="AI108" s="53">
        <v>30</v>
      </c>
      <c r="AJ108" s="64"/>
      <c r="AK108" s="807"/>
      <c r="AL108" s="57"/>
      <c r="AM108" s="804"/>
      <c r="AN108" s="92"/>
      <c r="AO108" s="57">
        <f>AN108/AE108</f>
        <v>0</v>
      </c>
      <c r="AP108" s="78"/>
      <c r="AQ108" s="78"/>
      <c r="AR108" s="78"/>
      <c r="AS108" s="78"/>
      <c r="AT108" s="78"/>
      <c r="AU108" s="57"/>
      <c r="AV108" s="76"/>
      <c r="AW108" s="78"/>
      <c r="AX108" s="57"/>
      <c r="AY108" s="53"/>
      <c r="AZ108" s="53"/>
      <c r="BA108" s="53"/>
      <c r="BB108" s="53"/>
      <c r="BC108" s="184">
        <v>43229</v>
      </c>
      <c r="BD108" s="184"/>
      <c r="BE108" s="53"/>
      <c r="BF108" s="110" t="s">
        <v>168</v>
      </c>
      <c r="BG108" s="110" t="s">
        <v>168</v>
      </c>
      <c r="BH108" s="97"/>
      <c r="BI108" s="204"/>
      <c r="BJ108" s="99"/>
      <c r="BK108" s="99"/>
      <c r="BL108" s="204"/>
      <c r="BM108" s="99"/>
      <c r="BN108" s="161"/>
      <c r="BO108" s="203"/>
      <c r="BP108" s="161"/>
      <c r="BQ108" s="161"/>
      <c r="BR108" s="299">
        <f>BO108</f>
        <v>0</v>
      </c>
      <c r="BS108" s="298">
        <f>DATE(YEAR(BR108),MONTH(BR108)+24,DAY(BR108))</f>
        <v>731</v>
      </c>
      <c r="BT108" s="298">
        <f>DATE(YEAR(BR108),MONTH(BR108)+36,DAY(BR108))</f>
        <v>1096</v>
      </c>
      <c r="BU108" s="298"/>
      <c r="BV108" s="298" t="str">
        <f>IF(FK108&gt;BS108,"oui","non")</f>
        <v>oui</v>
      </c>
      <c r="BW108" s="672" t="e">
        <f>DATEDIF(FK108,BT108,"M")</f>
        <v>#NUM!</v>
      </c>
      <c r="BX108" s="672" t="e">
        <f>BW108*FN108</f>
        <v>#NUM!</v>
      </c>
      <c r="BY108" s="672" t="e">
        <f>IF((BX108-BU108&gt;0),0,(BX108-BU108))</f>
        <v>#NUM!</v>
      </c>
      <c r="BZ108" s="824"/>
      <c r="CA108" s="832"/>
      <c r="CB108" s="826"/>
      <c r="CC108" s="826"/>
      <c r="CD108" s="826"/>
      <c r="CE108" s="826"/>
      <c r="CF108" s="819"/>
      <c r="CG108" s="819"/>
      <c r="CH108" s="819"/>
      <c r="CI108" s="819"/>
      <c r="CJ108" s="819"/>
      <c r="CK108" s="819"/>
      <c r="CL108" s="819"/>
      <c r="CM108" s="819"/>
      <c r="CN108" s="819"/>
      <c r="CO108" s="819"/>
      <c r="CP108" s="819"/>
      <c r="CQ108" s="819"/>
      <c r="CR108" s="819"/>
      <c r="CS108" s="159"/>
      <c r="CT108" s="250"/>
      <c r="CU108" s="250"/>
      <c r="CV108" s="158"/>
      <c r="CW108" s="250"/>
      <c r="CX108" s="250"/>
      <c r="CY108" s="250"/>
      <c r="CZ108" s="250"/>
      <c r="DA108" s="597"/>
      <c r="DB108" s="543"/>
      <c r="DC108" s="543"/>
      <c r="DD108" s="543"/>
      <c r="DE108" s="545"/>
      <c r="DF108" s="543"/>
      <c r="DG108" s="543"/>
      <c r="DH108" s="545"/>
      <c r="DI108" s="543"/>
      <c r="DJ108" s="543"/>
      <c r="DK108" s="545"/>
      <c r="DL108" s="543"/>
      <c r="DM108" s="543"/>
      <c r="DN108" s="545"/>
      <c r="DO108" s="546"/>
      <c r="DP108" s="547"/>
      <c r="DQ108" s="545"/>
      <c r="DR108" s="451"/>
      <c r="DS108" s="544"/>
      <c r="DT108" s="527"/>
      <c r="DU108" s="528"/>
      <c r="DV108" s="529"/>
      <c r="DW108" s="527"/>
      <c r="DX108" s="686">
        <v>45108</v>
      </c>
      <c r="DY108" s="344"/>
      <c r="DZ108" s="442">
        <f>(DATEDIF(BI108,DX108,"d"))/30</f>
        <v>1503.6</v>
      </c>
      <c r="EA108" s="529" t="str">
        <f>IF(AND(DW108&gt;0,DX108&gt;0),DX108-DW108,"0")</f>
        <v>0</v>
      </c>
      <c r="EB108" s="687">
        <v>16</v>
      </c>
      <c r="EC108" s="241">
        <f>DATEDIF(DX108,FC108,"M")</f>
        <v>19</v>
      </c>
      <c r="ED108" s="527"/>
      <c r="EE108" s="533">
        <f ca="1">IF(ED108&lt;TODAY(),TODAY(),ED108)</f>
        <v>43423</v>
      </c>
      <c r="EF108" s="529" t="str">
        <f ca="1">IF(AND(ED108&gt;0,EE108&gt;0),EE108-ED108,"0")</f>
        <v>0</v>
      </c>
      <c r="EG108" s="527"/>
      <c r="EH108" s="551">
        <f ca="1">IF(EG108&lt;TODAY(),TODAY(),EG108)</f>
        <v>43423</v>
      </c>
      <c r="EI108" s="530"/>
      <c r="EJ108" s="531"/>
      <c r="EK108" s="532"/>
      <c r="EL108" s="529" t="str">
        <f>IF(AND(EJ108&gt;0,EK108&gt;0),EK108-EJ108,"0")</f>
        <v>0</v>
      </c>
      <c r="EM108" s="527"/>
      <c r="EN108" s="533">
        <f ca="1">IF(EM108&lt;TODAY(),TODAY(),EM108)</f>
        <v>43423</v>
      </c>
      <c r="EO108" s="529" t="str">
        <f ca="1">IF(AND(EM108&gt;0,EN108&gt;0),EN108-EM108,"0")</f>
        <v>0</v>
      </c>
      <c r="EP108" s="533"/>
      <c r="EQ108" s="533">
        <f ca="1">IF(EP108&lt;TODAY(),TODAY(),EP108)</f>
        <v>43423</v>
      </c>
      <c r="ER108" s="529" t="str">
        <f ca="1">IF(AND(EP108&gt;0,EQ108&gt;0),EQ108-EP108,"0")</f>
        <v>0</v>
      </c>
      <c r="ES108" s="533"/>
      <c r="ET108" s="533">
        <f ca="1">IF(ES108&lt;TODAY(),TODAY(),ES108)</f>
        <v>43423</v>
      </c>
      <c r="EU108" s="529" t="str">
        <f ca="1">IF(AND(ES108&gt;0,ET108&gt;0),ET108-ES108,"0")</f>
        <v>0</v>
      </c>
      <c r="EV108" s="533"/>
      <c r="EW108" s="533">
        <f ca="1">IF(EV108&lt;TODAY(),TODAY(),EV108)</f>
        <v>43423</v>
      </c>
      <c r="EX108" s="529" t="str">
        <f ca="1">IF(AND(EV108&gt;0,EW108&gt;0),EW108-EV108,"0")</f>
        <v>0</v>
      </c>
      <c r="EY108" s="533"/>
      <c r="EZ108" s="533"/>
      <c r="FA108" s="533"/>
      <c r="FB108" s="616">
        <f t="shared" si="365"/>
        <v>45597</v>
      </c>
      <c r="FC108" s="401">
        <f t="shared" si="404"/>
        <v>45689</v>
      </c>
      <c r="FD108" s="727">
        <f t="shared" si="402"/>
        <v>3.0666666666666669</v>
      </c>
      <c r="FE108" s="573">
        <f>DATE(YEAR(CY108)+2,MONTH(CY108),DAY(CY108))</f>
        <v>731</v>
      </c>
      <c r="FF108" s="242"/>
      <c r="FG108" s="242"/>
      <c r="FH108" s="186">
        <f>DATE(YEAR(FC108),MONTH(FC108),DAY(FC108)+15)</f>
        <v>45704</v>
      </c>
      <c r="FI108" s="461"/>
      <c r="FJ108" s="571">
        <f t="shared" si="368"/>
        <v>45627</v>
      </c>
      <c r="FK108" s="450">
        <f t="shared" si="405"/>
        <v>45732</v>
      </c>
      <c r="FL108" s="574"/>
      <c r="FM108" s="724">
        <f t="shared" si="393"/>
        <v>3.5</v>
      </c>
      <c r="FN108" s="700"/>
      <c r="FO108" s="246">
        <f t="shared" si="403"/>
        <v>0</v>
      </c>
      <c r="FP108" s="117"/>
      <c r="FQ108" s="556"/>
      <c r="FR108" s="556">
        <v>0</v>
      </c>
      <c r="FS108" s="556"/>
      <c r="FT108" s="556"/>
      <c r="FU108" s="748"/>
      <c r="FV108" s="749" t="e">
        <f t="shared" si="407"/>
        <v>#DIV/0!</v>
      </c>
      <c r="FW108" s="559"/>
      <c r="FX108" s="577"/>
      <c r="FY108" s="559"/>
      <c r="FZ108" s="559"/>
      <c r="GA108" s="121"/>
      <c r="GB108" s="121"/>
      <c r="GC108" s="121"/>
      <c r="GD108" s="121"/>
      <c r="GE108" s="121"/>
      <c r="GF108" s="53"/>
      <c r="GG108" s="280">
        <f>DATE(YEAR(FC108)+1,MONTH(FC108),DAY(FC108))</f>
        <v>46054</v>
      </c>
      <c r="GH108" s="280"/>
      <c r="GI108" s="53"/>
      <c r="GJ108" s="53"/>
      <c r="GK108" s="53"/>
      <c r="GL108" s="53"/>
      <c r="GM108" s="53"/>
      <c r="GN108" s="53"/>
      <c r="GO108" s="53"/>
      <c r="GP108" s="53"/>
      <c r="GQ108" s="53"/>
      <c r="GR108" s="53"/>
      <c r="GS108" s="53"/>
      <c r="GT108" s="53"/>
      <c r="GU108" s="53"/>
      <c r="GV108" s="112"/>
      <c r="GW108" s="112"/>
      <c r="GX108" s="93"/>
      <c r="GY108" s="67"/>
      <c r="GZ108" s="67">
        <f>GY108</f>
        <v>0</v>
      </c>
      <c r="HA108" s="94"/>
      <c r="HB108" s="49"/>
      <c r="HC108" s="49"/>
      <c r="HD108" s="93"/>
      <c r="HE108" s="67"/>
      <c r="HF108" s="94"/>
      <c r="HG108" s="128"/>
      <c r="HH108" s="129"/>
      <c r="HI108" s="93"/>
      <c r="HJ108" s="67"/>
      <c r="HK108" s="67"/>
      <c r="HL108" s="23"/>
      <c r="HM108" s="95"/>
      <c r="HN108" s="93"/>
      <c r="HO108" s="67"/>
      <c r="HP108" s="87"/>
      <c r="HQ108" s="87"/>
      <c r="HR108" s="95"/>
      <c r="HS108" s="630"/>
      <c r="HT108" s="67"/>
      <c r="HU108" s="93"/>
      <c r="HV108" s="67"/>
      <c r="HW108" s="67"/>
      <c r="HX108" s="40"/>
      <c r="HY108" s="303"/>
      <c r="HZ108" s="67"/>
      <c r="IA108" s="89"/>
      <c r="IB108" s="23"/>
      <c r="IC108" s="81"/>
      <c r="ID108" s="89"/>
      <c r="IE108" s="90"/>
      <c r="IF108" s="90"/>
      <c r="IG108" s="91"/>
      <c r="IH108" s="91"/>
      <c r="II108" s="49"/>
      <c r="IJ108" s="91"/>
      <c r="IK108" s="49"/>
      <c r="IL108" s="50"/>
      <c r="IM108" s="91"/>
      <c r="IN108" s="91"/>
      <c r="IO108" s="67">
        <f>FR108</f>
        <v>0</v>
      </c>
      <c r="IP108" s="41"/>
      <c r="IQ108" s="277"/>
      <c r="IR108" s="277"/>
      <c r="IS108" s="278"/>
      <c r="IT108" s="281"/>
      <c r="IU108" s="281"/>
      <c r="IV108" s="253"/>
      <c r="IW108" s="253"/>
      <c r="IX108" s="385"/>
      <c r="IY108" s="261"/>
      <c r="IZ108" s="274"/>
      <c r="JA108" s="261"/>
      <c r="JB108" s="460"/>
      <c r="JC108" s="279"/>
      <c r="JD108" s="284"/>
      <c r="JE108" s="282"/>
      <c r="JF108" s="282"/>
      <c r="JG108" s="276"/>
      <c r="JH108" s="277"/>
      <c r="JI108" s="276"/>
      <c r="JJ108" s="277"/>
      <c r="JK108" s="300"/>
      <c r="JL108" s="300"/>
      <c r="JM108" s="300"/>
      <c r="JN108" s="300"/>
      <c r="JO108" s="269"/>
      <c r="JP108" s="269"/>
      <c r="JQ108" s="269"/>
      <c r="JR108" s="269"/>
      <c r="JS108" s="269"/>
      <c r="JT108" s="269"/>
      <c r="JU108" s="281"/>
      <c r="JV108" s="117"/>
      <c r="JW108" s="279"/>
      <c r="JX108" s="117"/>
      <c r="JY108" s="271"/>
      <c r="JZ108" s="279"/>
    </row>
    <row r="109" spans="1:286" ht="15" customHeight="1">
      <c r="A109" s="98" t="s">
        <v>429</v>
      </c>
      <c r="B109" s="98"/>
      <c r="C109" s="53" t="s">
        <v>35</v>
      </c>
      <c r="D109" s="53" t="s">
        <v>112</v>
      </c>
      <c r="E109" s="53" t="s">
        <v>907</v>
      </c>
      <c r="F109" s="53"/>
      <c r="G109" s="53"/>
      <c r="H109" s="53"/>
      <c r="I109" s="53" t="s">
        <v>243</v>
      </c>
      <c r="J109" s="53"/>
      <c r="K109" s="53" t="s">
        <v>786</v>
      </c>
      <c r="L109" s="255" t="s">
        <v>922</v>
      </c>
      <c r="M109" s="166"/>
      <c r="N109" s="167"/>
      <c r="O109" s="168"/>
      <c r="P109" s="213">
        <v>6396</v>
      </c>
      <c r="Q109" s="213">
        <v>703760</v>
      </c>
      <c r="R109" s="213">
        <v>703760</v>
      </c>
      <c r="S109" s="207">
        <f t="shared" si="395"/>
        <v>19020.54054054054</v>
      </c>
      <c r="T109" s="207">
        <f t="shared" si="396"/>
        <v>110.03126954346466</v>
      </c>
      <c r="U109" s="213">
        <f t="shared" si="397"/>
        <v>110.03126954346466</v>
      </c>
      <c r="V109" s="213">
        <f t="shared" si="406"/>
        <v>253.39079776911251</v>
      </c>
      <c r="W109" s="213">
        <f t="shared" si="398"/>
        <v>19020.54054054054</v>
      </c>
      <c r="X109" s="207">
        <f t="shared" si="399"/>
        <v>172.86486486486487</v>
      </c>
      <c r="Y109" s="216"/>
      <c r="Z109" s="907">
        <f t="shared" si="282"/>
        <v>57.848655409631021</v>
      </c>
      <c r="AA109" s="216" t="s">
        <v>857</v>
      </c>
      <c r="AB109" s="208">
        <v>730</v>
      </c>
      <c r="AC109" s="209">
        <v>0.2</v>
      </c>
      <c r="AD109" s="53" t="s">
        <v>16</v>
      </c>
      <c r="AE109" s="771">
        <f t="shared" si="401"/>
        <v>37</v>
      </c>
      <c r="AF109" s="771">
        <f t="shared" si="340"/>
        <v>37</v>
      </c>
      <c r="AG109" s="64"/>
      <c r="AH109" s="53">
        <v>37</v>
      </c>
      <c r="AI109" s="64"/>
      <c r="AJ109" s="64"/>
      <c r="AK109" s="807"/>
      <c r="AL109" s="57">
        <v>2777.37</v>
      </c>
      <c r="AM109" s="804"/>
      <c r="AN109" s="400">
        <v>2777.37</v>
      </c>
      <c r="AO109" s="57">
        <f>AN109/AE109</f>
        <v>75.064054054054054</v>
      </c>
      <c r="AP109" s="59"/>
      <c r="AQ109" s="59"/>
      <c r="AR109" s="59"/>
      <c r="AS109" s="59"/>
      <c r="AT109" s="59"/>
      <c r="AU109" s="57"/>
      <c r="AV109" s="76"/>
      <c r="AW109" s="900">
        <v>598</v>
      </c>
      <c r="AX109" s="57">
        <v>1.5</v>
      </c>
      <c r="AY109" s="56" t="s">
        <v>549</v>
      </c>
      <c r="AZ109" s="53" t="s">
        <v>121</v>
      </c>
      <c r="BA109" s="53"/>
      <c r="BB109" s="53"/>
      <c r="BC109" s="53"/>
      <c r="BD109" s="190"/>
      <c r="BE109" s="53"/>
      <c r="BF109" s="110" t="s">
        <v>168</v>
      </c>
      <c r="BG109" s="110" t="s">
        <v>168</v>
      </c>
      <c r="BH109" s="258"/>
      <c r="BI109" s="204"/>
      <c r="BJ109" s="99"/>
      <c r="BK109" s="99"/>
      <c r="BL109" s="204"/>
      <c r="BM109" s="99"/>
      <c r="BN109" s="161"/>
      <c r="BO109" s="203"/>
      <c r="BP109" s="161"/>
      <c r="BQ109" s="161"/>
      <c r="BR109" s="299">
        <f>BO109</f>
        <v>0</v>
      </c>
      <c r="BS109" s="298">
        <f>DATE(YEAR(BR109),MONTH(BR109)+24,DAY(BR109))</f>
        <v>731</v>
      </c>
      <c r="BT109" s="298">
        <f>DATE(YEAR(BR109),MONTH(BR109)+36,DAY(BR109))</f>
        <v>1096</v>
      </c>
      <c r="BU109" s="298"/>
      <c r="BV109" s="298" t="str">
        <f>IF(FK109&gt;BS109,"oui","non")</f>
        <v>oui</v>
      </c>
      <c r="BW109" s="672" t="e">
        <f>DATEDIF(FK109,BT109,"M")</f>
        <v>#NUM!</v>
      </c>
      <c r="BX109" s="672" t="e">
        <f>BW109*FN109</f>
        <v>#NUM!</v>
      </c>
      <c r="BY109" s="672" t="e">
        <f>IF((BX109-BU109&gt;0),0,(BX109-BU109))</f>
        <v>#NUM!</v>
      </c>
      <c r="BZ109" s="824"/>
      <c r="CA109" s="816"/>
      <c r="CB109" s="826"/>
      <c r="CC109" s="826"/>
      <c r="CD109" s="826"/>
      <c r="CE109" s="826"/>
      <c r="CF109" s="819"/>
      <c r="CG109" s="819"/>
      <c r="CH109" s="819"/>
      <c r="CI109" s="819"/>
      <c r="CJ109" s="819"/>
      <c r="CK109" s="819"/>
      <c r="CL109" s="819"/>
      <c r="CM109" s="819"/>
      <c r="CN109" s="819"/>
      <c r="CO109" s="819"/>
      <c r="CP109" s="819"/>
      <c r="CQ109" s="819"/>
      <c r="CR109" s="819"/>
      <c r="CS109" s="159"/>
      <c r="CT109" s="250"/>
      <c r="CU109" s="250"/>
      <c r="CV109" s="158"/>
      <c r="CW109" s="250"/>
      <c r="CX109" s="250"/>
      <c r="CY109" s="250"/>
      <c r="CZ109" s="250" t="s">
        <v>168</v>
      </c>
      <c r="DA109" s="598"/>
      <c r="DB109" s="543"/>
      <c r="DC109" s="541"/>
      <c r="DD109" s="541"/>
      <c r="DE109" s="545" t="str">
        <f>IF(AND(DC109&gt;0,DD109&gt;0),DD109-DC109,"0")</f>
        <v>0</v>
      </c>
      <c r="DF109" s="543"/>
      <c r="DG109" s="543"/>
      <c r="DH109" s="545" t="str">
        <f>IF(AND(DF109&gt;0,DG109&gt;0),DG109-DF109,"0")</f>
        <v>0</v>
      </c>
      <c r="DI109" s="546"/>
      <c r="DJ109" s="540"/>
      <c r="DK109" s="545" t="str">
        <f>IF(AND(DI109&gt;0,DJ109&gt;0),DJ109-DI109,"0")</f>
        <v>0</v>
      </c>
      <c r="DL109" s="546"/>
      <c r="DM109" s="540"/>
      <c r="DN109" s="545" t="str">
        <f>IF(AND(DL109&gt;0,DM109&gt;0),DM109-DL109,"0")</f>
        <v>0</v>
      </c>
      <c r="DO109" s="546"/>
      <c r="DP109" s="547"/>
      <c r="DQ109" s="545" t="str">
        <f>IF(AND(DO109&gt;0,DP109&gt;0),DP109-DO109,"0")</f>
        <v>0</v>
      </c>
      <c r="DR109" s="78"/>
      <c r="DS109" s="544"/>
      <c r="DT109" s="527"/>
      <c r="DU109" s="528"/>
      <c r="DV109" s="529" t="str">
        <f>IF(AND(DT109&gt;0,DU109&gt;0),DU109-DT109,"0")</f>
        <v>0</v>
      </c>
      <c r="DW109" s="527"/>
      <c r="DX109" s="686">
        <v>45108</v>
      </c>
      <c r="DY109" s="346"/>
      <c r="DZ109" s="442">
        <f>(DATEDIF(BI109,DX109,"d"))/30</f>
        <v>1503.6</v>
      </c>
      <c r="EA109" s="529" t="str">
        <f>IF(AND(DW109&gt;0,DX109&gt;0),DX109-DW109,"0")</f>
        <v>0</v>
      </c>
      <c r="EB109" s="687">
        <v>16</v>
      </c>
      <c r="EC109" s="241">
        <f>DATEDIF(DX109,FC109,"M")</f>
        <v>19</v>
      </c>
      <c r="ED109" s="527"/>
      <c r="EE109" s="533">
        <f ca="1">IF(ED109&lt;TODAY(),TODAY(),ED109)</f>
        <v>43423</v>
      </c>
      <c r="EF109" s="529" t="str">
        <f ca="1">IF(AND(ED109&gt;0,EE109&gt;0),EE109-ED109,"0")</f>
        <v>0</v>
      </c>
      <c r="EG109" s="527"/>
      <c r="EH109" s="551">
        <f ca="1">IF(EG109&lt;TODAY(),TODAY(),EG109)</f>
        <v>43423</v>
      </c>
      <c r="EI109" s="530" t="str">
        <f ca="1">IF(AND(EG109&gt;0,EH109&gt;0),EH109-EG109,"0")</f>
        <v>0</v>
      </c>
      <c r="EJ109" s="531"/>
      <c r="EK109" s="532"/>
      <c r="EL109" s="529" t="str">
        <f>IF(AND(EJ109&gt;0,EK109&gt;0),EK109-EJ109,"0")</f>
        <v>0</v>
      </c>
      <c r="EM109" s="527"/>
      <c r="EN109" s="533">
        <f ca="1">IF(EM109&lt;TODAY(),TODAY(),EM109)</f>
        <v>43423</v>
      </c>
      <c r="EO109" s="529" t="str">
        <f ca="1">IF(AND(EM109&gt;0,EN109&gt;0),EN109-EM109,"0")</f>
        <v>0</v>
      </c>
      <c r="EP109" s="533"/>
      <c r="EQ109" s="533">
        <f ca="1">IF(EP109&lt;TODAY(),TODAY(),EP109)</f>
        <v>43423</v>
      </c>
      <c r="ER109" s="529" t="str">
        <f ca="1">IF(AND(EP109&gt;0,EQ109&gt;0),EQ109-EP109,"0")</f>
        <v>0</v>
      </c>
      <c r="ES109" s="533"/>
      <c r="ET109" s="533">
        <f ca="1">IF(ES109&lt;TODAY(),TODAY(),ES109)</f>
        <v>43423</v>
      </c>
      <c r="EU109" s="529" t="str">
        <f ca="1">IF(AND(ES109&gt;0,ET109&gt;0),ET109-ES109,"0")</f>
        <v>0</v>
      </c>
      <c r="EV109" s="533"/>
      <c r="EW109" s="533">
        <f ca="1">IF(EV109&lt;TODAY(),TODAY(),EV109)</f>
        <v>43423</v>
      </c>
      <c r="EX109" s="529" t="str">
        <f ca="1">IF(AND(EV109&gt;0,EW109&gt;0),EW109-EV109,"0")</f>
        <v>0</v>
      </c>
      <c r="EY109" s="533"/>
      <c r="EZ109" s="533"/>
      <c r="FA109" s="533"/>
      <c r="FB109" s="616">
        <f t="shared" si="365"/>
        <v>45597</v>
      </c>
      <c r="FC109" s="401">
        <f t="shared" si="404"/>
        <v>45689</v>
      </c>
      <c r="FD109" s="727">
        <f t="shared" si="402"/>
        <v>3.0666666666666669</v>
      </c>
      <c r="FE109" s="573">
        <f>DATE(YEAR(CY109)+2,MONTH(CY109),DAY(CY109))</f>
        <v>731</v>
      </c>
      <c r="FF109" s="186"/>
      <c r="FG109" s="124"/>
      <c r="FH109" s="186">
        <f>DATE(YEAR(FC109),MONTH(FC109)+1,DAY(FC109))</f>
        <v>45717</v>
      </c>
      <c r="FI109" s="461"/>
      <c r="FJ109" s="571">
        <f t="shared" si="368"/>
        <v>45627</v>
      </c>
      <c r="FK109" s="450">
        <f t="shared" si="405"/>
        <v>45748</v>
      </c>
      <c r="FL109" s="410"/>
      <c r="FM109" s="724">
        <f t="shared" si="393"/>
        <v>4.0333333333333332</v>
      </c>
      <c r="FN109" s="696"/>
      <c r="FO109" s="246">
        <f t="shared" si="403"/>
        <v>0</v>
      </c>
      <c r="FP109" s="273"/>
      <c r="FQ109" s="556"/>
      <c r="FR109" s="556">
        <v>0</v>
      </c>
      <c r="FS109" s="556"/>
      <c r="FT109" s="556"/>
      <c r="FU109" s="748"/>
      <c r="FV109" s="749" t="e">
        <f t="shared" si="407"/>
        <v>#DIV/0!</v>
      </c>
      <c r="FW109" s="559"/>
      <c r="FX109" s="577"/>
      <c r="FY109" s="559"/>
      <c r="FZ109" s="559"/>
      <c r="GA109" s="121"/>
      <c r="GB109" s="121"/>
      <c r="GC109" s="121"/>
      <c r="GD109" s="121"/>
      <c r="GE109" s="121"/>
      <c r="GF109" s="53"/>
      <c r="GG109" s="280">
        <f>DATE(YEAR(FC109)+1,MONTH(FC109),DAY(FC109))</f>
        <v>46054</v>
      </c>
      <c r="GH109" s="280"/>
      <c r="GI109" s="53"/>
      <c r="GJ109" s="53"/>
      <c r="GK109" s="53"/>
      <c r="GL109" s="53"/>
      <c r="GM109" s="53"/>
      <c r="GN109" s="53"/>
      <c r="GO109" s="53"/>
      <c r="GP109" s="53"/>
      <c r="GQ109" s="53"/>
      <c r="GR109" s="53"/>
      <c r="GS109" s="53"/>
      <c r="GT109" s="53"/>
      <c r="GU109" s="53"/>
      <c r="GV109" s="112"/>
      <c r="GW109" s="112"/>
      <c r="GX109" s="93">
        <f>+HI109+HN109+HU109+IO109+HZ109</f>
        <v>0</v>
      </c>
      <c r="GY109" s="67">
        <f>HJ109+HO109+HV109+IO109+HW109+HZ109</f>
        <v>0</v>
      </c>
      <c r="GZ109" s="67">
        <f>GY109</f>
        <v>0</v>
      </c>
      <c r="HA109" s="94">
        <f>GY109-GX109</f>
        <v>0</v>
      </c>
      <c r="HB109" s="49">
        <f>GX109/AL109</f>
        <v>0</v>
      </c>
      <c r="HC109" s="49">
        <f>GX109/AE109</f>
        <v>0</v>
      </c>
      <c r="HD109" s="93"/>
      <c r="HE109" s="67"/>
      <c r="HF109" s="94">
        <f>HE109-HD109</f>
        <v>0</v>
      </c>
      <c r="HG109" s="128" t="e">
        <f>HE109*1.021/GY109</f>
        <v>#DIV/0!</v>
      </c>
      <c r="HH109" s="128">
        <v>0.4</v>
      </c>
      <c r="HI109" s="93"/>
      <c r="HJ109" s="67"/>
      <c r="HK109" s="67"/>
      <c r="HL109" s="49">
        <f>HJ109/AE109</f>
        <v>0</v>
      </c>
      <c r="HM109" s="95"/>
      <c r="HN109" s="93"/>
      <c r="HO109" s="67">
        <f>HP109+HQ109</f>
        <v>0</v>
      </c>
      <c r="HP109" s="87"/>
      <c r="HQ109" s="87"/>
      <c r="HR109" s="95">
        <f>HO109-HN109</f>
        <v>0</v>
      </c>
      <c r="HS109" s="630">
        <f>HO109/AE109</f>
        <v>0</v>
      </c>
      <c r="HT109" s="67"/>
      <c r="HU109" s="93"/>
      <c r="HV109" s="67"/>
      <c r="HW109" s="67"/>
      <c r="HX109" s="88" t="e">
        <f>HV109/GY109</f>
        <v>#DIV/0!</v>
      </c>
      <c r="HY109" s="303"/>
      <c r="HZ109" s="67"/>
      <c r="IA109" s="89">
        <f>HV109-HU109</f>
        <v>0</v>
      </c>
      <c r="IB109" s="81">
        <f>HV109/AE109</f>
        <v>0</v>
      </c>
      <c r="IC109" s="81">
        <f>(HJ109+HV109)/AE109</f>
        <v>0</v>
      </c>
      <c r="ID109" s="89">
        <f>IA109/AE109</f>
        <v>0</v>
      </c>
      <c r="IE109" s="259">
        <v>6.31</v>
      </c>
      <c r="IF109" s="259"/>
      <c r="IG109" s="91"/>
      <c r="IH109" s="91"/>
      <c r="II109" s="49">
        <f>(HI109+HU109+IH109)/AE109</f>
        <v>0</v>
      </c>
      <c r="IJ109" s="91"/>
      <c r="IK109" s="49">
        <f>(HJ109+HV109+IH109+IJ109)/AE109</f>
        <v>0</v>
      </c>
      <c r="IL109" s="50" t="e">
        <f>(HI109+HU109+IH109+IJ109)/(IG109+GX109-IM109)</f>
        <v>#DIV/0!</v>
      </c>
      <c r="IM109" s="91"/>
      <c r="IN109" s="91"/>
      <c r="IO109" s="67">
        <f>FR109</f>
        <v>0</v>
      </c>
      <c r="IP109" s="96">
        <f>GX109+IG109</f>
        <v>0</v>
      </c>
      <c r="IQ109" s="277"/>
      <c r="IR109" s="277">
        <f>IT109+IV109+IX109+IZ109+JB109+JD109+JF109+JH109+JJ109+JL109+JN109+JP109+JR109+JT109+JV109+JX109+JZ109</f>
        <v>0</v>
      </c>
      <c r="IS109" s="278"/>
      <c r="IT109" s="281">
        <v>0</v>
      </c>
      <c r="IU109" s="281"/>
      <c r="IV109" s="253"/>
      <c r="IW109" s="253"/>
      <c r="IX109" s="385">
        <v>0</v>
      </c>
      <c r="IY109" s="261"/>
      <c r="IZ109" s="274">
        <v>0</v>
      </c>
      <c r="JA109" s="261"/>
      <c r="JB109" s="460"/>
      <c r="JC109" s="279"/>
      <c r="JD109" s="284"/>
      <c r="JE109" s="282"/>
      <c r="JF109" s="282"/>
      <c r="JG109" s="276"/>
      <c r="JH109" s="277"/>
      <c r="JI109" s="276"/>
      <c r="JJ109" s="277"/>
      <c r="JK109" s="300"/>
      <c r="JL109" s="300"/>
      <c r="JM109" s="300"/>
      <c r="JN109" s="300"/>
      <c r="JO109" s="269"/>
      <c r="JP109" s="269"/>
      <c r="JQ109" s="269"/>
      <c r="JR109" s="269"/>
      <c r="JS109" s="269"/>
      <c r="JT109" s="269"/>
      <c r="JU109" s="281" t="e">
        <f>$JU$1*IQ109</f>
        <v>#VALUE!</v>
      </c>
      <c r="JV109" s="117"/>
      <c r="JW109" s="279"/>
      <c r="JX109" s="117"/>
      <c r="JY109" s="121"/>
      <c r="JZ109" s="279"/>
    </row>
    <row r="110" spans="1:286" ht="15" customHeight="1">
      <c r="A110" s="86" t="s">
        <v>607</v>
      </c>
      <c r="B110" s="86"/>
      <c r="C110" s="53" t="s">
        <v>77</v>
      </c>
      <c r="D110" s="53" t="s">
        <v>114</v>
      </c>
      <c r="E110" s="53">
        <v>2022</v>
      </c>
      <c r="F110" s="53"/>
      <c r="G110" s="53"/>
      <c r="H110" s="53"/>
      <c r="I110" s="53" t="s">
        <v>404</v>
      </c>
      <c r="J110" s="53"/>
      <c r="K110" s="53" t="s">
        <v>608</v>
      </c>
      <c r="L110" s="255" t="s">
        <v>905</v>
      </c>
      <c r="M110" s="166" t="s">
        <v>609</v>
      </c>
      <c r="N110" s="167"/>
      <c r="O110" s="168"/>
      <c r="P110" s="207">
        <f>1707+1545</f>
        <v>3252</v>
      </c>
      <c r="Q110" s="207">
        <v>567840</v>
      </c>
      <c r="R110" s="207">
        <v>567840</v>
      </c>
      <c r="S110" s="207">
        <f t="shared" si="395"/>
        <v>37856</v>
      </c>
      <c r="T110" s="207">
        <f t="shared" si="396"/>
        <v>174.61254612546125</v>
      </c>
      <c r="U110" s="213">
        <f t="shared" si="397"/>
        <v>174.61254612546125</v>
      </c>
      <c r="V110" s="213" t="e">
        <f t="shared" si="406"/>
        <v>#DIV/0!</v>
      </c>
      <c r="W110" s="213">
        <f t="shared" si="398"/>
        <v>37856</v>
      </c>
      <c r="X110" s="207">
        <f t="shared" si="399"/>
        <v>216.8</v>
      </c>
      <c r="Y110" s="208"/>
      <c r="Z110" s="907">
        <f t="shared" si="282"/>
        <v>46.125461254612546</v>
      </c>
      <c r="AA110" s="208"/>
      <c r="AB110" s="208"/>
      <c r="AC110" s="209"/>
      <c r="AD110" s="54" t="s">
        <v>16</v>
      </c>
      <c r="AE110" s="772">
        <f t="shared" si="401"/>
        <v>15</v>
      </c>
      <c r="AF110" s="772">
        <f t="shared" si="340"/>
        <v>15</v>
      </c>
      <c r="AG110" s="64"/>
      <c r="AH110" s="53">
        <v>15</v>
      </c>
      <c r="AI110" s="64"/>
      <c r="AJ110" s="64"/>
      <c r="AK110" s="807"/>
      <c r="AL110" s="57"/>
      <c r="AM110" s="804"/>
      <c r="AN110" s="92"/>
      <c r="AO110" s="57"/>
      <c r="AP110" s="78"/>
      <c r="AQ110" s="78"/>
      <c r="AR110" s="78"/>
      <c r="AS110" s="78"/>
      <c r="AT110" s="78"/>
      <c r="AU110" s="57"/>
      <c r="AV110" s="76"/>
      <c r="AW110" s="78"/>
      <c r="AX110" s="57"/>
      <c r="AY110" s="53"/>
      <c r="AZ110" s="53"/>
      <c r="BA110" s="53"/>
      <c r="BB110" s="53"/>
      <c r="BC110" s="184"/>
      <c r="BD110" s="184"/>
      <c r="BE110" s="53"/>
      <c r="BF110" s="110"/>
      <c r="BG110" s="110"/>
      <c r="BH110" s="97"/>
      <c r="BI110" s="204"/>
      <c r="BJ110" s="99"/>
      <c r="BK110" s="99"/>
      <c r="BL110" s="204"/>
      <c r="BM110" s="99"/>
      <c r="BN110" s="161"/>
      <c r="BO110" s="203"/>
      <c r="BP110" s="161"/>
      <c r="BQ110" s="161"/>
      <c r="BR110" s="299"/>
      <c r="BS110" s="298"/>
      <c r="BT110" s="298"/>
      <c r="BU110" s="298"/>
      <c r="BV110" s="298"/>
      <c r="BW110" s="672"/>
      <c r="BX110" s="672"/>
      <c r="BY110" s="672"/>
      <c r="BZ110" s="824"/>
      <c r="CA110" s="832"/>
      <c r="CB110" s="826"/>
      <c r="CC110" s="826"/>
      <c r="CD110" s="826"/>
      <c r="CE110" s="826"/>
      <c r="CF110" s="819"/>
      <c r="CG110" s="819"/>
      <c r="CH110" s="819"/>
      <c r="CI110" s="819"/>
      <c r="CJ110" s="819"/>
      <c r="CK110" s="819"/>
      <c r="CL110" s="819"/>
      <c r="CM110" s="819"/>
      <c r="CN110" s="819"/>
      <c r="CO110" s="819"/>
      <c r="CP110" s="819"/>
      <c r="CQ110" s="819"/>
      <c r="CR110" s="819"/>
      <c r="CS110" s="159"/>
      <c r="CT110" s="250"/>
      <c r="CU110" s="250"/>
      <c r="CV110" s="158"/>
      <c r="CW110" s="250"/>
      <c r="CX110" s="250"/>
      <c r="CY110" s="250"/>
      <c r="CZ110" s="250"/>
      <c r="DA110" s="597"/>
      <c r="DB110" s="543"/>
      <c r="DC110" s="543"/>
      <c r="DD110" s="543"/>
      <c r="DE110" s="545"/>
      <c r="DF110" s="543"/>
      <c r="DG110" s="543"/>
      <c r="DH110" s="545"/>
      <c r="DI110" s="543"/>
      <c r="DJ110" s="543"/>
      <c r="DK110" s="545"/>
      <c r="DL110" s="543"/>
      <c r="DM110" s="543"/>
      <c r="DN110" s="545"/>
      <c r="DO110" s="546"/>
      <c r="DP110" s="547"/>
      <c r="DQ110" s="545"/>
      <c r="DR110" s="451"/>
      <c r="DS110" s="544"/>
      <c r="DT110" s="527"/>
      <c r="DU110" s="528"/>
      <c r="DV110" s="529"/>
      <c r="DW110" s="527"/>
      <c r="DX110" s="686">
        <v>45108</v>
      </c>
      <c r="DY110" s="344"/>
      <c r="DZ110" s="442"/>
      <c r="EA110" s="529"/>
      <c r="EB110" s="687">
        <v>16</v>
      </c>
      <c r="EC110" s="241"/>
      <c r="ED110" s="527"/>
      <c r="EE110" s="533"/>
      <c r="EF110" s="529"/>
      <c r="EG110" s="527"/>
      <c r="EH110" s="551"/>
      <c r="EI110" s="530"/>
      <c r="EJ110" s="531"/>
      <c r="EK110" s="532"/>
      <c r="EL110" s="529"/>
      <c r="EM110" s="527"/>
      <c r="EN110" s="533"/>
      <c r="EO110" s="529"/>
      <c r="EP110" s="533"/>
      <c r="EQ110" s="533"/>
      <c r="ER110" s="529"/>
      <c r="ES110" s="533"/>
      <c r="ET110" s="533"/>
      <c r="EU110" s="529"/>
      <c r="EV110" s="533"/>
      <c r="EW110" s="533"/>
      <c r="EX110" s="529"/>
      <c r="EY110" s="533"/>
      <c r="EZ110" s="533"/>
      <c r="FA110" s="533"/>
      <c r="FB110" s="616">
        <f t="shared" si="365"/>
        <v>45597</v>
      </c>
      <c r="FC110" s="401">
        <f t="shared" si="404"/>
        <v>45689</v>
      </c>
      <c r="FD110" s="727">
        <f t="shared" si="402"/>
        <v>3.0666666666666669</v>
      </c>
      <c r="FE110" s="573"/>
      <c r="FF110" s="242"/>
      <c r="FG110" s="242"/>
      <c r="FH110" s="186">
        <f>DATE(YEAR(FC110),MONTH(FC110)+1,DAY(FC110))</f>
        <v>45717</v>
      </c>
      <c r="FI110" s="461"/>
      <c r="FJ110" s="571">
        <f t="shared" si="368"/>
        <v>45627</v>
      </c>
      <c r="FK110" s="450">
        <f t="shared" si="405"/>
        <v>45748</v>
      </c>
      <c r="FL110" s="574"/>
      <c r="FM110" s="724">
        <f t="shared" si="393"/>
        <v>4.0333333333333332</v>
      </c>
      <c r="FN110" s="696"/>
      <c r="FO110" s="246">
        <f t="shared" si="403"/>
        <v>0</v>
      </c>
      <c r="FP110" s="117"/>
      <c r="FQ110" s="556"/>
      <c r="FR110" s="556"/>
      <c r="FS110" s="556"/>
      <c r="FT110" s="556"/>
      <c r="FU110" s="748"/>
      <c r="FV110" s="749" t="e">
        <f t="shared" si="407"/>
        <v>#DIV/0!</v>
      </c>
      <c r="FW110" s="559"/>
      <c r="FX110" s="577"/>
      <c r="FY110" s="559"/>
      <c r="FZ110" s="559"/>
      <c r="GA110" s="121"/>
      <c r="GB110" s="121"/>
      <c r="GC110" s="121"/>
      <c r="GD110" s="121"/>
      <c r="GE110" s="121"/>
      <c r="GF110" s="53"/>
      <c r="GG110" s="280"/>
      <c r="GH110" s="280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112"/>
      <c r="GW110" s="112"/>
      <c r="GX110" s="93"/>
      <c r="GY110" s="67"/>
      <c r="GZ110" s="67"/>
      <c r="HA110" s="94"/>
      <c r="HB110" s="49"/>
      <c r="HC110" s="49"/>
      <c r="HD110" s="93"/>
      <c r="HE110" s="67"/>
      <c r="HF110" s="94"/>
      <c r="HG110" s="128"/>
      <c r="HH110" s="129"/>
      <c r="HI110" s="93"/>
      <c r="HJ110" s="67"/>
      <c r="HK110" s="67"/>
      <c r="HL110" s="49"/>
      <c r="HM110" s="95"/>
      <c r="HN110" s="93"/>
      <c r="HO110" s="67"/>
      <c r="HP110" s="87"/>
      <c r="HQ110" s="87"/>
      <c r="HR110" s="95"/>
      <c r="HS110" s="630"/>
      <c r="HT110" s="67"/>
      <c r="HU110" s="93"/>
      <c r="HV110" s="67"/>
      <c r="HW110" s="67"/>
      <c r="HX110" s="88"/>
      <c r="HY110" s="303"/>
      <c r="HZ110" s="67"/>
      <c r="IA110" s="89"/>
      <c r="IB110" s="49"/>
      <c r="IC110" s="81"/>
      <c r="ID110" s="89"/>
      <c r="IE110" s="90"/>
      <c r="IF110" s="90"/>
      <c r="IG110" s="91"/>
      <c r="IH110" s="91"/>
      <c r="II110" s="49"/>
      <c r="IJ110" s="91"/>
      <c r="IK110" s="49"/>
      <c r="IL110" s="50"/>
      <c r="IM110" s="91"/>
      <c r="IN110" s="91"/>
      <c r="IO110" s="67"/>
      <c r="IP110" s="96"/>
      <c r="IQ110" s="277"/>
      <c r="IR110" s="277"/>
      <c r="IS110" s="278"/>
      <c r="IT110" s="281"/>
      <c r="IU110" s="281"/>
      <c r="IV110" s="253"/>
      <c r="IW110" s="253"/>
      <c r="IX110" s="385"/>
      <c r="IY110" s="261"/>
      <c r="IZ110" s="274"/>
      <c r="JA110" s="261"/>
      <c r="JB110" s="460"/>
      <c r="JC110" s="279"/>
      <c r="JD110" s="284"/>
      <c r="JE110" s="282"/>
      <c r="JF110" s="282"/>
      <c r="JG110" s="276"/>
      <c r="JH110" s="277"/>
      <c r="JI110" s="276"/>
      <c r="JJ110" s="277"/>
      <c r="JK110" s="300"/>
      <c r="JL110" s="300"/>
      <c r="JM110" s="300"/>
      <c r="JN110" s="300"/>
      <c r="JO110" s="269"/>
      <c r="JP110" s="269"/>
      <c r="JQ110" s="269"/>
      <c r="JR110" s="269"/>
      <c r="JS110" s="269"/>
      <c r="JT110" s="269"/>
      <c r="JU110" s="281"/>
      <c r="JV110" s="117"/>
      <c r="JW110" s="279"/>
      <c r="JX110" s="117"/>
      <c r="JY110" s="271"/>
      <c r="JZ110" s="279"/>
    </row>
    <row r="111" spans="1:286" ht="15" customHeight="1">
      <c r="A111" s="655" t="s">
        <v>861</v>
      </c>
      <c r="B111" s="655"/>
      <c r="C111" s="53" t="s">
        <v>28</v>
      </c>
      <c r="D111" s="53" t="s">
        <v>112</v>
      </c>
      <c r="E111" s="53">
        <v>2022</v>
      </c>
      <c r="F111" s="53"/>
      <c r="G111" s="53"/>
      <c r="H111" s="53"/>
      <c r="I111" s="55" t="s">
        <v>271</v>
      </c>
      <c r="J111" s="53"/>
      <c r="K111" s="53" t="s">
        <v>862</v>
      </c>
      <c r="L111" s="255" t="s">
        <v>865</v>
      </c>
      <c r="M111" s="166" t="s">
        <v>863</v>
      </c>
      <c r="N111" s="167"/>
      <c r="O111" s="168"/>
      <c r="P111" s="207">
        <v>3000</v>
      </c>
      <c r="Q111" s="207"/>
      <c r="R111" s="207"/>
      <c r="S111" s="207">
        <f t="shared" si="395"/>
        <v>0</v>
      </c>
      <c r="T111" s="207">
        <f t="shared" si="396"/>
        <v>0</v>
      </c>
      <c r="U111" s="213">
        <f t="shared" si="397"/>
        <v>0</v>
      </c>
      <c r="V111" s="213" t="e">
        <f t="shared" si="406"/>
        <v>#DIV/0!</v>
      </c>
      <c r="W111" s="213">
        <f t="shared" si="398"/>
        <v>0</v>
      </c>
      <c r="X111" s="207">
        <f t="shared" si="399"/>
        <v>60</v>
      </c>
      <c r="Y111" s="208"/>
      <c r="Z111" s="907">
        <f t="shared" si="282"/>
        <v>166.66666666666666</v>
      </c>
      <c r="AA111" s="208" t="s">
        <v>864</v>
      </c>
      <c r="AB111" s="208"/>
      <c r="AC111" s="209"/>
      <c r="AD111" s="53" t="s">
        <v>16</v>
      </c>
      <c r="AE111" s="771">
        <f t="shared" si="401"/>
        <v>50</v>
      </c>
      <c r="AF111" s="771">
        <f t="shared" si="340"/>
        <v>50</v>
      </c>
      <c r="AG111" s="64"/>
      <c r="AH111" s="53">
        <v>50</v>
      </c>
      <c r="AI111" s="64"/>
      <c r="AJ111" s="53"/>
      <c r="AK111" s="807"/>
      <c r="AL111" s="57"/>
      <c r="AM111" s="804"/>
      <c r="AN111" s="92"/>
      <c r="AO111" s="57">
        <f>AN111/AE111</f>
        <v>0</v>
      </c>
      <c r="AP111" s="78"/>
      <c r="AQ111" s="78"/>
      <c r="AR111" s="78"/>
      <c r="AS111" s="78"/>
      <c r="AT111" s="78"/>
      <c r="AU111" s="57"/>
      <c r="AV111" s="76"/>
      <c r="AW111" s="78"/>
      <c r="AX111" s="57"/>
      <c r="AY111" s="56"/>
      <c r="AZ111" s="53"/>
      <c r="BA111" s="53"/>
      <c r="BB111" s="53"/>
      <c r="BC111" s="53"/>
      <c r="BD111" s="237"/>
      <c r="BE111" s="184"/>
      <c r="BF111" s="110"/>
      <c r="BG111" s="110"/>
      <c r="BH111" s="97"/>
      <c r="BI111" s="204"/>
      <c r="BJ111" s="99"/>
      <c r="BK111" s="99"/>
      <c r="BL111" s="204"/>
      <c r="BM111" s="99"/>
      <c r="BN111" s="161"/>
      <c r="BO111" s="203"/>
      <c r="BP111" s="161"/>
      <c r="BQ111" s="161"/>
      <c r="BR111" s="299"/>
      <c r="BS111" s="298"/>
      <c r="BT111" s="298"/>
      <c r="BU111" s="298"/>
      <c r="BV111" s="298"/>
      <c r="BW111" s="672"/>
      <c r="BX111" s="672"/>
      <c r="BY111" s="672"/>
      <c r="BZ111" s="824"/>
      <c r="CA111" s="832"/>
      <c r="CB111" s="826"/>
      <c r="CC111" s="826"/>
      <c r="CD111" s="826"/>
      <c r="CE111" s="826"/>
      <c r="CF111" s="819"/>
      <c r="CG111" s="819"/>
      <c r="CH111" s="819"/>
      <c r="CI111" s="819"/>
      <c r="CJ111" s="819"/>
      <c r="CK111" s="819"/>
      <c r="CL111" s="819"/>
      <c r="CM111" s="819"/>
      <c r="CN111" s="819"/>
      <c r="CO111" s="819"/>
      <c r="CP111" s="819"/>
      <c r="CQ111" s="819"/>
      <c r="CR111" s="819"/>
      <c r="CS111" s="159"/>
      <c r="CT111" s="250"/>
      <c r="CU111" s="250"/>
      <c r="CV111" s="158"/>
      <c r="CW111" s="250"/>
      <c r="CX111" s="250"/>
      <c r="CY111" s="250"/>
      <c r="CZ111" s="250"/>
      <c r="DA111" s="598"/>
      <c r="DB111" s="540"/>
      <c r="DC111" s="543"/>
      <c r="DD111" s="543"/>
      <c r="DE111" s="545"/>
      <c r="DF111" s="543"/>
      <c r="DG111" s="543"/>
      <c r="DH111" s="545"/>
      <c r="DI111" s="543"/>
      <c r="DJ111" s="543"/>
      <c r="DK111" s="545"/>
      <c r="DL111" s="543"/>
      <c r="DM111" s="543"/>
      <c r="DN111" s="545"/>
      <c r="DO111" s="546"/>
      <c r="DP111" s="547"/>
      <c r="DQ111" s="545"/>
      <c r="DR111" s="451"/>
      <c r="DS111" s="548"/>
      <c r="DT111" s="527"/>
      <c r="DU111" s="528"/>
      <c r="DV111" s="529"/>
      <c r="DW111" s="527"/>
      <c r="DX111" s="686">
        <v>45108</v>
      </c>
      <c r="DY111" s="344"/>
      <c r="DZ111" s="442"/>
      <c r="EA111" s="529"/>
      <c r="EB111" s="687">
        <v>16</v>
      </c>
      <c r="EC111" s="241"/>
      <c r="ED111" s="527"/>
      <c r="EE111" s="533"/>
      <c r="EF111" s="529"/>
      <c r="EG111" s="527"/>
      <c r="EH111" s="551"/>
      <c r="EI111" s="530"/>
      <c r="EJ111" s="531"/>
      <c r="EK111" s="532"/>
      <c r="EL111" s="529"/>
      <c r="EM111" s="527"/>
      <c r="EN111" s="533"/>
      <c r="EO111" s="529"/>
      <c r="EP111" s="533"/>
      <c r="EQ111" s="533"/>
      <c r="ER111" s="529"/>
      <c r="ES111" s="533"/>
      <c r="ET111" s="533"/>
      <c r="EU111" s="529"/>
      <c r="EV111" s="533"/>
      <c r="EW111" s="533"/>
      <c r="EX111" s="529"/>
      <c r="EY111" s="533"/>
      <c r="EZ111" s="533"/>
      <c r="FA111" s="533"/>
      <c r="FB111" s="616">
        <f t="shared" si="365"/>
        <v>45597</v>
      </c>
      <c r="FC111" s="401">
        <f t="shared" si="404"/>
        <v>45689</v>
      </c>
      <c r="FD111" s="727">
        <f t="shared" si="402"/>
        <v>3.0666666666666669</v>
      </c>
      <c r="FE111" s="573"/>
      <c r="FF111" s="242"/>
      <c r="FG111" s="242"/>
      <c r="FH111" s="186">
        <f>DATE(YEAR(FC111),MONTH(FC111)+1,DAY(FC111))</f>
        <v>45717</v>
      </c>
      <c r="FI111" s="461"/>
      <c r="FJ111" s="571">
        <f t="shared" si="368"/>
        <v>45627</v>
      </c>
      <c r="FK111" s="450">
        <f t="shared" si="405"/>
        <v>45748</v>
      </c>
      <c r="FL111" s="574"/>
      <c r="FM111" s="724">
        <f t="shared" si="393"/>
        <v>4.0333333333333332</v>
      </c>
      <c r="FN111" s="696"/>
      <c r="FO111" s="246">
        <f t="shared" si="403"/>
        <v>0</v>
      </c>
      <c r="FP111" s="117"/>
      <c r="FQ111" s="556"/>
      <c r="FR111" s="556"/>
      <c r="FS111" s="556"/>
      <c r="FT111" s="556"/>
      <c r="FU111" s="748"/>
      <c r="FV111" s="749" t="e">
        <f t="shared" si="407"/>
        <v>#DIV/0!</v>
      </c>
      <c r="FW111" s="559"/>
      <c r="FX111" s="577"/>
      <c r="FY111" s="559"/>
      <c r="FZ111" s="559"/>
      <c r="GA111" s="121"/>
      <c r="GB111" s="121"/>
      <c r="GC111" s="121"/>
      <c r="GD111" s="121"/>
      <c r="GE111" s="121"/>
      <c r="GF111" s="53"/>
      <c r="GG111" s="280"/>
      <c r="GH111" s="280"/>
      <c r="GI111" s="53"/>
      <c r="GJ111" s="53"/>
      <c r="GK111" s="53"/>
      <c r="GL111" s="53"/>
      <c r="GM111" s="53"/>
      <c r="GN111" s="53"/>
      <c r="GO111" s="53"/>
      <c r="GP111" s="53"/>
      <c r="GQ111" s="53"/>
      <c r="GR111" s="53"/>
      <c r="GS111" s="53"/>
      <c r="GT111" s="53"/>
      <c r="GU111" s="53"/>
      <c r="GV111" s="112"/>
      <c r="GW111" s="112"/>
      <c r="GX111" s="93"/>
      <c r="GY111" s="67"/>
      <c r="GZ111" s="67"/>
      <c r="HA111" s="94"/>
      <c r="HB111" s="49"/>
      <c r="HC111" s="49"/>
      <c r="HD111" s="93"/>
      <c r="HE111" s="67"/>
      <c r="HF111" s="94"/>
      <c r="HG111" s="128"/>
      <c r="HH111" s="129"/>
      <c r="HI111" s="93"/>
      <c r="HJ111" s="67"/>
      <c r="HK111" s="67"/>
      <c r="HL111" s="49"/>
      <c r="HM111" s="95"/>
      <c r="HN111" s="93"/>
      <c r="HO111" s="67"/>
      <c r="HP111" s="87"/>
      <c r="HQ111" s="87"/>
      <c r="HR111" s="95"/>
      <c r="HS111" s="630"/>
      <c r="HT111" s="67"/>
      <c r="HU111" s="287"/>
      <c r="HV111" s="67"/>
      <c r="HW111" s="67"/>
      <c r="HX111" s="88"/>
      <c r="HY111" s="93"/>
      <c r="HZ111" s="67"/>
      <c r="IA111" s="89"/>
      <c r="IB111" s="49"/>
      <c r="IC111" s="81"/>
      <c r="ID111" s="89"/>
      <c r="IE111" s="90"/>
      <c r="IF111" s="90"/>
      <c r="IG111" s="91"/>
      <c r="IH111" s="91"/>
      <c r="II111" s="49"/>
      <c r="IJ111" s="91"/>
      <c r="IK111" s="49"/>
      <c r="IL111" s="50"/>
      <c r="IM111" s="91"/>
      <c r="IN111" s="91"/>
      <c r="IO111" s="67"/>
      <c r="IP111" s="96"/>
      <c r="IQ111" s="231"/>
      <c r="IR111" s="231"/>
      <c r="IS111" s="113"/>
      <c r="IT111" s="314"/>
      <c r="IU111" s="314"/>
      <c r="IV111" s="239"/>
      <c r="IW111" s="239"/>
      <c r="IX111" s="330"/>
      <c r="IY111" s="236"/>
      <c r="IZ111" s="331"/>
      <c r="JA111" s="236"/>
      <c r="JB111" s="331"/>
      <c r="JC111" s="291"/>
      <c r="JD111" s="332"/>
      <c r="JE111" s="328"/>
      <c r="JF111" s="328"/>
      <c r="JG111" s="194"/>
      <c r="JH111" s="330"/>
      <c r="JI111" s="194"/>
      <c r="JJ111" s="330"/>
      <c r="JK111" s="291"/>
      <c r="JL111" s="291"/>
      <c r="JM111" s="291"/>
      <c r="JN111" s="291"/>
      <c r="JO111" s="269"/>
      <c r="JP111" s="269"/>
      <c r="JQ111" s="269"/>
      <c r="JR111" s="269"/>
      <c r="JS111" s="269"/>
      <c r="JT111" s="269"/>
      <c r="JU111" s="330"/>
      <c r="JV111" s="329"/>
      <c r="JW111" s="291"/>
      <c r="JX111" s="329"/>
      <c r="JY111" s="329"/>
      <c r="JZ111" s="291"/>
    </row>
    <row r="112" spans="1:286" ht="27" customHeight="1">
      <c r="A112" s="773" t="s">
        <v>908</v>
      </c>
      <c r="B112" s="773"/>
      <c r="C112" s="53" t="s">
        <v>28</v>
      </c>
      <c r="D112" s="53" t="s">
        <v>112</v>
      </c>
      <c r="E112" s="53">
        <v>2022</v>
      </c>
      <c r="F112" s="53"/>
      <c r="G112" s="53"/>
      <c r="H112" s="53"/>
      <c r="I112" s="55"/>
      <c r="J112" s="53"/>
      <c r="K112" s="53" t="s">
        <v>620</v>
      </c>
      <c r="L112" s="255" t="s">
        <v>909</v>
      </c>
      <c r="M112" s="166"/>
      <c r="N112" s="167"/>
      <c r="O112" s="168"/>
      <c r="P112" s="207">
        <v>7800</v>
      </c>
      <c r="Q112" s="207">
        <v>330000</v>
      </c>
      <c r="R112" s="207">
        <v>330000</v>
      </c>
      <c r="S112" s="207">
        <f t="shared" si="395"/>
        <v>12692.307692307691</v>
      </c>
      <c r="T112" s="207">
        <f t="shared" si="396"/>
        <v>42.307692307692307</v>
      </c>
      <c r="U112" s="213">
        <f t="shared" si="397"/>
        <v>42.307692307692307</v>
      </c>
      <c r="V112" s="213" t="e">
        <f t="shared" si="406"/>
        <v>#DIV/0!</v>
      </c>
      <c r="W112" s="213">
        <f t="shared" si="398"/>
        <v>12692.307692307691</v>
      </c>
      <c r="X112" s="207">
        <f t="shared" si="399"/>
        <v>300</v>
      </c>
      <c r="Y112" s="208"/>
      <c r="Z112" s="907">
        <f t="shared" si="282"/>
        <v>33.333333333333336</v>
      </c>
      <c r="AA112" s="208"/>
      <c r="AB112" s="208"/>
      <c r="AC112" s="209"/>
      <c r="AD112" s="53" t="s">
        <v>16</v>
      </c>
      <c r="AE112" s="772">
        <f t="shared" si="401"/>
        <v>26</v>
      </c>
      <c r="AF112" s="772">
        <f t="shared" si="340"/>
        <v>26</v>
      </c>
      <c r="AG112" s="64"/>
      <c r="AH112" s="53">
        <v>26</v>
      </c>
      <c r="AI112" s="64"/>
      <c r="AJ112" s="53"/>
      <c r="AK112" s="807"/>
      <c r="AL112" s="57"/>
      <c r="AM112" s="804"/>
      <c r="AN112" s="92"/>
      <c r="AO112" s="57"/>
      <c r="AP112" s="78"/>
      <c r="AQ112" s="78"/>
      <c r="AR112" s="78"/>
      <c r="AS112" s="78"/>
      <c r="AT112" s="78"/>
      <c r="AU112" s="57"/>
      <c r="AV112" s="76"/>
      <c r="AW112" s="78"/>
      <c r="AX112" s="57"/>
      <c r="AY112" s="56"/>
      <c r="AZ112" s="53"/>
      <c r="BA112" s="53"/>
      <c r="BB112" s="53"/>
      <c r="BC112" s="53"/>
      <c r="BD112" s="237"/>
      <c r="BE112" s="184"/>
      <c r="BF112" s="110"/>
      <c r="BG112" s="110"/>
      <c r="BH112" s="97"/>
      <c r="BI112" s="204"/>
      <c r="BJ112" s="99"/>
      <c r="BK112" s="99"/>
      <c r="BL112" s="204"/>
      <c r="BM112" s="99"/>
      <c r="BN112" s="161"/>
      <c r="BO112" s="203"/>
      <c r="BP112" s="161"/>
      <c r="BQ112" s="161"/>
      <c r="BR112" s="299"/>
      <c r="BS112" s="298"/>
      <c r="BT112" s="298"/>
      <c r="BU112" s="298"/>
      <c r="BV112" s="298"/>
      <c r="BW112" s="672"/>
      <c r="BX112" s="672"/>
      <c r="BY112" s="672"/>
      <c r="BZ112" s="824"/>
      <c r="CA112" s="832"/>
      <c r="CB112" s="826"/>
      <c r="CC112" s="826"/>
      <c r="CD112" s="826"/>
      <c r="CE112" s="826"/>
      <c r="CF112" s="819"/>
      <c r="CG112" s="819"/>
      <c r="CH112" s="819"/>
      <c r="CI112" s="819"/>
      <c r="CJ112" s="819"/>
      <c r="CK112" s="819"/>
      <c r="CL112" s="819"/>
      <c r="CM112" s="819"/>
      <c r="CN112" s="819"/>
      <c r="CO112" s="819"/>
      <c r="CP112" s="819"/>
      <c r="CQ112" s="819"/>
      <c r="CR112" s="819"/>
      <c r="CS112" s="159"/>
      <c r="CT112" s="250"/>
      <c r="CU112" s="250"/>
      <c r="CV112" s="158"/>
      <c r="CW112" s="250"/>
      <c r="CX112" s="250"/>
      <c r="CY112" s="250"/>
      <c r="CZ112" s="250"/>
      <c r="DA112" s="598"/>
      <c r="DB112" s="540"/>
      <c r="DC112" s="543"/>
      <c r="DD112" s="543"/>
      <c r="DE112" s="545"/>
      <c r="DF112" s="543"/>
      <c r="DG112" s="543"/>
      <c r="DH112" s="545"/>
      <c r="DI112" s="543"/>
      <c r="DJ112" s="543"/>
      <c r="DK112" s="545"/>
      <c r="DL112" s="543"/>
      <c r="DM112" s="543"/>
      <c r="DN112" s="545"/>
      <c r="DO112" s="546"/>
      <c r="DP112" s="547"/>
      <c r="DQ112" s="545"/>
      <c r="DR112" s="451"/>
      <c r="DS112" s="548"/>
      <c r="DT112" s="527"/>
      <c r="DU112" s="528"/>
      <c r="DV112" s="529"/>
      <c r="DW112" s="527"/>
      <c r="DX112" s="686">
        <v>45108</v>
      </c>
      <c r="DY112" s="344"/>
      <c r="DZ112" s="442"/>
      <c r="EA112" s="529"/>
      <c r="EB112" s="687">
        <v>16</v>
      </c>
      <c r="EC112" s="241"/>
      <c r="ED112" s="527"/>
      <c r="EE112" s="533"/>
      <c r="EF112" s="529"/>
      <c r="EG112" s="527"/>
      <c r="EH112" s="551"/>
      <c r="EI112" s="530"/>
      <c r="EJ112" s="531"/>
      <c r="EK112" s="532"/>
      <c r="EL112" s="529"/>
      <c r="EM112" s="527"/>
      <c r="EN112" s="533"/>
      <c r="EO112" s="529"/>
      <c r="EP112" s="533"/>
      <c r="EQ112" s="533"/>
      <c r="ER112" s="529"/>
      <c r="ES112" s="533"/>
      <c r="ET112" s="533"/>
      <c r="EU112" s="529"/>
      <c r="EV112" s="533"/>
      <c r="EW112" s="533"/>
      <c r="EX112" s="529"/>
      <c r="EY112" s="533"/>
      <c r="EZ112" s="533"/>
      <c r="FA112" s="533"/>
      <c r="FB112" s="616">
        <f t="shared" si="365"/>
        <v>45597</v>
      </c>
      <c r="FC112" s="401">
        <f t="shared" si="404"/>
        <v>45689</v>
      </c>
      <c r="FD112" s="727">
        <f t="shared" si="402"/>
        <v>3.0666666666666669</v>
      </c>
      <c r="FE112" s="573"/>
      <c r="FF112" s="242"/>
      <c r="FG112" s="242"/>
      <c r="FH112" s="186">
        <f>DATE(YEAR(FC112),MONTH(FC112)+1,DAY(FC112))</f>
        <v>45717</v>
      </c>
      <c r="FI112" s="461"/>
      <c r="FJ112" s="571">
        <f t="shared" si="368"/>
        <v>45627</v>
      </c>
      <c r="FK112" s="450">
        <f t="shared" si="405"/>
        <v>45748</v>
      </c>
      <c r="FL112" s="574"/>
      <c r="FM112" s="724">
        <f t="shared" si="393"/>
        <v>4.0333333333333332</v>
      </c>
      <c r="FN112" s="696"/>
      <c r="FO112" s="246">
        <f t="shared" si="403"/>
        <v>0</v>
      </c>
      <c r="FP112" s="117"/>
      <c r="FQ112" s="556"/>
      <c r="FR112" s="556"/>
      <c r="FS112" s="556"/>
      <c r="FT112" s="556"/>
      <c r="FU112" s="748"/>
      <c r="FV112" s="749" t="e">
        <f t="shared" si="407"/>
        <v>#DIV/0!</v>
      </c>
      <c r="FW112" s="559"/>
      <c r="FX112" s="577"/>
      <c r="FY112" s="559"/>
      <c r="FZ112" s="559"/>
      <c r="GA112" s="121"/>
      <c r="GB112" s="121"/>
      <c r="GC112" s="121"/>
      <c r="GD112" s="121"/>
      <c r="GE112" s="121"/>
      <c r="GF112" s="53"/>
      <c r="GG112" s="280"/>
      <c r="GH112" s="280"/>
      <c r="GI112" s="53"/>
      <c r="GJ112" s="53"/>
      <c r="GK112" s="53"/>
      <c r="GL112" s="53"/>
      <c r="GM112" s="53"/>
      <c r="GN112" s="53"/>
      <c r="GO112" s="53"/>
      <c r="GP112" s="53"/>
      <c r="GQ112" s="53"/>
      <c r="GR112" s="53"/>
      <c r="GS112" s="53"/>
      <c r="GT112" s="53"/>
      <c r="GU112" s="53"/>
      <c r="GV112" s="112"/>
      <c r="GW112" s="112"/>
      <c r="GX112" s="93"/>
      <c r="GY112" s="67"/>
      <c r="GZ112" s="67"/>
      <c r="HA112" s="94"/>
      <c r="HB112" s="49"/>
      <c r="HC112" s="49"/>
      <c r="HD112" s="93"/>
      <c r="HE112" s="67"/>
      <c r="HF112" s="94"/>
      <c r="HG112" s="128"/>
      <c r="HH112" s="129"/>
      <c r="HI112" s="93"/>
      <c r="HJ112" s="67"/>
      <c r="HK112" s="67"/>
      <c r="HL112" s="49"/>
      <c r="HM112" s="95"/>
      <c r="HN112" s="93"/>
      <c r="HO112" s="67"/>
      <c r="HP112" s="87"/>
      <c r="HQ112" s="87"/>
      <c r="HR112" s="95"/>
      <c r="HS112" s="630"/>
      <c r="HT112" s="67"/>
      <c r="HU112" s="287"/>
      <c r="HV112" s="67"/>
      <c r="HW112" s="67"/>
      <c r="HX112" s="88"/>
      <c r="HY112" s="93"/>
      <c r="HZ112" s="67"/>
      <c r="IA112" s="89"/>
      <c r="IB112" s="49"/>
      <c r="IC112" s="81"/>
      <c r="ID112" s="89"/>
      <c r="IE112" s="90"/>
      <c r="IF112" s="90"/>
      <c r="IG112" s="91"/>
      <c r="IH112" s="91"/>
      <c r="II112" s="49"/>
      <c r="IJ112" s="91"/>
      <c r="IK112" s="49"/>
      <c r="IL112" s="50"/>
      <c r="IM112" s="91"/>
      <c r="IN112" s="91"/>
      <c r="IO112" s="67"/>
      <c r="IP112" s="96"/>
      <c r="IQ112" s="231"/>
      <c r="IR112" s="231"/>
      <c r="IS112" s="113"/>
      <c r="IT112" s="314"/>
      <c r="IU112" s="314"/>
      <c r="IV112" s="239"/>
      <c r="IW112" s="239"/>
      <c r="IX112" s="330"/>
      <c r="IY112" s="236"/>
      <c r="IZ112" s="331"/>
      <c r="JA112" s="236"/>
      <c r="JB112" s="331"/>
      <c r="JC112" s="291"/>
      <c r="JD112" s="332"/>
      <c r="JE112" s="328"/>
      <c r="JF112" s="328"/>
      <c r="JG112" s="194"/>
      <c r="JH112" s="330"/>
      <c r="JI112" s="194"/>
      <c r="JJ112" s="330"/>
      <c r="JK112" s="291"/>
      <c r="JL112" s="291"/>
      <c r="JM112" s="291"/>
      <c r="JN112" s="291"/>
      <c r="JO112" s="269"/>
      <c r="JP112" s="269"/>
      <c r="JQ112" s="269"/>
      <c r="JR112" s="269"/>
      <c r="JS112" s="269"/>
      <c r="JT112" s="269"/>
      <c r="JU112" s="330"/>
      <c r="JV112" s="329"/>
      <c r="JW112" s="291"/>
      <c r="JX112" s="329"/>
      <c r="JY112" s="329"/>
      <c r="JZ112" s="291"/>
    </row>
    <row r="113" spans="1:286" ht="27" customHeight="1">
      <c r="A113" s="86" t="s">
        <v>401</v>
      </c>
      <c r="B113" s="86"/>
      <c r="C113" s="53" t="s">
        <v>35</v>
      </c>
      <c r="D113" s="53" t="s">
        <v>112</v>
      </c>
      <c r="E113" s="53" t="s">
        <v>907</v>
      </c>
      <c r="F113" s="53"/>
      <c r="G113" s="53" t="s">
        <v>378</v>
      </c>
      <c r="H113" s="53"/>
      <c r="I113" s="53" t="s">
        <v>243</v>
      </c>
      <c r="J113" s="53"/>
      <c r="K113" s="53" t="s">
        <v>915</v>
      </c>
      <c r="L113" s="255" t="s">
        <v>916</v>
      </c>
      <c r="M113" s="166"/>
      <c r="N113" s="167"/>
      <c r="O113" s="207"/>
      <c r="P113" s="207">
        <v>12700</v>
      </c>
      <c r="Q113" s="207">
        <v>787400</v>
      </c>
      <c r="R113" s="207"/>
      <c r="S113" s="207">
        <f t="shared" si="395"/>
        <v>13123.333333333334</v>
      </c>
      <c r="T113" s="207">
        <f t="shared" si="396"/>
        <v>62</v>
      </c>
      <c r="U113" s="213">
        <f t="shared" si="397"/>
        <v>0</v>
      </c>
      <c r="V113" s="213" t="e">
        <f t="shared" si="406"/>
        <v>#DIV/0!</v>
      </c>
      <c r="W113" s="213">
        <f t="shared" si="398"/>
        <v>0</v>
      </c>
      <c r="X113" s="207">
        <f t="shared" si="399"/>
        <v>211.66666666666666</v>
      </c>
      <c r="Y113" s="208"/>
      <c r="Z113" s="904">
        <f t="shared" si="282"/>
        <v>47.244094488188978</v>
      </c>
      <c r="AA113" s="208" t="s">
        <v>882</v>
      </c>
      <c r="AB113" s="208"/>
      <c r="AC113" s="209"/>
      <c r="AD113" s="53" t="s">
        <v>16</v>
      </c>
      <c r="AE113" s="772">
        <f t="shared" si="401"/>
        <v>60</v>
      </c>
      <c r="AF113" s="772">
        <f t="shared" si="340"/>
        <v>60</v>
      </c>
      <c r="AG113" s="64"/>
      <c r="AH113" s="53">
        <v>60</v>
      </c>
      <c r="AI113" s="64"/>
      <c r="AJ113" s="64"/>
      <c r="AK113" s="269"/>
      <c r="AL113" s="57">
        <v>2492.9699999999998</v>
      </c>
      <c r="AM113" s="57"/>
      <c r="AN113" s="92"/>
      <c r="AO113" s="57">
        <f>AN113/AE113</f>
        <v>0</v>
      </c>
      <c r="AP113" s="78"/>
      <c r="AQ113" s="78"/>
      <c r="AR113" s="78"/>
      <c r="AS113" s="78"/>
      <c r="AT113" s="78"/>
      <c r="AU113" s="57"/>
      <c r="AV113" s="76"/>
      <c r="AW113" s="78"/>
      <c r="AX113" s="57"/>
      <c r="AY113" s="53"/>
      <c r="AZ113" s="53"/>
      <c r="BA113" s="53"/>
      <c r="BB113" s="53"/>
      <c r="BC113" s="184">
        <v>43229</v>
      </c>
      <c r="BD113" s="236"/>
      <c r="BE113" s="53"/>
      <c r="BF113" s="110" t="s">
        <v>168</v>
      </c>
      <c r="BG113" s="110" t="s">
        <v>168</v>
      </c>
      <c r="BH113" s="97"/>
      <c r="BI113" s="204"/>
      <c r="BJ113" s="99"/>
      <c r="BK113" s="99"/>
      <c r="BL113" s="204"/>
      <c r="BM113" s="99"/>
      <c r="BN113" s="161"/>
      <c r="BO113" s="203"/>
      <c r="BP113" s="161"/>
      <c r="BQ113" s="161"/>
      <c r="BR113" s="299">
        <f>BO113</f>
        <v>0</v>
      </c>
      <c r="BS113" s="298">
        <f>DATE(YEAR(BR113),MONTH(BR113)+24,DAY(BR113))</f>
        <v>731</v>
      </c>
      <c r="BT113" s="298">
        <f>DATE(YEAR(BR113),MONTH(BR113)+36,DAY(BR113))</f>
        <v>1096</v>
      </c>
      <c r="BU113" s="298"/>
      <c r="BV113" s="298" t="str">
        <f>IF(FK113&gt;BS113,"oui","non")</f>
        <v>oui</v>
      </c>
      <c r="BW113" s="672" t="e">
        <f>DATEDIF(FK113,BT113,"M")</f>
        <v>#NUM!</v>
      </c>
      <c r="BX113" s="672" t="e">
        <f>BW113*FN113</f>
        <v>#NUM!</v>
      </c>
      <c r="BY113" s="672" t="e">
        <f>IF((BX113-BU113&gt;0),0,(BX113-BU113))</f>
        <v>#NUM!</v>
      </c>
      <c r="BZ113" s="824"/>
      <c r="CA113" s="832"/>
      <c r="CB113" s="826"/>
      <c r="CC113" s="826"/>
      <c r="CD113" s="826"/>
      <c r="CE113" s="826"/>
      <c r="CF113" s="819"/>
      <c r="CG113" s="819"/>
      <c r="CH113" s="819"/>
      <c r="CI113" s="819"/>
      <c r="CJ113" s="819"/>
      <c r="CK113" s="819"/>
      <c r="CL113" s="819"/>
      <c r="CM113" s="819"/>
      <c r="CN113" s="819"/>
      <c r="CO113" s="819"/>
      <c r="CP113" s="819"/>
      <c r="CQ113" s="819"/>
      <c r="CR113" s="819"/>
      <c r="CS113" s="159"/>
      <c r="CT113" s="250"/>
      <c r="CU113" s="250"/>
      <c r="CV113" s="158"/>
      <c r="CW113" s="250"/>
      <c r="CX113" s="250"/>
      <c r="CY113" s="250"/>
      <c r="CZ113" s="250" t="s">
        <v>168</v>
      </c>
      <c r="DA113" s="598"/>
      <c r="DB113" s="540"/>
      <c r="DC113" s="541"/>
      <c r="DD113" s="541"/>
      <c r="DE113" s="542"/>
      <c r="DF113" s="543"/>
      <c r="DG113" s="543"/>
      <c r="DH113" s="545" t="str">
        <f>IF(AND(DF113&gt;0,DG113&gt;0),DG113-DF113,"0")</f>
        <v>0</v>
      </c>
      <c r="DI113" s="546"/>
      <c r="DJ113" s="540"/>
      <c r="DK113" s="545" t="str">
        <f>IF(AND(DI113&gt;0,DJ113&gt;0),DJ113-DI113,"0")</f>
        <v>0</v>
      </c>
      <c r="DL113" s="546"/>
      <c r="DM113" s="540"/>
      <c r="DN113" s="545" t="str">
        <f>IF(AND(DL113&gt;0,DM113&gt;0),DM113-DL113,"0")</f>
        <v>0</v>
      </c>
      <c r="DO113" s="546"/>
      <c r="DP113" s="547"/>
      <c r="DQ113" s="545" t="str">
        <f>IF(AND(DO113&gt;0,DP113&gt;0),DP113-DO113,"0")</f>
        <v>0</v>
      </c>
      <c r="DR113" s="451"/>
      <c r="DS113" s="548"/>
      <c r="DT113" s="527"/>
      <c r="DU113" s="528"/>
      <c r="DV113" s="529" t="str">
        <f>IF(AND(DT113&gt;0,DU113&gt;0),DU113-DT113,"0")</f>
        <v>0</v>
      </c>
      <c r="DW113" s="527"/>
      <c r="DX113" s="686">
        <v>45108</v>
      </c>
      <c r="DY113" s="344"/>
      <c r="DZ113" s="442">
        <f>(DATEDIF(BI113,DX113,"d"))/30</f>
        <v>1503.6</v>
      </c>
      <c r="EA113" s="529" t="str">
        <f>IF(AND(DW113&gt;0,DX113&gt;0),DX113-DW113,"0")</f>
        <v>0</v>
      </c>
      <c r="EB113" s="687">
        <v>18</v>
      </c>
      <c r="EC113" s="241">
        <f>DATEDIF(DX113,FC113,"M")</f>
        <v>21</v>
      </c>
      <c r="ED113" s="527"/>
      <c r="EE113" s="533">
        <f ca="1">IF(ED113&lt;TODAY(),TODAY(),ED113)</f>
        <v>43423</v>
      </c>
      <c r="EF113" s="529" t="str">
        <f ca="1">IF(AND(ED113&gt;0,EE113&gt;0),EE113-ED113,"0")</f>
        <v>0</v>
      </c>
      <c r="EG113" s="527"/>
      <c r="EH113" s="551">
        <f ca="1">IF(EG113&lt;TODAY(),TODAY(),EG113)</f>
        <v>43423</v>
      </c>
      <c r="EI113" s="530" t="str">
        <f ca="1">IF(AND(EG113&gt;0,EH113&gt;0),EH113-EG113,"0")</f>
        <v>0</v>
      </c>
      <c r="EJ113" s="531"/>
      <c r="EK113" s="532"/>
      <c r="EL113" s="529" t="str">
        <f>IF(AND(EJ113&gt;0,EK113&gt;0),EK113-EJ113,"0")</f>
        <v>0</v>
      </c>
      <c r="EM113" s="527"/>
      <c r="EN113" s="533">
        <f ca="1">IF(EM113&lt;TODAY(),TODAY(),EM113)</f>
        <v>43423</v>
      </c>
      <c r="EO113" s="529" t="str">
        <f ca="1">IF(AND(EM113&gt;0,EN113&gt;0),EN113-EM113,"0")</f>
        <v>0</v>
      </c>
      <c r="EP113" s="533"/>
      <c r="EQ113" s="533">
        <f ca="1">IF(EP113&lt;TODAY(),TODAY(),EP113)</f>
        <v>43423</v>
      </c>
      <c r="ER113" s="529" t="str">
        <f ca="1">IF(AND(EP113&gt;0,EQ113&gt;0),EQ113-EP113,"0")</f>
        <v>0</v>
      </c>
      <c r="ES113" s="533"/>
      <c r="ET113" s="533">
        <f ca="1">IF(ES113&lt;TODAY(),TODAY(),ES113)</f>
        <v>43423</v>
      </c>
      <c r="EU113" s="529" t="str">
        <f ca="1">IF(AND(ES113&gt;0,ET113&gt;0),ET113-ES113,"0")</f>
        <v>0</v>
      </c>
      <c r="EV113" s="533"/>
      <c r="EW113" s="533">
        <f ca="1">IF(EV113&lt;TODAY(),TODAY(),EV113)</f>
        <v>43423</v>
      </c>
      <c r="EX113" s="529" t="str">
        <f ca="1">IF(AND(EV113&gt;0,EW113&gt;0),EW113-EV113,"0")</f>
        <v>0</v>
      </c>
      <c r="EY113" s="533"/>
      <c r="EZ113" s="533"/>
      <c r="FA113" s="533"/>
      <c r="FB113" s="616">
        <f t="shared" si="365"/>
        <v>45658</v>
      </c>
      <c r="FC113" s="401">
        <f t="shared" si="404"/>
        <v>45748</v>
      </c>
      <c r="FD113" s="727">
        <f t="shared" si="402"/>
        <v>3</v>
      </c>
      <c r="FE113" s="573">
        <f>DATE(YEAR(CY113)+2,MONTH(CY113),DAY(CY113))</f>
        <v>731</v>
      </c>
      <c r="FF113" s="242"/>
      <c r="FG113" s="242"/>
      <c r="FH113" s="186">
        <f>DATE(YEAR(FC113),MONTH(FC113)+1,DAY(FC113))</f>
        <v>45778</v>
      </c>
      <c r="FI113" s="461"/>
      <c r="FJ113" s="571">
        <f t="shared" si="368"/>
        <v>45689</v>
      </c>
      <c r="FK113" s="450">
        <f t="shared" si="405"/>
        <v>45809</v>
      </c>
      <c r="FL113" s="574"/>
      <c r="FM113" s="724">
        <f t="shared" si="393"/>
        <v>4</v>
      </c>
      <c r="FN113" s="700"/>
      <c r="FO113" s="246">
        <f t="shared" si="403"/>
        <v>0</v>
      </c>
      <c r="FP113" s="117"/>
      <c r="FQ113" s="556"/>
      <c r="FR113" s="556">
        <v>0</v>
      </c>
      <c r="FS113" s="556"/>
      <c r="FT113" s="556"/>
      <c r="FU113" s="748"/>
      <c r="FV113" s="749" t="e">
        <f t="shared" si="407"/>
        <v>#DIV/0!</v>
      </c>
      <c r="FW113" s="559"/>
      <c r="FX113" s="577"/>
      <c r="FY113" s="559"/>
      <c r="FZ113" s="559"/>
      <c r="GA113" s="121"/>
      <c r="GB113" s="121"/>
      <c r="GC113" s="121"/>
      <c r="GD113" s="121"/>
      <c r="GE113" s="121"/>
      <c r="GF113" s="53"/>
      <c r="GG113" s="280">
        <f>DATE(YEAR(FC113)+1,MONTH(FC113),DAY(FC113))</f>
        <v>46113</v>
      </c>
      <c r="GH113" s="280"/>
      <c r="GI113" s="53"/>
      <c r="GJ113" s="53"/>
      <c r="GK113" s="53"/>
      <c r="GL113" s="53"/>
      <c r="GM113" s="53"/>
      <c r="GN113" s="53"/>
      <c r="GO113" s="53"/>
      <c r="GP113" s="53"/>
      <c r="GQ113" s="53"/>
      <c r="GR113" s="53"/>
      <c r="GS113" s="53"/>
      <c r="GT113" s="53"/>
      <c r="GU113" s="53"/>
      <c r="GV113" s="112"/>
      <c r="GW113" s="112"/>
      <c r="GX113" s="93">
        <f>+HI113+HN113+HU113+IO113+HZ113</f>
        <v>0</v>
      </c>
      <c r="GY113" s="67">
        <f>HJ113+HO113+HV113+IO113+HW113+HZ113</f>
        <v>0</v>
      </c>
      <c r="GZ113" s="67">
        <f>GY113</f>
        <v>0</v>
      </c>
      <c r="HA113" s="94">
        <f>GY113-GX113</f>
        <v>0</v>
      </c>
      <c r="HB113" s="49">
        <f>GX113/AL113</f>
        <v>0</v>
      </c>
      <c r="HC113" s="49">
        <f>GX113/AE113</f>
        <v>0</v>
      </c>
      <c r="HD113" s="93"/>
      <c r="HE113" s="67"/>
      <c r="HF113" s="94">
        <f>HE113-HD113</f>
        <v>0</v>
      </c>
      <c r="HG113" s="128" t="e">
        <f>HE113*1.021/GY113</f>
        <v>#DIV/0!</v>
      </c>
      <c r="HH113" s="128">
        <v>0.4</v>
      </c>
      <c r="HI113" s="93"/>
      <c r="HJ113" s="67"/>
      <c r="HK113" s="67"/>
      <c r="HL113" s="49">
        <f>HJ113/AE113</f>
        <v>0</v>
      </c>
      <c r="HM113" s="95"/>
      <c r="HN113" s="93"/>
      <c r="HO113" s="67">
        <f>HP113+HQ113</f>
        <v>0</v>
      </c>
      <c r="HP113" s="87"/>
      <c r="HQ113" s="87"/>
      <c r="HR113" s="95">
        <f>HO113-HN113</f>
        <v>0</v>
      </c>
      <c r="HS113" s="630">
        <f>HO113/AE113</f>
        <v>0</v>
      </c>
      <c r="HT113" s="67"/>
      <c r="HU113" s="93"/>
      <c r="HV113" s="67"/>
      <c r="HW113" s="67"/>
      <c r="HX113" s="88" t="e">
        <f>HV113/GY113</f>
        <v>#DIV/0!</v>
      </c>
      <c r="HY113" s="93"/>
      <c r="HZ113" s="67"/>
      <c r="IA113" s="89">
        <f>HV113-HU113</f>
        <v>0</v>
      </c>
      <c r="IB113" s="49">
        <f>HV113/AE113</f>
        <v>0</v>
      </c>
      <c r="IC113" s="81">
        <f>(HJ113+HV113)/AE113</f>
        <v>0</v>
      </c>
      <c r="ID113" s="89">
        <f>IA113/AE113</f>
        <v>0</v>
      </c>
      <c r="IE113" s="90">
        <v>6.31</v>
      </c>
      <c r="IF113" s="90"/>
      <c r="IG113" s="91"/>
      <c r="IH113" s="91"/>
      <c r="II113" s="49">
        <f>(HI113+HU113+IH113)/AE113</f>
        <v>0</v>
      </c>
      <c r="IJ113" s="91"/>
      <c r="IK113" s="49">
        <f>(HJ113+HV113+IH113+IJ113)/AE113</f>
        <v>0</v>
      </c>
      <c r="IL113" s="50" t="e">
        <f>(HI113+HU113+IH113+IJ113)/(IG113+GX113-IM113)</f>
        <v>#DIV/0!</v>
      </c>
      <c r="IM113" s="91"/>
      <c r="IN113" s="91"/>
      <c r="IO113" s="67">
        <f>FR113</f>
        <v>0</v>
      </c>
      <c r="IP113" s="96">
        <f>GX113+IG113</f>
        <v>0</v>
      </c>
      <c r="IQ113" s="277">
        <v>192726</v>
      </c>
      <c r="IR113" s="277">
        <f>IT113+IV113+IX113+IZ113+JB113+JD113+JF113+JH113+JJ113+JL113+JN113+JP113+JR113+JT113+JV113+JX113+JZ113</f>
        <v>67454.500000000015</v>
      </c>
      <c r="IS113" s="278">
        <v>42579</v>
      </c>
      <c r="IT113" s="285">
        <v>19273</v>
      </c>
      <c r="IU113" s="285"/>
      <c r="IV113" s="288"/>
      <c r="IW113" s="288"/>
      <c r="IX113" s="459">
        <v>9636.3000000000011</v>
      </c>
      <c r="IY113" s="239"/>
      <c r="IZ113" s="274">
        <v>19272.600000000002</v>
      </c>
      <c r="JA113" s="253"/>
      <c r="JB113" s="460">
        <v>19272.600000000002</v>
      </c>
      <c r="JC113" s="279"/>
      <c r="JD113" s="284">
        <v>0</v>
      </c>
      <c r="JE113" s="282"/>
      <c r="JF113" s="282"/>
      <c r="JG113" s="276"/>
      <c r="JH113" s="281"/>
      <c r="JI113" s="276"/>
      <c r="JJ113" s="281"/>
      <c r="JK113" s="300"/>
      <c r="JL113" s="300"/>
      <c r="JM113" s="300"/>
      <c r="JN113" s="300"/>
      <c r="JO113" s="269"/>
      <c r="JP113" s="269"/>
      <c r="JQ113" s="269"/>
      <c r="JR113" s="269"/>
      <c r="JS113" s="269"/>
      <c r="JT113" s="269"/>
      <c r="JU113" s="281" t="e">
        <f>$JU$1*IQ113</f>
        <v>#VALUE!</v>
      </c>
      <c r="JV113" s="117"/>
      <c r="JW113" s="279"/>
      <c r="JX113" s="117"/>
      <c r="JY113" s="117"/>
      <c r="JZ113" s="279"/>
    </row>
    <row r="114" spans="1:286" ht="27" customHeight="1">
      <c r="A114" s="879" t="s">
        <v>956</v>
      </c>
      <c r="B114" s="879"/>
      <c r="C114" s="53" t="s">
        <v>35</v>
      </c>
      <c r="D114" s="53" t="s">
        <v>112</v>
      </c>
      <c r="E114" s="53">
        <v>2022</v>
      </c>
      <c r="F114" s="53"/>
      <c r="G114" s="53"/>
      <c r="H114" s="53"/>
      <c r="I114" s="55" t="s">
        <v>404</v>
      </c>
      <c r="J114" s="53"/>
      <c r="K114" s="53" t="s">
        <v>953</v>
      </c>
      <c r="L114" s="255"/>
      <c r="M114" s="166"/>
      <c r="N114" s="167"/>
      <c r="O114" s="168"/>
      <c r="P114" s="207">
        <v>33407</v>
      </c>
      <c r="Q114" s="207"/>
      <c r="R114" s="207"/>
      <c r="S114" s="207">
        <f t="shared" si="395"/>
        <v>0</v>
      </c>
      <c r="T114" s="207">
        <f t="shared" si="396"/>
        <v>0</v>
      </c>
      <c r="U114" s="213">
        <f t="shared" si="397"/>
        <v>0</v>
      </c>
      <c r="V114" s="213"/>
      <c r="W114" s="213">
        <f t="shared" si="398"/>
        <v>0</v>
      </c>
      <c r="X114" s="207">
        <f t="shared" si="399"/>
        <v>290.49565217391302</v>
      </c>
      <c r="Y114" s="208"/>
      <c r="Z114" s="907">
        <f t="shared" si="282"/>
        <v>34.423923129882958</v>
      </c>
      <c r="AA114" s="208"/>
      <c r="AB114" s="208"/>
      <c r="AC114" s="209"/>
      <c r="AD114" s="53" t="s">
        <v>16</v>
      </c>
      <c r="AE114" s="772">
        <f>SUM(AG114:AJ114)</f>
        <v>115</v>
      </c>
      <c r="AF114" s="772">
        <f>AE114-AJ114</f>
        <v>115</v>
      </c>
      <c r="AG114" s="64"/>
      <c r="AH114" s="64"/>
      <c r="AI114" s="53">
        <f>40+75</f>
        <v>115</v>
      </c>
      <c r="AJ114" s="53"/>
      <c r="AK114" s="807"/>
      <c r="AL114" s="57"/>
      <c r="AM114" s="804"/>
      <c r="AN114" s="92"/>
      <c r="AO114" s="57">
        <f>AN114/AE114</f>
        <v>0</v>
      </c>
      <c r="AP114" s="78"/>
      <c r="AQ114" s="78"/>
      <c r="AR114" s="78"/>
      <c r="AS114" s="78"/>
      <c r="AT114" s="78"/>
      <c r="AU114" s="57"/>
      <c r="AV114" s="76"/>
      <c r="AW114" s="78"/>
      <c r="AX114" s="57"/>
      <c r="AY114" s="56"/>
      <c r="AZ114" s="53"/>
      <c r="BA114" s="53"/>
      <c r="BB114" s="53"/>
      <c r="BC114" s="184"/>
      <c r="BD114" s="237"/>
      <c r="BE114" s="184"/>
      <c r="BF114" s="110"/>
      <c r="BG114" s="110"/>
      <c r="BH114" s="97"/>
      <c r="BI114" s="204"/>
      <c r="BJ114" s="99"/>
      <c r="BK114" s="99"/>
      <c r="BL114" s="204"/>
      <c r="BM114" s="99"/>
      <c r="BN114" s="161"/>
      <c r="BO114" s="203"/>
      <c r="BP114" s="161"/>
      <c r="BQ114" s="161"/>
      <c r="BR114" s="299"/>
      <c r="BS114" s="298"/>
      <c r="BT114" s="298"/>
      <c r="BU114" s="298"/>
      <c r="BV114" s="298"/>
      <c r="BW114" s="672"/>
      <c r="BX114" s="672"/>
      <c r="BY114" s="672"/>
      <c r="BZ114" s="824"/>
      <c r="CA114" s="832"/>
      <c r="CB114" s="826"/>
      <c r="CC114" s="826"/>
      <c r="CD114" s="826"/>
      <c r="CE114" s="826"/>
      <c r="CF114" s="819"/>
      <c r="CG114" s="819"/>
      <c r="CH114" s="819"/>
      <c r="CI114" s="819"/>
      <c r="CJ114" s="819"/>
      <c r="CK114" s="819"/>
      <c r="CL114" s="819"/>
      <c r="CM114" s="819"/>
      <c r="CN114" s="819"/>
      <c r="CO114" s="819"/>
      <c r="CP114" s="819"/>
      <c r="CQ114" s="819"/>
      <c r="CR114" s="819"/>
      <c r="CS114" s="159"/>
      <c r="CT114" s="250"/>
      <c r="CU114" s="250"/>
      <c r="CV114" s="158"/>
      <c r="CW114" s="250"/>
      <c r="CX114" s="250"/>
      <c r="CY114" s="250"/>
      <c r="CZ114" s="250"/>
      <c r="DA114" s="597"/>
      <c r="DB114" s="540"/>
      <c r="DC114" s="543"/>
      <c r="DD114" s="543"/>
      <c r="DE114" s="545"/>
      <c r="DF114" s="543"/>
      <c r="DG114" s="543"/>
      <c r="DH114" s="545"/>
      <c r="DI114" s="543"/>
      <c r="DJ114" s="543"/>
      <c r="DK114" s="545"/>
      <c r="DL114" s="543"/>
      <c r="DM114" s="543"/>
      <c r="DN114" s="545"/>
      <c r="DO114" s="546"/>
      <c r="DP114" s="547"/>
      <c r="DQ114" s="545"/>
      <c r="DR114" s="451"/>
      <c r="DS114" s="548"/>
      <c r="DT114" s="527"/>
      <c r="DU114" s="528"/>
      <c r="DV114" s="529"/>
      <c r="DW114" s="527"/>
      <c r="DX114" s="686">
        <v>45108</v>
      </c>
      <c r="DY114" s="344"/>
      <c r="DZ114" s="442"/>
      <c r="EA114" s="529"/>
      <c r="EB114" s="687">
        <v>24</v>
      </c>
      <c r="EC114" s="241"/>
      <c r="ED114" s="527"/>
      <c r="EE114" s="533"/>
      <c r="EF114" s="529"/>
      <c r="EG114" s="527"/>
      <c r="EH114" s="551"/>
      <c r="EI114" s="530"/>
      <c r="EJ114" s="531"/>
      <c r="EK114" s="532"/>
      <c r="EL114" s="529"/>
      <c r="EM114" s="527"/>
      <c r="EN114" s="533"/>
      <c r="EO114" s="529"/>
      <c r="EP114" s="533"/>
      <c r="EQ114" s="533"/>
      <c r="ER114" s="529"/>
      <c r="ES114" s="533"/>
      <c r="ET114" s="533"/>
      <c r="EU114" s="529"/>
      <c r="EV114" s="533"/>
      <c r="EW114" s="533"/>
      <c r="EX114" s="529"/>
      <c r="EY114" s="533"/>
      <c r="EZ114" s="533"/>
      <c r="FA114" s="533"/>
      <c r="FB114" s="616">
        <f t="shared" si="365"/>
        <v>45839</v>
      </c>
      <c r="FC114" s="401">
        <f t="shared" si="404"/>
        <v>45931</v>
      </c>
      <c r="FD114" s="727">
        <f t="shared" si="402"/>
        <v>3.0666666666666669</v>
      </c>
      <c r="FE114" s="573"/>
      <c r="FF114" s="242"/>
      <c r="FG114" s="242"/>
      <c r="FH114" s="186">
        <f>DATE(YEAR(FC114),MONTH(FC114),DAY(FC114)+15)</f>
        <v>45946</v>
      </c>
      <c r="FI114" s="461"/>
      <c r="FJ114" s="571">
        <f t="shared" si="368"/>
        <v>45870</v>
      </c>
      <c r="FK114" s="450">
        <f t="shared" si="405"/>
        <v>45977</v>
      </c>
      <c r="FL114" s="574"/>
      <c r="FM114" s="724">
        <f t="shared" si="393"/>
        <v>3.5666666666666669</v>
      </c>
      <c r="FN114" s="700"/>
      <c r="FO114" s="246">
        <f t="shared" si="403"/>
        <v>0</v>
      </c>
      <c r="FP114" s="117"/>
      <c r="FQ114" s="556"/>
      <c r="FR114" s="556"/>
      <c r="FS114" s="556"/>
      <c r="FT114" s="556"/>
      <c r="FU114" s="748"/>
      <c r="FV114" s="749"/>
      <c r="FW114" s="559"/>
      <c r="FX114" s="577"/>
      <c r="FY114" s="559"/>
      <c r="FZ114" s="559"/>
      <c r="GA114" s="121"/>
      <c r="GB114" s="121"/>
      <c r="GC114" s="121"/>
      <c r="GD114" s="121"/>
      <c r="GE114" s="121"/>
      <c r="GF114" s="53"/>
      <c r="GG114" s="280"/>
      <c r="GH114" s="280"/>
      <c r="GI114" s="53"/>
      <c r="GJ114" s="53"/>
      <c r="GK114" s="53"/>
      <c r="GL114" s="53"/>
      <c r="GM114" s="53"/>
      <c r="GN114" s="53"/>
      <c r="GO114" s="53"/>
      <c r="GP114" s="53"/>
      <c r="GQ114" s="53"/>
      <c r="GR114" s="53"/>
      <c r="GS114" s="53"/>
      <c r="GT114" s="53"/>
      <c r="GU114" s="53"/>
      <c r="GV114" s="112"/>
      <c r="GW114" s="112"/>
      <c r="GX114" s="93"/>
      <c r="GY114" s="67"/>
      <c r="GZ114" s="67"/>
      <c r="HA114" s="94"/>
      <c r="HB114" s="49"/>
      <c r="HC114" s="49"/>
      <c r="HD114" s="93"/>
      <c r="HE114" s="67"/>
      <c r="HF114" s="94"/>
      <c r="HG114" s="128"/>
      <c r="HH114" s="129"/>
      <c r="HI114" s="93"/>
      <c r="HJ114" s="67"/>
      <c r="HK114" s="67"/>
      <c r="HL114" s="49"/>
      <c r="HM114" s="95"/>
      <c r="HN114" s="93"/>
      <c r="HO114" s="67"/>
      <c r="HP114" s="87"/>
      <c r="HQ114" s="87"/>
      <c r="HR114" s="95"/>
      <c r="HS114" s="630"/>
      <c r="HT114" s="67"/>
      <c r="HU114" s="287"/>
      <c r="HV114" s="67"/>
      <c r="HW114" s="67"/>
      <c r="HX114" s="88"/>
      <c r="HY114" s="93"/>
      <c r="HZ114" s="67"/>
      <c r="IA114" s="89"/>
      <c r="IB114" s="49"/>
      <c r="IC114" s="81"/>
      <c r="ID114" s="89"/>
      <c r="IE114" s="90"/>
      <c r="IF114" s="90"/>
      <c r="IG114" s="91"/>
      <c r="IH114" s="91"/>
      <c r="II114" s="49"/>
      <c r="IJ114" s="91"/>
      <c r="IK114" s="49"/>
      <c r="IL114" s="50"/>
      <c r="IM114" s="91"/>
      <c r="IN114" s="91"/>
      <c r="IO114" s="67"/>
      <c r="IP114" s="96"/>
      <c r="IQ114" s="231"/>
      <c r="IR114" s="231"/>
      <c r="IS114" s="113"/>
      <c r="IT114" s="314"/>
      <c r="IU114" s="314"/>
      <c r="IV114" s="239"/>
      <c r="IW114" s="239"/>
      <c r="IX114" s="330"/>
      <c r="IY114" s="236"/>
      <c r="IZ114" s="331"/>
      <c r="JA114" s="236"/>
      <c r="JB114" s="331"/>
      <c r="JC114" s="291"/>
      <c r="JD114" s="332"/>
      <c r="JE114" s="328"/>
      <c r="JF114" s="328"/>
      <c r="JG114" s="194"/>
      <c r="JH114" s="330"/>
      <c r="JI114" s="194"/>
      <c r="JJ114" s="330"/>
      <c r="JK114" s="291"/>
      <c r="JL114" s="291"/>
      <c r="JM114" s="291"/>
      <c r="JN114" s="291"/>
      <c r="JO114" s="269"/>
      <c r="JP114" s="269"/>
      <c r="JQ114" s="269"/>
      <c r="JR114" s="269"/>
      <c r="JS114" s="269"/>
      <c r="JT114" s="269"/>
      <c r="JU114" s="330"/>
      <c r="JV114" s="329"/>
      <c r="JW114" s="291"/>
      <c r="JX114" s="329"/>
      <c r="JY114" s="329"/>
      <c r="JZ114" s="291"/>
    </row>
    <row r="115" spans="1:286" ht="27" customHeight="1">
      <c r="A115" s="86" t="s">
        <v>923</v>
      </c>
      <c r="B115" s="86"/>
      <c r="C115" s="53" t="s">
        <v>35</v>
      </c>
      <c r="D115" s="53" t="s">
        <v>112</v>
      </c>
      <c r="E115" s="53">
        <v>2022</v>
      </c>
      <c r="F115" s="53"/>
      <c r="G115" s="53"/>
      <c r="H115" s="53"/>
      <c r="I115" s="53"/>
      <c r="J115" s="53"/>
      <c r="K115" s="53" t="s">
        <v>924</v>
      </c>
      <c r="L115" s="255" t="s">
        <v>926</v>
      </c>
      <c r="M115" s="166"/>
      <c r="N115" s="167"/>
      <c r="O115" s="168"/>
      <c r="P115" s="207">
        <v>5300</v>
      </c>
      <c r="Q115" s="207">
        <v>533400</v>
      </c>
      <c r="R115" s="207"/>
      <c r="S115" s="207">
        <f t="shared" si="395"/>
        <v>7620</v>
      </c>
      <c r="T115" s="207">
        <f t="shared" si="396"/>
        <v>100.64150943396227</v>
      </c>
      <c r="U115" s="213">
        <f t="shared" si="397"/>
        <v>0</v>
      </c>
      <c r="V115" s="213" t="e">
        <f t="shared" ref="V115:V125" si="408">R115/AN115</f>
        <v>#DIV/0!</v>
      </c>
      <c r="W115" s="213">
        <f t="shared" si="398"/>
        <v>0</v>
      </c>
      <c r="X115" s="207">
        <f t="shared" si="399"/>
        <v>75.714285714285708</v>
      </c>
      <c r="Y115" s="208"/>
      <c r="Z115" s="907">
        <f t="shared" si="282"/>
        <v>132.0754716981132</v>
      </c>
      <c r="AA115" s="208" t="s">
        <v>188</v>
      </c>
      <c r="AB115" s="208">
        <v>560</v>
      </c>
      <c r="AC115" s="209">
        <v>0.1</v>
      </c>
      <c r="AD115" s="54" t="s">
        <v>16</v>
      </c>
      <c r="AE115" s="772">
        <f t="shared" si="401"/>
        <v>70</v>
      </c>
      <c r="AF115" s="772">
        <f t="shared" si="340"/>
        <v>70</v>
      </c>
      <c r="AG115" s="64"/>
      <c r="AH115" s="53">
        <v>70</v>
      </c>
      <c r="AI115" s="64"/>
      <c r="AJ115" s="64"/>
      <c r="AK115" s="807"/>
      <c r="AL115" s="57"/>
      <c r="AM115" s="804"/>
      <c r="AN115" s="92"/>
      <c r="AO115" s="57"/>
      <c r="AP115" s="78"/>
      <c r="AQ115" s="78"/>
      <c r="AR115" s="78"/>
      <c r="AS115" s="78"/>
      <c r="AT115" s="78"/>
      <c r="AU115" s="57"/>
      <c r="AV115" s="76" t="s">
        <v>168</v>
      </c>
      <c r="AW115" s="78"/>
      <c r="AX115" s="57"/>
      <c r="AY115" s="53"/>
      <c r="AZ115" s="53"/>
      <c r="BA115" s="53"/>
      <c r="BB115" s="53"/>
      <c r="BC115" s="184"/>
      <c r="BD115" s="184"/>
      <c r="BE115" s="53"/>
      <c r="BF115" s="110"/>
      <c r="BG115" s="110"/>
      <c r="BH115" s="97"/>
      <c r="BI115" s="204"/>
      <c r="BJ115" s="99"/>
      <c r="BK115" s="99"/>
      <c r="BL115" s="204"/>
      <c r="BM115" s="99"/>
      <c r="BN115" s="161"/>
      <c r="BO115" s="203"/>
      <c r="BP115" s="161"/>
      <c r="BQ115" s="161"/>
      <c r="BR115" s="299"/>
      <c r="BS115" s="298"/>
      <c r="BT115" s="298"/>
      <c r="BU115" s="298"/>
      <c r="BV115" s="298"/>
      <c r="BW115" s="672"/>
      <c r="BX115" s="672"/>
      <c r="BY115" s="672"/>
      <c r="BZ115" s="824"/>
      <c r="CA115" s="832"/>
      <c r="CB115" s="826"/>
      <c r="CC115" s="826"/>
      <c r="CD115" s="826"/>
      <c r="CE115" s="826"/>
      <c r="CF115" s="819"/>
      <c r="CG115" s="819"/>
      <c r="CH115" s="819"/>
      <c r="CI115" s="819"/>
      <c r="CJ115" s="819"/>
      <c r="CK115" s="819"/>
      <c r="CL115" s="819"/>
      <c r="CM115" s="819"/>
      <c r="CN115" s="819"/>
      <c r="CO115" s="819"/>
      <c r="CP115" s="819"/>
      <c r="CQ115" s="819"/>
      <c r="CR115" s="819"/>
      <c r="CS115" s="159"/>
      <c r="CT115" s="250"/>
      <c r="CU115" s="250"/>
      <c r="CV115" s="158"/>
      <c r="CW115" s="250"/>
      <c r="CX115" s="250"/>
      <c r="CY115" s="250"/>
      <c r="CZ115" s="250"/>
      <c r="DA115" s="597"/>
      <c r="DB115" s="543"/>
      <c r="DC115" s="543"/>
      <c r="DD115" s="543"/>
      <c r="DE115" s="545"/>
      <c r="DF115" s="543"/>
      <c r="DG115" s="543"/>
      <c r="DH115" s="545"/>
      <c r="DI115" s="543"/>
      <c r="DJ115" s="543"/>
      <c r="DK115" s="545"/>
      <c r="DL115" s="543"/>
      <c r="DM115" s="543"/>
      <c r="DN115" s="545"/>
      <c r="DO115" s="546"/>
      <c r="DP115" s="547"/>
      <c r="DQ115" s="545"/>
      <c r="DR115" s="451"/>
      <c r="DS115" s="544"/>
      <c r="DT115" s="527"/>
      <c r="DU115" s="528"/>
      <c r="DV115" s="529"/>
      <c r="DW115" s="527"/>
      <c r="DX115" s="686">
        <v>45108</v>
      </c>
      <c r="DY115" s="344"/>
      <c r="DZ115" s="442"/>
      <c r="EA115" s="529"/>
      <c r="EB115" s="687">
        <v>24</v>
      </c>
      <c r="EC115" s="241"/>
      <c r="ED115" s="527"/>
      <c r="EE115" s="533"/>
      <c r="EF115" s="529"/>
      <c r="EG115" s="527"/>
      <c r="EH115" s="551"/>
      <c r="EI115" s="530"/>
      <c r="EJ115" s="531"/>
      <c r="EK115" s="532"/>
      <c r="EL115" s="529"/>
      <c r="EM115" s="527"/>
      <c r="EN115" s="533"/>
      <c r="EO115" s="529"/>
      <c r="EP115" s="533"/>
      <c r="EQ115" s="533"/>
      <c r="ER115" s="529"/>
      <c r="ES115" s="533"/>
      <c r="ET115" s="533"/>
      <c r="EU115" s="529"/>
      <c r="EV115" s="533"/>
      <c r="EW115" s="533"/>
      <c r="EX115" s="529"/>
      <c r="EY115" s="533"/>
      <c r="EZ115" s="533"/>
      <c r="FA115" s="533"/>
      <c r="FB115" s="616">
        <f t="shared" si="365"/>
        <v>45839</v>
      </c>
      <c r="FC115" s="401">
        <f t="shared" si="404"/>
        <v>45931</v>
      </c>
      <c r="FD115" s="727">
        <f t="shared" si="402"/>
        <v>3.0666666666666669</v>
      </c>
      <c r="FE115" s="573"/>
      <c r="FF115" s="242"/>
      <c r="FG115" s="242"/>
      <c r="FH115" s="186">
        <f>DATE(YEAR(FC115),MONTH(FC115)+1,DAY(FC115))</f>
        <v>45962</v>
      </c>
      <c r="FI115" s="461"/>
      <c r="FJ115" s="571">
        <f t="shared" si="368"/>
        <v>45870</v>
      </c>
      <c r="FK115" s="450">
        <f t="shared" si="405"/>
        <v>45992</v>
      </c>
      <c r="FL115" s="574"/>
      <c r="FM115" s="724">
        <f t="shared" si="393"/>
        <v>4.0666666666666664</v>
      </c>
      <c r="FN115" s="696"/>
      <c r="FO115" s="246">
        <f t="shared" si="403"/>
        <v>0</v>
      </c>
      <c r="FP115" s="117"/>
      <c r="FQ115" s="556"/>
      <c r="FR115" s="556"/>
      <c r="FS115" s="556"/>
      <c r="FT115" s="556"/>
      <c r="FU115" s="748"/>
      <c r="FV115" s="749" t="e">
        <f>FU115/GY115</f>
        <v>#DIV/0!</v>
      </c>
      <c r="FW115" s="559"/>
      <c r="FX115" s="577"/>
      <c r="FY115" s="559"/>
      <c r="FZ115" s="559"/>
      <c r="GA115" s="121"/>
      <c r="GB115" s="121"/>
      <c r="GC115" s="121"/>
      <c r="GD115" s="121"/>
      <c r="GE115" s="121"/>
      <c r="GF115" s="53"/>
      <c r="GG115" s="280"/>
      <c r="GH115" s="280"/>
      <c r="GI115" s="53"/>
      <c r="GJ115" s="53"/>
      <c r="GK115" s="53"/>
      <c r="GL115" s="53"/>
      <c r="GM115" s="53"/>
      <c r="GN115" s="53"/>
      <c r="GO115" s="53"/>
      <c r="GP115" s="53"/>
      <c r="GQ115" s="53"/>
      <c r="GR115" s="53"/>
      <c r="GS115" s="53"/>
      <c r="GT115" s="53"/>
      <c r="GU115" s="53"/>
      <c r="GV115" s="112"/>
      <c r="GW115" s="112"/>
      <c r="GX115" s="93"/>
      <c r="GY115" s="67"/>
      <c r="GZ115" s="67"/>
      <c r="HA115" s="94"/>
      <c r="HB115" s="49"/>
      <c r="HC115" s="49"/>
      <c r="HD115" s="93"/>
      <c r="HE115" s="67"/>
      <c r="HF115" s="94"/>
      <c r="HG115" s="128"/>
      <c r="HH115" s="129"/>
      <c r="HI115" s="93"/>
      <c r="HJ115" s="67"/>
      <c r="HK115" s="67"/>
      <c r="HL115" s="49"/>
      <c r="HM115" s="95"/>
      <c r="HN115" s="93"/>
      <c r="HO115" s="67"/>
      <c r="HP115" s="87"/>
      <c r="HQ115" s="87"/>
      <c r="HR115" s="95"/>
      <c r="HS115" s="630"/>
      <c r="HT115" s="67"/>
      <c r="HU115" s="93"/>
      <c r="HV115" s="67"/>
      <c r="HW115" s="67"/>
      <c r="HX115" s="88"/>
      <c r="HY115" s="303"/>
      <c r="HZ115" s="67"/>
      <c r="IA115" s="89"/>
      <c r="IB115" s="49"/>
      <c r="IC115" s="81"/>
      <c r="ID115" s="89"/>
      <c r="IE115" s="90"/>
      <c r="IF115" s="90"/>
      <c r="IG115" s="91"/>
      <c r="IH115" s="91"/>
      <c r="II115" s="49"/>
      <c r="IJ115" s="91"/>
      <c r="IK115" s="49"/>
      <c r="IL115" s="50"/>
      <c r="IM115" s="91"/>
      <c r="IN115" s="91"/>
      <c r="IO115" s="67"/>
      <c r="IP115" s="96"/>
      <c r="IQ115" s="277"/>
      <c r="IR115" s="277"/>
      <c r="IS115" s="278"/>
      <c r="IT115" s="281"/>
      <c r="IU115" s="281"/>
      <c r="IV115" s="253"/>
      <c r="IW115" s="253"/>
      <c r="IX115" s="385"/>
      <c r="IY115" s="261"/>
      <c r="IZ115" s="274"/>
      <c r="JA115" s="261"/>
      <c r="JB115" s="460"/>
      <c r="JC115" s="279"/>
      <c r="JD115" s="284"/>
      <c r="JE115" s="282"/>
      <c r="JF115" s="282"/>
      <c r="JG115" s="276"/>
      <c r="JH115" s="277"/>
      <c r="JI115" s="276"/>
      <c r="JJ115" s="277"/>
      <c r="JK115" s="300"/>
      <c r="JL115" s="300"/>
      <c r="JM115" s="300"/>
      <c r="JN115" s="300"/>
      <c r="JO115" s="269"/>
      <c r="JP115" s="269"/>
      <c r="JQ115" s="269"/>
      <c r="JR115" s="269"/>
      <c r="JS115" s="269"/>
      <c r="JT115" s="269"/>
      <c r="JU115" s="281"/>
      <c r="JV115" s="117"/>
      <c r="JW115" s="279"/>
      <c r="JX115" s="117"/>
      <c r="JY115" s="271"/>
      <c r="JZ115" s="279"/>
    </row>
    <row r="116" spans="1:286" ht="27" customHeight="1">
      <c r="A116" s="852" t="s">
        <v>927</v>
      </c>
      <c r="B116" s="852"/>
      <c r="C116" s="53" t="s">
        <v>35</v>
      </c>
      <c r="D116" s="53" t="s">
        <v>112</v>
      </c>
      <c r="E116" s="53">
        <v>2022</v>
      </c>
      <c r="F116" s="53"/>
      <c r="G116" s="53"/>
      <c r="H116" s="53"/>
      <c r="I116" s="55"/>
      <c r="J116" s="53"/>
      <c r="K116" s="53" t="s">
        <v>928</v>
      </c>
      <c r="L116" s="255" t="s">
        <v>929</v>
      </c>
      <c r="M116" s="166" t="s">
        <v>921</v>
      </c>
      <c r="N116" s="167"/>
      <c r="O116" s="168"/>
      <c r="P116" s="207">
        <v>45094</v>
      </c>
      <c r="Q116" s="207">
        <v>2460000</v>
      </c>
      <c r="R116" s="207"/>
      <c r="S116" s="207">
        <f t="shared" si="395"/>
        <v>27333.333333333332</v>
      </c>
      <c r="T116" s="207">
        <f t="shared" si="396"/>
        <v>54.552712112476158</v>
      </c>
      <c r="U116" s="213">
        <f t="shared" si="397"/>
        <v>0</v>
      </c>
      <c r="V116" s="213" t="e">
        <f t="shared" si="408"/>
        <v>#DIV/0!</v>
      </c>
      <c r="W116" s="213">
        <f t="shared" si="398"/>
        <v>0</v>
      </c>
      <c r="X116" s="207">
        <f t="shared" si="399"/>
        <v>501.04444444444442</v>
      </c>
      <c r="Y116" s="208"/>
      <c r="Z116" s="904">
        <f t="shared" si="282"/>
        <v>19.958309309442498</v>
      </c>
      <c r="AA116" s="208" t="s">
        <v>882</v>
      </c>
      <c r="AB116" s="208">
        <v>1300</v>
      </c>
      <c r="AC116" s="209">
        <v>0.1</v>
      </c>
      <c r="AD116" s="53" t="s">
        <v>16</v>
      </c>
      <c r="AE116" s="772">
        <f t="shared" si="401"/>
        <v>90</v>
      </c>
      <c r="AF116" s="772">
        <f t="shared" si="340"/>
        <v>90</v>
      </c>
      <c r="AG116" s="64"/>
      <c r="AH116" s="53">
        <v>90</v>
      </c>
      <c r="AI116" s="64"/>
      <c r="AJ116" s="53"/>
      <c r="AK116" s="807"/>
      <c r="AL116" s="57"/>
      <c r="AM116" s="804"/>
      <c r="AN116" s="92"/>
      <c r="AO116" s="57"/>
      <c r="AP116" s="78"/>
      <c r="AQ116" s="78"/>
      <c r="AR116" s="78"/>
      <c r="AS116" s="78"/>
      <c r="AT116" s="78"/>
      <c r="AU116" s="57"/>
      <c r="AV116" s="76"/>
      <c r="AW116" s="78"/>
      <c r="AX116" s="57"/>
      <c r="AY116" s="56"/>
      <c r="AZ116" s="53"/>
      <c r="BA116" s="53"/>
      <c r="BB116" s="53"/>
      <c r="BC116" s="53"/>
      <c r="BD116" s="237"/>
      <c r="BE116" s="184"/>
      <c r="BF116" s="110"/>
      <c r="BG116" s="110"/>
      <c r="BH116" s="97"/>
      <c r="BI116" s="204"/>
      <c r="BJ116" s="99"/>
      <c r="BK116" s="99"/>
      <c r="BL116" s="204"/>
      <c r="BM116" s="99"/>
      <c r="BN116" s="161"/>
      <c r="BO116" s="203"/>
      <c r="BP116" s="161"/>
      <c r="BQ116" s="161"/>
      <c r="BR116" s="299"/>
      <c r="BS116" s="298"/>
      <c r="BT116" s="298"/>
      <c r="BU116" s="298"/>
      <c r="BV116" s="298"/>
      <c r="BW116" s="672"/>
      <c r="BX116" s="672"/>
      <c r="BY116" s="672"/>
      <c r="BZ116" s="824"/>
      <c r="CA116" s="832"/>
      <c r="CB116" s="826"/>
      <c r="CC116" s="826"/>
      <c r="CD116" s="826"/>
      <c r="CE116" s="826"/>
      <c r="CF116" s="819"/>
      <c r="CG116" s="819"/>
      <c r="CH116" s="819"/>
      <c r="CI116" s="819"/>
      <c r="CJ116" s="819"/>
      <c r="CK116" s="819"/>
      <c r="CL116" s="819"/>
      <c r="CM116" s="819"/>
      <c r="CN116" s="819"/>
      <c r="CO116" s="819"/>
      <c r="CP116" s="819"/>
      <c r="CQ116" s="819"/>
      <c r="CR116" s="819"/>
      <c r="CS116" s="159"/>
      <c r="CT116" s="250"/>
      <c r="CU116" s="250"/>
      <c r="CV116" s="158"/>
      <c r="CW116" s="250"/>
      <c r="CX116" s="250"/>
      <c r="CY116" s="250"/>
      <c r="CZ116" s="250"/>
      <c r="DA116" s="598"/>
      <c r="DB116" s="540"/>
      <c r="DC116" s="543"/>
      <c r="DD116" s="543"/>
      <c r="DE116" s="545"/>
      <c r="DF116" s="543"/>
      <c r="DG116" s="543"/>
      <c r="DH116" s="545"/>
      <c r="DI116" s="543"/>
      <c r="DJ116" s="543"/>
      <c r="DK116" s="545"/>
      <c r="DL116" s="543"/>
      <c r="DM116" s="543"/>
      <c r="DN116" s="545"/>
      <c r="DO116" s="546"/>
      <c r="DP116" s="547"/>
      <c r="DQ116" s="545"/>
      <c r="DR116" s="451"/>
      <c r="DS116" s="548"/>
      <c r="DT116" s="527"/>
      <c r="DU116" s="528"/>
      <c r="DV116" s="529"/>
      <c r="DW116" s="527"/>
      <c r="DX116" s="686">
        <v>45108</v>
      </c>
      <c r="DY116" s="344"/>
      <c r="DZ116" s="442"/>
      <c r="EA116" s="529"/>
      <c r="EB116" s="687">
        <v>24</v>
      </c>
      <c r="EC116" s="241"/>
      <c r="ED116" s="527"/>
      <c r="EE116" s="533"/>
      <c r="EF116" s="529"/>
      <c r="EG116" s="527"/>
      <c r="EH116" s="551"/>
      <c r="EI116" s="530"/>
      <c r="EJ116" s="531"/>
      <c r="EK116" s="532"/>
      <c r="EL116" s="529"/>
      <c r="EM116" s="527"/>
      <c r="EN116" s="533"/>
      <c r="EO116" s="529"/>
      <c r="EP116" s="533"/>
      <c r="EQ116" s="533"/>
      <c r="ER116" s="529"/>
      <c r="ES116" s="533"/>
      <c r="ET116" s="533"/>
      <c r="EU116" s="529"/>
      <c r="EV116" s="533"/>
      <c r="EW116" s="533"/>
      <c r="EX116" s="529"/>
      <c r="EY116" s="533"/>
      <c r="EZ116" s="533"/>
      <c r="FA116" s="533"/>
      <c r="FB116" s="616">
        <f t="shared" si="365"/>
        <v>45839</v>
      </c>
      <c r="FC116" s="401">
        <f t="shared" si="404"/>
        <v>45931</v>
      </c>
      <c r="FD116" s="727">
        <f t="shared" si="402"/>
        <v>3.0666666666666669</v>
      </c>
      <c r="FE116" s="573"/>
      <c r="FF116" s="242"/>
      <c r="FG116" s="242"/>
      <c r="FH116" s="186">
        <f>DATE(YEAR(FC116),MONTH(FC116)+1,DAY(FC116))</f>
        <v>45962</v>
      </c>
      <c r="FI116" s="461"/>
      <c r="FJ116" s="571">
        <f t="shared" si="368"/>
        <v>45870</v>
      </c>
      <c r="FK116" s="450">
        <f t="shared" si="405"/>
        <v>45992</v>
      </c>
      <c r="FL116" s="574"/>
      <c r="FM116" s="724">
        <f t="shared" si="393"/>
        <v>4.0666666666666664</v>
      </c>
      <c r="FN116" s="696"/>
      <c r="FO116" s="246">
        <f t="shared" si="403"/>
        <v>0</v>
      </c>
      <c r="FP116" s="117"/>
      <c r="FQ116" s="556"/>
      <c r="FR116" s="556"/>
      <c r="FS116" s="556"/>
      <c r="FT116" s="556"/>
      <c r="FU116" s="748"/>
      <c r="FV116" s="749" t="e">
        <f>FU116/GY116</f>
        <v>#DIV/0!</v>
      </c>
      <c r="FW116" s="559"/>
      <c r="FX116" s="577"/>
      <c r="FY116" s="559"/>
      <c r="FZ116" s="559"/>
      <c r="GA116" s="121"/>
      <c r="GB116" s="121"/>
      <c r="GC116" s="121"/>
      <c r="GD116" s="121"/>
      <c r="GE116" s="121"/>
      <c r="GF116" s="53"/>
      <c r="GG116" s="280"/>
      <c r="GH116" s="280"/>
      <c r="GI116" s="53"/>
      <c r="GJ116" s="53"/>
      <c r="GK116" s="53"/>
      <c r="GL116" s="53"/>
      <c r="GM116" s="53"/>
      <c r="GN116" s="53"/>
      <c r="GO116" s="53"/>
      <c r="GP116" s="53"/>
      <c r="GQ116" s="53"/>
      <c r="GR116" s="53"/>
      <c r="GS116" s="53"/>
      <c r="GT116" s="53"/>
      <c r="GU116" s="53"/>
      <c r="GV116" s="112"/>
      <c r="GW116" s="112"/>
      <c r="GX116" s="93"/>
      <c r="GY116" s="67"/>
      <c r="GZ116" s="67"/>
      <c r="HA116" s="94"/>
      <c r="HB116" s="49"/>
      <c r="HC116" s="49"/>
      <c r="HD116" s="93"/>
      <c r="HE116" s="67"/>
      <c r="HF116" s="94"/>
      <c r="HG116" s="128"/>
      <c r="HH116" s="129"/>
      <c r="HI116" s="93"/>
      <c r="HJ116" s="67"/>
      <c r="HK116" s="67"/>
      <c r="HL116" s="49"/>
      <c r="HM116" s="95"/>
      <c r="HN116" s="93"/>
      <c r="HO116" s="67"/>
      <c r="HP116" s="87"/>
      <c r="HQ116" s="87"/>
      <c r="HR116" s="95"/>
      <c r="HS116" s="630"/>
      <c r="HT116" s="67"/>
      <c r="HU116" s="287"/>
      <c r="HV116" s="67"/>
      <c r="HW116" s="67"/>
      <c r="HX116" s="88"/>
      <c r="HY116" s="93"/>
      <c r="HZ116" s="67"/>
      <c r="IA116" s="89"/>
      <c r="IB116" s="49"/>
      <c r="IC116" s="81"/>
      <c r="ID116" s="89"/>
      <c r="IE116" s="90"/>
      <c r="IF116" s="90"/>
      <c r="IG116" s="91"/>
      <c r="IH116" s="91"/>
      <c r="II116" s="49"/>
      <c r="IJ116" s="91"/>
      <c r="IK116" s="49"/>
      <c r="IL116" s="50"/>
      <c r="IM116" s="91"/>
      <c r="IN116" s="91"/>
      <c r="IO116" s="67"/>
      <c r="IP116" s="96"/>
      <c r="IQ116" s="231"/>
      <c r="IR116" s="231"/>
      <c r="IS116" s="113"/>
      <c r="IT116" s="314"/>
      <c r="IU116" s="314"/>
      <c r="IV116" s="239"/>
      <c r="IW116" s="239"/>
      <c r="IX116" s="330"/>
      <c r="IY116" s="236"/>
      <c r="IZ116" s="331"/>
      <c r="JA116" s="236"/>
      <c r="JB116" s="331"/>
      <c r="JC116" s="291"/>
      <c r="JD116" s="332"/>
      <c r="JE116" s="328"/>
      <c r="JF116" s="328"/>
      <c r="JG116" s="194"/>
      <c r="JH116" s="330"/>
      <c r="JI116" s="194"/>
      <c r="JJ116" s="330"/>
      <c r="JK116" s="291"/>
      <c r="JL116" s="291"/>
      <c r="JM116" s="291"/>
      <c r="JN116" s="291"/>
      <c r="JO116" s="269"/>
      <c r="JP116" s="269"/>
      <c r="JQ116" s="269"/>
      <c r="JR116" s="269"/>
      <c r="JS116" s="269"/>
      <c r="JT116" s="269"/>
      <c r="JU116" s="330"/>
      <c r="JV116" s="329"/>
      <c r="JW116" s="291"/>
      <c r="JX116" s="329"/>
      <c r="JY116" s="329"/>
      <c r="JZ116" s="291"/>
    </row>
    <row r="117" spans="1:286" ht="27" customHeight="1">
      <c r="A117" s="86" t="s">
        <v>605</v>
      </c>
      <c r="B117" s="86"/>
      <c r="C117" s="53" t="s">
        <v>35</v>
      </c>
      <c r="D117" s="53" t="s">
        <v>112</v>
      </c>
      <c r="E117" s="53" t="s">
        <v>631</v>
      </c>
      <c r="F117" s="53"/>
      <c r="G117" s="53"/>
      <c r="H117" s="53"/>
      <c r="I117" s="53" t="s">
        <v>243</v>
      </c>
      <c r="J117" s="53"/>
      <c r="K117" s="53" t="s">
        <v>594</v>
      </c>
      <c r="L117" s="255" t="s">
        <v>931</v>
      </c>
      <c r="M117" s="166" t="s">
        <v>595</v>
      </c>
      <c r="N117" s="167"/>
      <c r="O117" s="168"/>
      <c r="P117" s="207">
        <v>5498</v>
      </c>
      <c r="Q117" s="207">
        <v>924932</v>
      </c>
      <c r="R117" s="207"/>
      <c r="S117" s="207">
        <f t="shared" si="395"/>
        <v>22022.190476190477</v>
      </c>
      <c r="T117" s="207">
        <f t="shared" si="396"/>
        <v>168.23062931975264</v>
      </c>
      <c r="U117" s="213">
        <f t="shared" si="397"/>
        <v>0</v>
      </c>
      <c r="V117" s="213" t="e">
        <f t="shared" si="408"/>
        <v>#DIV/0!</v>
      </c>
      <c r="W117" s="213">
        <f t="shared" si="398"/>
        <v>0</v>
      </c>
      <c r="X117" s="207">
        <f t="shared" si="399"/>
        <v>130.9047619047619</v>
      </c>
      <c r="Y117" s="208"/>
      <c r="Z117" s="907">
        <f t="shared" si="282"/>
        <v>76.391415060021828</v>
      </c>
      <c r="AA117" s="208" t="s">
        <v>188</v>
      </c>
      <c r="AB117" s="208">
        <v>580</v>
      </c>
      <c r="AC117" s="209">
        <v>0.1</v>
      </c>
      <c r="AD117" s="53" t="s">
        <v>15</v>
      </c>
      <c r="AE117" s="772">
        <f t="shared" si="401"/>
        <v>42</v>
      </c>
      <c r="AF117" s="772">
        <f t="shared" si="340"/>
        <v>42</v>
      </c>
      <c r="AG117" s="53">
        <v>42</v>
      </c>
      <c r="AH117" s="64"/>
      <c r="AI117" s="64"/>
      <c r="AJ117" s="64"/>
      <c r="AK117" s="269"/>
      <c r="AL117" s="57"/>
      <c r="AM117" s="804"/>
      <c r="AN117" s="92"/>
      <c r="AO117" s="57">
        <f>AN117/AE117</f>
        <v>0</v>
      </c>
      <c r="AP117" s="78"/>
      <c r="AQ117" s="78"/>
      <c r="AR117" s="78"/>
      <c r="AS117" s="78"/>
      <c r="AT117" s="78"/>
      <c r="AU117" s="57"/>
      <c r="AV117" s="76" t="s">
        <v>168</v>
      </c>
      <c r="AW117" s="78"/>
      <c r="AX117" s="57"/>
      <c r="AY117" s="53" t="s">
        <v>549</v>
      </c>
      <c r="AZ117" s="53" t="s">
        <v>120</v>
      </c>
      <c r="BA117" s="53"/>
      <c r="BB117" s="53"/>
      <c r="BC117" s="53"/>
      <c r="BD117" s="53"/>
      <c r="BE117" s="53"/>
      <c r="BF117" s="110" t="s">
        <v>168</v>
      </c>
      <c r="BG117" s="110" t="s">
        <v>168</v>
      </c>
      <c r="BH117" s="97"/>
      <c r="BI117" s="204"/>
      <c r="BJ117" s="99"/>
      <c r="BK117" s="99"/>
      <c r="BL117" s="204"/>
      <c r="BM117" s="99"/>
      <c r="BN117" s="161"/>
      <c r="BO117" s="203"/>
      <c r="BP117" s="161"/>
      <c r="BQ117" s="161"/>
      <c r="BR117" s="299">
        <f>BO117</f>
        <v>0</v>
      </c>
      <c r="BS117" s="298">
        <f>DATE(YEAR(BR117),MONTH(BR117)+24,DAY(BR117))</f>
        <v>731</v>
      </c>
      <c r="BT117" s="298">
        <f>DATE(YEAR(BR117),MONTH(BR117)+36,DAY(BR117))</f>
        <v>1096</v>
      </c>
      <c r="BU117" s="298"/>
      <c r="BV117" s="298" t="str">
        <f>IF(FK117&gt;BS117,"oui","non")</f>
        <v>non</v>
      </c>
      <c r="BW117" s="672">
        <f>DATEDIF(FK117,BT117,"M")</f>
        <v>35</v>
      </c>
      <c r="BX117" s="672">
        <f>BW117*FN117</f>
        <v>0</v>
      </c>
      <c r="BY117" s="672">
        <f>IF((BX117-BU117&gt;0),0,(BX117-BU117))</f>
        <v>0</v>
      </c>
      <c r="BZ117" s="824"/>
      <c r="CA117" s="832"/>
      <c r="CB117" s="826"/>
      <c r="CC117" s="826"/>
      <c r="CD117" s="826"/>
      <c r="CE117" s="826"/>
      <c r="CF117" s="819"/>
      <c r="CG117" s="819"/>
      <c r="CH117" s="819"/>
      <c r="CI117" s="819"/>
      <c r="CJ117" s="819"/>
      <c r="CK117" s="819"/>
      <c r="CL117" s="819"/>
      <c r="CM117" s="819"/>
      <c r="CN117" s="819"/>
      <c r="CO117" s="819"/>
      <c r="CP117" s="819"/>
      <c r="CQ117" s="819"/>
      <c r="CR117" s="819"/>
      <c r="CS117" s="159"/>
      <c r="CT117" s="250"/>
      <c r="CU117" s="250"/>
      <c r="CV117" s="158"/>
      <c r="CW117" s="250"/>
      <c r="CX117" s="250"/>
      <c r="CY117" s="250"/>
      <c r="CZ117" s="250" t="s">
        <v>168</v>
      </c>
      <c r="DA117" s="598"/>
      <c r="DB117" s="540"/>
      <c r="DC117" s="543"/>
      <c r="DD117" s="543"/>
      <c r="DE117" s="545" t="str">
        <f>IF(AND(DC117&gt;0,DD117&gt;0),DD117-DC117,"0")</f>
        <v>0</v>
      </c>
      <c r="DF117" s="543"/>
      <c r="DG117" s="543"/>
      <c r="DH117" s="545" t="str">
        <f>IF(AND(DF117&gt;0,DG117&gt;0),DG117-DF117,"0")</f>
        <v>0</v>
      </c>
      <c r="DI117" s="543"/>
      <c r="DJ117" s="543"/>
      <c r="DK117" s="545" t="str">
        <f>IF(AND(DI117&gt;0,DJ117&gt;0),DJ117-DI117,"0")</f>
        <v>0</v>
      </c>
      <c r="DL117" s="543"/>
      <c r="DM117" s="543"/>
      <c r="DN117" s="545" t="str">
        <f>IF(AND(DL117&gt;0,DM117&gt;0),DM117-DL117,"0")</f>
        <v>0</v>
      </c>
      <c r="DO117" s="546"/>
      <c r="DP117" s="547"/>
      <c r="DQ117" s="545" t="str">
        <f>IF(AND(DO117&gt;0,DP117&gt;0),DP117-DO117,"0")</f>
        <v>0</v>
      </c>
      <c r="DR117" s="451"/>
      <c r="DS117" s="548"/>
      <c r="DT117" s="527"/>
      <c r="DU117" s="528"/>
      <c r="DV117" s="529" t="str">
        <f>IF(AND(DT117&gt;0,DU117&gt;0),DU117-DT117,"0")</f>
        <v>0</v>
      </c>
      <c r="DW117" s="527"/>
      <c r="DX117" s="686"/>
      <c r="DY117" s="344"/>
      <c r="DZ117" s="442">
        <f>(DATEDIF(BI117,DX117,"d"))/30</f>
        <v>0</v>
      </c>
      <c r="EA117" s="529" t="str">
        <f>IF(AND(DW117&gt;0,DX117&gt;0),DX117-DW117,"0")</f>
        <v>0</v>
      </c>
      <c r="EB117" s="687"/>
      <c r="EC117" s="241">
        <f>DATEDIF(DX117,FC117,"M")</f>
        <v>0</v>
      </c>
      <c r="ED117" s="527"/>
      <c r="EE117" s="533">
        <f ca="1">IF(ED117&lt;TODAY(),TODAY(),ED117)</f>
        <v>43423</v>
      </c>
      <c r="EF117" s="529" t="str">
        <f ca="1">IF(AND(ED117&gt;0,EE117&gt;0),EE117-ED117,"0")</f>
        <v>0</v>
      </c>
      <c r="EG117" s="527"/>
      <c r="EH117" s="551">
        <f ca="1">IF(EG117&lt;TODAY(),TODAY(),EG117)</f>
        <v>43423</v>
      </c>
      <c r="EI117" s="530" t="str">
        <f ca="1">IF(AND(EG117&gt;0,EH117&gt;0),EH117-EG117,"0")</f>
        <v>0</v>
      </c>
      <c r="EJ117" s="531"/>
      <c r="EK117" s="532">
        <f ca="1">IF(EJ117&lt;TODAY(),TODAY(),EJ117)</f>
        <v>43423</v>
      </c>
      <c r="EL117" s="529" t="str">
        <f ca="1">IF(AND(EJ117&gt;0,EK117&gt;0),EK117-EJ117,"0")</f>
        <v>0</v>
      </c>
      <c r="EM117" s="527"/>
      <c r="EN117" s="533">
        <f ca="1">IF(EM117&lt;TODAY(),TODAY(),EM117)</f>
        <v>43423</v>
      </c>
      <c r="EO117" s="529" t="str">
        <f ca="1">IF(AND(EM117&gt;0,EN117&gt;0),EN117-EM117,"0")</f>
        <v>0</v>
      </c>
      <c r="EP117" s="533"/>
      <c r="EQ117" s="533">
        <f ca="1">IF(EP117&lt;TODAY(),TODAY(),EP117)</f>
        <v>43423</v>
      </c>
      <c r="ER117" s="529" t="str">
        <f ca="1">IF(AND(EP117&gt;0,EQ117&gt;0),EQ117-EP117,"0")</f>
        <v>0</v>
      </c>
      <c r="ES117" s="533"/>
      <c r="ET117" s="533">
        <f ca="1">IF(ES117&lt;TODAY(),TODAY(),ES117)</f>
        <v>43423</v>
      </c>
      <c r="EU117" s="529" t="str">
        <f ca="1">IF(AND(ES117&gt;0,ET117&gt;0),ET117-ES117,"0")</f>
        <v>0</v>
      </c>
      <c r="EV117" s="533"/>
      <c r="EW117" s="533">
        <f ca="1">IF(EV117&lt;TODAY(),TODAY(),EV117)</f>
        <v>43423</v>
      </c>
      <c r="EX117" s="529" t="str">
        <f ca="1">IF(AND(EV117&gt;0,EW117&gt;0),EW117-EV117,"0")</f>
        <v>0</v>
      </c>
      <c r="EY117" s="533"/>
      <c r="EZ117" s="533"/>
      <c r="FA117" s="533"/>
      <c r="FB117" s="731"/>
      <c r="FC117" s="730"/>
      <c r="FD117" s="727"/>
      <c r="FE117" s="573">
        <f>DATE(YEAR(CY117)+2,MONTH(CY117),DAY(CY117))</f>
        <v>731</v>
      </c>
      <c r="FF117" s="242"/>
      <c r="FG117" s="242"/>
      <c r="FH117" s="186"/>
      <c r="FI117" s="461"/>
      <c r="FJ117" s="571"/>
      <c r="FK117" s="730"/>
      <c r="FL117" s="574"/>
      <c r="FM117" s="724"/>
      <c r="FN117" s="700"/>
      <c r="FO117" s="246"/>
      <c r="FP117" s="117"/>
      <c r="FQ117" s="556"/>
      <c r="FR117" s="556">
        <v>0</v>
      </c>
      <c r="FS117" s="556"/>
      <c r="FT117" s="556"/>
      <c r="FU117" s="748"/>
      <c r="FV117" s="749" t="e">
        <f>FU117/GY117</f>
        <v>#DIV/0!</v>
      </c>
      <c r="FW117" s="559"/>
      <c r="FX117" s="577"/>
      <c r="FY117" s="559"/>
      <c r="FZ117" s="559"/>
      <c r="GA117" s="121"/>
      <c r="GB117" s="121"/>
      <c r="GC117" s="121"/>
      <c r="GD117" s="121"/>
      <c r="GE117" s="121"/>
      <c r="GF117" s="53"/>
      <c r="GG117" s="280">
        <f>DATE(YEAR(FC117)+1,MONTH(FC117),DAY(FC117))</f>
        <v>366</v>
      </c>
      <c r="GH117" s="280"/>
      <c r="GI117" s="53"/>
      <c r="GJ117" s="53"/>
      <c r="GK117" s="53"/>
      <c r="GL117" s="53"/>
      <c r="GM117" s="53"/>
      <c r="GN117" s="53"/>
      <c r="GO117" s="53"/>
      <c r="GP117" s="53"/>
      <c r="GQ117" s="53"/>
      <c r="GR117" s="53"/>
      <c r="GS117" s="53"/>
      <c r="GT117" s="53"/>
      <c r="GU117" s="53"/>
      <c r="GV117" s="112"/>
      <c r="GW117" s="112"/>
      <c r="GX117" s="93">
        <f>+HI117+HN117+HU117+IO117+HZ117</f>
        <v>0</v>
      </c>
      <c r="GY117" s="67">
        <f>HJ117+HO117+HV117+IO117+HW117+HZ117</f>
        <v>0</v>
      </c>
      <c r="GZ117" s="67">
        <f>GY117</f>
        <v>0</v>
      </c>
      <c r="HA117" s="94">
        <f>GY117-GX117</f>
        <v>0</v>
      </c>
      <c r="HB117" s="49" t="e">
        <f>GY117/AL117</f>
        <v>#DIV/0!</v>
      </c>
      <c r="HC117" s="49">
        <f>GY117/AE117</f>
        <v>0</v>
      </c>
      <c r="HD117" s="93"/>
      <c r="HE117" s="67"/>
      <c r="HF117" s="94">
        <f>HE117-HD117</f>
        <v>0</v>
      </c>
      <c r="HG117" s="128" t="e">
        <f>HE117*1.021/GY117</f>
        <v>#DIV/0!</v>
      </c>
      <c r="HH117" s="129">
        <v>0.4</v>
      </c>
      <c r="HI117" s="93"/>
      <c r="HJ117" s="67"/>
      <c r="HK117" s="67"/>
      <c r="HL117" s="49">
        <f>HI117/AE117</f>
        <v>0</v>
      </c>
      <c r="HM117" s="95"/>
      <c r="HN117" s="93"/>
      <c r="HO117" s="67">
        <f>HP117+HQ117</f>
        <v>0</v>
      </c>
      <c r="HP117" s="87"/>
      <c r="HQ117" s="87"/>
      <c r="HR117" s="95">
        <f>HO117-HN117</f>
        <v>0</v>
      </c>
      <c r="HS117" s="630">
        <f>HO117/AE117</f>
        <v>0</v>
      </c>
      <c r="HT117" s="67"/>
      <c r="HU117" s="287"/>
      <c r="HV117" s="67"/>
      <c r="HW117" s="67"/>
      <c r="HX117" s="88" t="e">
        <f>HV117/GY117</f>
        <v>#DIV/0!</v>
      </c>
      <c r="HY117" s="93"/>
      <c r="HZ117" s="67"/>
      <c r="IA117" s="89">
        <f>HV117-HU117</f>
        <v>0</v>
      </c>
      <c r="IB117" s="49">
        <f>HV117/AE117</f>
        <v>0</v>
      </c>
      <c r="IC117" s="81">
        <f>(HJ117+HV117)/AE117</f>
        <v>0</v>
      </c>
      <c r="ID117" s="89">
        <f>IA117/AE117</f>
        <v>0</v>
      </c>
      <c r="IE117" s="90">
        <v>6.31</v>
      </c>
      <c r="IF117" s="90"/>
      <c r="IG117" s="91"/>
      <c r="IH117" s="91"/>
      <c r="II117" s="49">
        <f>(HI117+HU117+IH117)/AE117</f>
        <v>0</v>
      </c>
      <c r="IJ117" s="91"/>
      <c r="IK117" s="49">
        <f>(HJ117+HV117+IH117+IJ117)/AE117</f>
        <v>0</v>
      </c>
      <c r="IL117" s="50" t="e">
        <f>(HI117+HU117+IH117+IJ117)/(IG117+GX117-IM117)</f>
        <v>#DIV/0!</v>
      </c>
      <c r="IM117" s="91"/>
      <c r="IN117" s="91"/>
      <c r="IO117" s="67">
        <f>FR117</f>
        <v>0</v>
      </c>
      <c r="IP117" s="96">
        <f>GX117+IG117</f>
        <v>0</v>
      </c>
      <c r="IQ117" s="277">
        <v>417427</v>
      </c>
      <c r="IR117" s="277">
        <f>IT117+IV117+IX117+IZ117+JB117+JD117+JF117+JH117+JJ117+JL117+JN117+JP117+JR117+JT117+JV117+JX117+JZ117</f>
        <v>41743</v>
      </c>
      <c r="IS117" s="316">
        <v>43026</v>
      </c>
      <c r="IT117" s="314">
        <v>41743</v>
      </c>
      <c r="IU117" s="60"/>
      <c r="IV117" s="261"/>
      <c r="IW117" s="261"/>
      <c r="IX117" s="385"/>
      <c r="IY117" s="261"/>
      <c r="IZ117" s="59"/>
      <c r="JA117" s="261"/>
      <c r="JB117" s="59"/>
      <c r="JC117" s="53"/>
      <c r="JD117" s="386"/>
      <c r="JE117" s="86"/>
      <c r="JF117" s="86"/>
      <c r="JG117" s="121"/>
      <c r="JH117" s="59"/>
      <c r="JI117" s="121"/>
      <c r="JJ117" s="59"/>
      <c r="JK117" s="53"/>
      <c r="JL117" s="53"/>
      <c r="JM117" s="53"/>
      <c r="JN117" s="53"/>
      <c r="JO117" s="269"/>
      <c r="JP117" s="269"/>
      <c r="JQ117" s="269"/>
      <c r="JR117" s="269"/>
      <c r="JS117" s="269"/>
      <c r="JT117" s="269"/>
      <c r="JU117" s="281"/>
      <c r="JV117" s="117"/>
      <c r="JW117" s="279"/>
      <c r="JX117" s="117"/>
      <c r="JY117" s="117"/>
      <c r="JZ117" s="279"/>
    </row>
    <row r="118" spans="1:286" ht="27" customHeight="1">
      <c r="A118" s="86" t="s">
        <v>604</v>
      </c>
      <c r="B118" s="86"/>
      <c r="C118" s="53" t="s">
        <v>35</v>
      </c>
      <c r="D118" s="53" t="s">
        <v>112</v>
      </c>
      <c r="E118" s="53" t="s">
        <v>631</v>
      </c>
      <c r="F118" s="53"/>
      <c r="G118" s="53"/>
      <c r="H118" s="53"/>
      <c r="I118" s="53" t="s">
        <v>243</v>
      </c>
      <c r="J118" s="53"/>
      <c r="K118" s="53" t="s">
        <v>594</v>
      </c>
      <c r="L118" s="255" t="s">
        <v>931</v>
      </c>
      <c r="M118" s="166" t="s">
        <v>595</v>
      </c>
      <c r="N118" s="167"/>
      <c r="O118" s="168"/>
      <c r="P118" s="207">
        <v>5498</v>
      </c>
      <c r="Q118" s="207">
        <v>1219167</v>
      </c>
      <c r="R118" s="207"/>
      <c r="S118" s="207">
        <f t="shared" si="395"/>
        <v>23003.150943396227</v>
      </c>
      <c r="T118" s="207">
        <f t="shared" si="396"/>
        <v>221.74736267733721</v>
      </c>
      <c r="U118" s="213">
        <f t="shared" si="397"/>
        <v>0</v>
      </c>
      <c r="V118" s="213" t="e">
        <f t="shared" si="408"/>
        <v>#DIV/0!</v>
      </c>
      <c r="W118" s="213">
        <f t="shared" si="398"/>
        <v>0</v>
      </c>
      <c r="X118" s="207">
        <f t="shared" si="399"/>
        <v>103.73584905660377</v>
      </c>
      <c r="Y118" s="208"/>
      <c r="Z118" s="907">
        <f t="shared" si="282"/>
        <v>96.398690432884692</v>
      </c>
      <c r="AA118" s="208" t="s">
        <v>188</v>
      </c>
      <c r="AB118" s="208">
        <v>580</v>
      </c>
      <c r="AC118" s="209">
        <v>0.1</v>
      </c>
      <c r="AD118" s="53" t="s">
        <v>16</v>
      </c>
      <c r="AE118" s="772">
        <f t="shared" si="401"/>
        <v>53</v>
      </c>
      <c r="AF118" s="772">
        <f t="shared" si="340"/>
        <v>53</v>
      </c>
      <c r="AG118" s="64"/>
      <c r="AH118" s="53">
        <v>53</v>
      </c>
      <c r="AI118" s="64"/>
      <c r="AJ118" s="53"/>
      <c r="AK118" s="269"/>
      <c r="AL118" s="57"/>
      <c r="AM118" s="804"/>
      <c r="AN118" s="92"/>
      <c r="AO118" s="57">
        <f>AN118/AE118</f>
        <v>0</v>
      </c>
      <c r="AP118" s="78"/>
      <c r="AQ118" s="78"/>
      <c r="AR118" s="78"/>
      <c r="AS118" s="78"/>
      <c r="AT118" s="78"/>
      <c r="AU118" s="57"/>
      <c r="AV118" s="76" t="s">
        <v>168</v>
      </c>
      <c r="AW118" s="78"/>
      <c r="AX118" s="57"/>
      <c r="AY118" s="53" t="s">
        <v>549</v>
      </c>
      <c r="AZ118" s="53" t="s">
        <v>120</v>
      </c>
      <c r="BA118" s="53"/>
      <c r="BB118" s="53"/>
      <c r="BC118" s="53"/>
      <c r="BD118" s="53"/>
      <c r="BE118" s="53"/>
      <c r="BF118" s="110" t="s">
        <v>168</v>
      </c>
      <c r="BG118" s="110" t="s">
        <v>168</v>
      </c>
      <c r="BH118" s="97"/>
      <c r="BI118" s="204"/>
      <c r="BJ118" s="99"/>
      <c r="BK118" s="99"/>
      <c r="BL118" s="204"/>
      <c r="BM118" s="99"/>
      <c r="BN118" s="161"/>
      <c r="BO118" s="203"/>
      <c r="BP118" s="161"/>
      <c r="BQ118" s="161"/>
      <c r="BR118" s="299">
        <f>BO118</f>
        <v>0</v>
      </c>
      <c r="BS118" s="298">
        <f>DATE(YEAR(BR118),MONTH(BR118)+24,DAY(BR118))</f>
        <v>731</v>
      </c>
      <c r="BT118" s="298">
        <f>DATE(YEAR(BR118),MONTH(BR118)+36,DAY(BR118))</f>
        <v>1096</v>
      </c>
      <c r="BU118" s="298"/>
      <c r="BV118" s="298" t="str">
        <f>IF(FK118&gt;BS118,"oui","non")</f>
        <v>non</v>
      </c>
      <c r="BW118" s="672">
        <f>DATEDIF(FK118,BT118,"M")</f>
        <v>35</v>
      </c>
      <c r="BX118" s="672">
        <f>BW118*FN118</f>
        <v>0</v>
      </c>
      <c r="BY118" s="672">
        <f>IF((BX118-BU118&gt;0),0,(BX118-BU118))</f>
        <v>0</v>
      </c>
      <c r="BZ118" s="824"/>
      <c r="CA118" s="832"/>
      <c r="CB118" s="826"/>
      <c r="CC118" s="826"/>
      <c r="CD118" s="826"/>
      <c r="CE118" s="826"/>
      <c r="CF118" s="819"/>
      <c r="CG118" s="819"/>
      <c r="CH118" s="819"/>
      <c r="CI118" s="819"/>
      <c r="CJ118" s="819"/>
      <c r="CK118" s="819"/>
      <c r="CL118" s="819"/>
      <c r="CM118" s="819"/>
      <c r="CN118" s="819"/>
      <c r="CO118" s="819"/>
      <c r="CP118" s="819"/>
      <c r="CQ118" s="819"/>
      <c r="CR118" s="819"/>
      <c r="CS118" s="159"/>
      <c r="CT118" s="250"/>
      <c r="CU118" s="250"/>
      <c r="CV118" s="158"/>
      <c r="CW118" s="250"/>
      <c r="CX118" s="250"/>
      <c r="CY118" s="250"/>
      <c r="CZ118" s="250" t="s">
        <v>168</v>
      </c>
      <c r="DA118" s="598"/>
      <c r="DB118" s="540"/>
      <c r="DC118" s="543"/>
      <c r="DD118" s="543"/>
      <c r="DE118" s="545" t="str">
        <f>IF(AND(DC118&gt;0,DD118&gt;0),DD118-DC118,"0")</f>
        <v>0</v>
      </c>
      <c r="DF118" s="543"/>
      <c r="DG118" s="543"/>
      <c r="DH118" s="545" t="str">
        <f>IF(AND(DF118&gt;0,DG118&gt;0),DG118-DF118,"0")</f>
        <v>0</v>
      </c>
      <c r="DI118" s="543"/>
      <c r="DJ118" s="543"/>
      <c r="DK118" s="545" t="str">
        <f>IF(AND(DI118&gt;0,DJ118&gt;0),DJ118-DI118,"0")</f>
        <v>0</v>
      </c>
      <c r="DL118" s="543"/>
      <c r="DM118" s="543"/>
      <c r="DN118" s="545" t="str">
        <f>IF(AND(DL118&gt;0,DM118&gt;0),DM118-DL118,"0")</f>
        <v>0</v>
      </c>
      <c r="DO118" s="546"/>
      <c r="DP118" s="547"/>
      <c r="DQ118" s="545" t="str">
        <f>IF(AND(DO118&gt;0,DP118&gt;0),DP118-DO118,"0")</f>
        <v>0</v>
      </c>
      <c r="DR118" s="451"/>
      <c r="DS118" s="548"/>
      <c r="DT118" s="527"/>
      <c r="DU118" s="528"/>
      <c r="DV118" s="529" t="str">
        <f>IF(AND(DT118&gt;0,DU118&gt;0),DU118-DT118,"0")</f>
        <v>0</v>
      </c>
      <c r="DW118" s="527"/>
      <c r="DX118" s="686"/>
      <c r="DY118" s="344"/>
      <c r="DZ118" s="442">
        <f>(DATEDIF(BI118,DX118,"d"))/30</f>
        <v>0</v>
      </c>
      <c r="EA118" s="529" t="str">
        <f>IF(AND(DW118&gt;0,DX118&gt;0),DX118-DW118,"0")</f>
        <v>0</v>
      </c>
      <c r="EB118" s="687"/>
      <c r="EC118" s="241">
        <f>DATEDIF(DX118,FC118,"M")</f>
        <v>0</v>
      </c>
      <c r="ED118" s="527"/>
      <c r="EE118" s="533">
        <f ca="1">IF(ED118&lt;TODAY(),TODAY(),ED118)</f>
        <v>43423</v>
      </c>
      <c r="EF118" s="529" t="str">
        <f ca="1">IF(AND(ED118&gt;0,EE118&gt;0),EE118-ED118,"0")</f>
        <v>0</v>
      </c>
      <c r="EG118" s="527"/>
      <c r="EH118" s="551">
        <f ca="1">IF(EG118&lt;TODAY(),TODAY(),EG118)</f>
        <v>43423</v>
      </c>
      <c r="EI118" s="530" t="str">
        <f ca="1">IF(AND(EG118&gt;0,EH118&gt;0),EH118-EG118,"0")</f>
        <v>0</v>
      </c>
      <c r="EJ118" s="531"/>
      <c r="EK118" s="532">
        <f ca="1">IF(EJ118&lt;TODAY(),TODAY(),EJ118)</f>
        <v>43423</v>
      </c>
      <c r="EL118" s="529" t="str">
        <f ca="1">IF(AND(EJ118&gt;0,EK118&gt;0),EK118-EJ118,"0")</f>
        <v>0</v>
      </c>
      <c r="EM118" s="527"/>
      <c r="EN118" s="533">
        <f ca="1">IF(EM118&lt;TODAY(),TODAY(),EM118)</f>
        <v>43423</v>
      </c>
      <c r="EO118" s="529" t="str">
        <f ca="1">IF(AND(EM118&gt;0,EN118&gt;0),EN118-EM118,"0")</f>
        <v>0</v>
      </c>
      <c r="EP118" s="533"/>
      <c r="EQ118" s="533">
        <f ca="1">IF(EP118&lt;TODAY(),TODAY(),EP118)</f>
        <v>43423</v>
      </c>
      <c r="ER118" s="529" t="str">
        <f ca="1">IF(AND(EP118&gt;0,EQ118&gt;0),EQ118-EP118,"0")</f>
        <v>0</v>
      </c>
      <c r="ES118" s="533"/>
      <c r="ET118" s="533">
        <f ca="1">IF(ES118&lt;TODAY(),TODAY(),ES118)</f>
        <v>43423</v>
      </c>
      <c r="EU118" s="529" t="str">
        <f ca="1">IF(AND(ES118&gt;0,ET118&gt;0),ET118-ES118,"0")</f>
        <v>0</v>
      </c>
      <c r="EV118" s="533"/>
      <c r="EW118" s="533">
        <f ca="1">IF(EV118&lt;TODAY(),TODAY(),EV118)</f>
        <v>43423</v>
      </c>
      <c r="EX118" s="529" t="str">
        <f ca="1">IF(AND(EV118&gt;0,EW118&gt;0),EW118-EV118,"0")</f>
        <v>0</v>
      </c>
      <c r="EY118" s="533"/>
      <c r="EZ118" s="533"/>
      <c r="FA118" s="533"/>
      <c r="FB118" s="731"/>
      <c r="FC118" s="730"/>
      <c r="FD118" s="727"/>
      <c r="FE118" s="573">
        <f>DATE(YEAR(CY118)+2,MONTH(CY118),DAY(CY118))</f>
        <v>731</v>
      </c>
      <c r="FF118" s="242"/>
      <c r="FG118" s="242"/>
      <c r="FH118" s="186"/>
      <c r="FI118" s="461"/>
      <c r="FJ118" s="571"/>
      <c r="FK118" s="730"/>
      <c r="FL118" s="574"/>
      <c r="FM118" s="724"/>
      <c r="FN118" s="700"/>
      <c r="FO118" s="246"/>
      <c r="FP118" s="117"/>
      <c r="FQ118" s="556"/>
      <c r="FR118" s="556">
        <v>0</v>
      </c>
      <c r="FS118" s="556"/>
      <c r="FT118" s="556"/>
      <c r="FU118" s="748"/>
      <c r="FV118" s="749" t="e">
        <f>FU118/GY118</f>
        <v>#DIV/0!</v>
      </c>
      <c r="FW118" s="559"/>
      <c r="FX118" s="577"/>
      <c r="FY118" s="559"/>
      <c r="FZ118" s="559"/>
      <c r="GA118" s="121"/>
      <c r="GB118" s="121"/>
      <c r="GC118" s="121"/>
      <c r="GD118" s="121"/>
      <c r="GE118" s="121"/>
      <c r="GF118" s="53"/>
      <c r="GG118" s="280">
        <f>DATE(YEAR(FC118)+1,MONTH(FC118),DAY(FC118))</f>
        <v>366</v>
      </c>
      <c r="GH118" s="280"/>
      <c r="GI118" s="53"/>
      <c r="GJ118" s="53"/>
      <c r="GK118" s="53"/>
      <c r="GL118" s="53"/>
      <c r="GM118" s="53"/>
      <c r="GN118" s="53"/>
      <c r="GO118" s="53"/>
      <c r="GP118" s="53"/>
      <c r="GQ118" s="53"/>
      <c r="GR118" s="53"/>
      <c r="GS118" s="53"/>
      <c r="GT118" s="53"/>
      <c r="GU118" s="53"/>
      <c r="GV118" s="112"/>
      <c r="GW118" s="112"/>
      <c r="GX118" s="93">
        <f>+HI118+HN118+HU118+IO118+HZ118</f>
        <v>0</v>
      </c>
      <c r="GY118" s="67">
        <f>HJ118+HO118+HV118+IO118+HW118+HZ118</f>
        <v>0</v>
      </c>
      <c r="GZ118" s="67">
        <f>GY118</f>
        <v>0</v>
      </c>
      <c r="HA118" s="94">
        <f>GY118-GX118</f>
        <v>0</v>
      </c>
      <c r="HB118" s="49" t="e">
        <f>GY118/AL118</f>
        <v>#DIV/0!</v>
      </c>
      <c r="HC118" s="49">
        <f>GY118/AE118</f>
        <v>0</v>
      </c>
      <c r="HD118" s="93"/>
      <c r="HE118" s="67"/>
      <c r="HF118" s="94">
        <f>HE118-HD118</f>
        <v>0</v>
      </c>
      <c r="HG118" s="128" t="e">
        <f>HE118*1.021/GY118</f>
        <v>#DIV/0!</v>
      </c>
      <c r="HH118" s="129">
        <v>0.4</v>
      </c>
      <c r="HI118" s="93"/>
      <c r="HJ118" s="67"/>
      <c r="HK118" s="67"/>
      <c r="HL118" s="49">
        <f>HI118/AE118</f>
        <v>0</v>
      </c>
      <c r="HM118" s="95"/>
      <c r="HN118" s="93"/>
      <c r="HO118" s="67">
        <f>HP118+HQ118</f>
        <v>0</v>
      </c>
      <c r="HP118" s="87"/>
      <c r="HQ118" s="87"/>
      <c r="HR118" s="95">
        <f>HO118-HN118</f>
        <v>0</v>
      </c>
      <c r="HS118" s="630">
        <f>HO118/AE118</f>
        <v>0</v>
      </c>
      <c r="HT118" s="67"/>
      <c r="HU118" s="287"/>
      <c r="HV118" s="67"/>
      <c r="HW118" s="67"/>
      <c r="HX118" s="88" t="e">
        <f>HV118/GY118</f>
        <v>#DIV/0!</v>
      </c>
      <c r="HY118" s="93"/>
      <c r="HZ118" s="67"/>
      <c r="IA118" s="89">
        <f>HV118-HU118</f>
        <v>0</v>
      </c>
      <c r="IB118" s="49">
        <f>HV118/AE118</f>
        <v>0</v>
      </c>
      <c r="IC118" s="81">
        <f>(HJ118+HV118)/AE118</f>
        <v>0</v>
      </c>
      <c r="ID118" s="89">
        <f>IA118/AE118</f>
        <v>0</v>
      </c>
      <c r="IE118" s="90">
        <v>6.31</v>
      </c>
      <c r="IF118" s="90"/>
      <c r="IG118" s="91"/>
      <c r="IH118" s="91"/>
      <c r="II118" s="49">
        <f>(HI118+HU118+IH118)/AE118</f>
        <v>0</v>
      </c>
      <c r="IJ118" s="91"/>
      <c r="IK118" s="49">
        <f>(HJ118+HV118+IH118+IJ118)/AE118</f>
        <v>0</v>
      </c>
      <c r="IL118" s="50" t="e">
        <f>(HI118+HU118+IH118+IJ118)/(IG118+GX118-IM118)</f>
        <v>#DIV/0!</v>
      </c>
      <c r="IM118" s="91"/>
      <c r="IN118" s="91"/>
      <c r="IO118" s="67">
        <f>FR118</f>
        <v>0</v>
      </c>
      <c r="IP118" s="96">
        <f>GX118+IG118</f>
        <v>0</v>
      </c>
      <c r="IQ118" s="277">
        <v>325108</v>
      </c>
      <c r="IR118" s="277">
        <f>IT118+IV118+IX118+IZ118+JB118+JD118+JF118+JH118+JJ118+JL118+JN118+JP118+JR118+JT118+JV118+JX118+JZ118</f>
        <v>32511</v>
      </c>
      <c r="IS118" s="316">
        <v>43026</v>
      </c>
      <c r="IT118" s="314">
        <v>32511</v>
      </c>
      <c r="IU118" s="60"/>
      <c r="IV118" s="261"/>
      <c r="IW118" s="261"/>
      <c r="IX118" s="385"/>
      <c r="IY118" s="261"/>
      <c r="IZ118" s="59"/>
      <c r="JA118" s="261"/>
      <c r="JB118" s="59"/>
      <c r="JC118" s="53"/>
      <c r="JD118" s="386"/>
      <c r="JE118" s="86"/>
      <c r="JF118" s="86"/>
      <c r="JG118" s="121"/>
      <c r="JH118" s="59"/>
      <c r="JI118" s="121"/>
      <c r="JJ118" s="59"/>
      <c r="JK118" s="53"/>
      <c r="JL118" s="53"/>
      <c r="JM118" s="53"/>
      <c r="JN118" s="53"/>
      <c r="JO118" s="269"/>
      <c r="JP118" s="269"/>
      <c r="JQ118" s="269"/>
      <c r="JR118" s="269"/>
      <c r="JS118" s="269"/>
      <c r="JT118" s="269"/>
      <c r="JU118" s="281"/>
      <c r="JV118" s="117"/>
      <c r="JW118" s="279"/>
      <c r="JX118" s="117"/>
      <c r="JY118" s="117"/>
      <c r="JZ118" s="279"/>
    </row>
    <row r="119" spans="1:286" ht="27" customHeight="1">
      <c r="A119" s="773" t="s">
        <v>887</v>
      </c>
      <c r="B119" s="773"/>
      <c r="C119" s="53" t="s">
        <v>28</v>
      </c>
      <c r="D119" s="53" t="s">
        <v>112</v>
      </c>
      <c r="E119" s="53" t="s">
        <v>907</v>
      </c>
      <c r="F119" s="53"/>
      <c r="G119" s="53"/>
      <c r="H119" s="53"/>
      <c r="I119" s="55"/>
      <c r="J119" s="53"/>
      <c r="K119" s="53" t="s">
        <v>888</v>
      </c>
      <c r="L119" s="255" t="s">
        <v>889</v>
      </c>
      <c r="M119" s="166"/>
      <c r="N119" s="167"/>
      <c r="O119" s="168"/>
      <c r="P119" s="207">
        <v>18000</v>
      </c>
      <c r="Q119" s="207"/>
      <c r="R119" s="207"/>
      <c r="S119" s="207">
        <f t="shared" si="395"/>
        <v>0</v>
      </c>
      <c r="T119" s="207">
        <f t="shared" si="396"/>
        <v>0</v>
      </c>
      <c r="U119" s="213">
        <f t="shared" si="397"/>
        <v>0</v>
      </c>
      <c r="V119" s="213" t="e">
        <f t="shared" si="408"/>
        <v>#DIV/0!</v>
      </c>
      <c r="W119" s="213">
        <f t="shared" si="398"/>
        <v>0</v>
      </c>
      <c r="X119" s="207">
        <f t="shared" si="399"/>
        <v>400</v>
      </c>
      <c r="Y119" s="208"/>
      <c r="Z119" s="907">
        <f t="shared" si="282"/>
        <v>25</v>
      </c>
      <c r="AA119" s="208" t="s">
        <v>864</v>
      </c>
      <c r="AB119" s="208"/>
      <c r="AC119" s="209"/>
      <c r="AD119" s="53" t="s">
        <v>16</v>
      </c>
      <c r="AE119" s="772">
        <f t="shared" si="401"/>
        <v>45</v>
      </c>
      <c r="AF119" s="772">
        <f t="shared" si="340"/>
        <v>45</v>
      </c>
      <c r="AG119" s="64"/>
      <c r="AH119" s="53">
        <v>45</v>
      </c>
      <c r="AI119" s="64"/>
      <c r="AJ119" s="53"/>
      <c r="AK119" s="807"/>
      <c r="AL119" s="57"/>
      <c r="AM119" s="804"/>
      <c r="AN119" s="92"/>
      <c r="AO119" s="57"/>
      <c r="AP119" s="78"/>
      <c r="AQ119" s="78"/>
      <c r="AR119" s="78"/>
      <c r="AS119" s="78"/>
      <c r="AT119" s="78"/>
      <c r="AU119" s="57"/>
      <c r="AV119" s="76"/>
      <c r="AW119" s="78"/>
      <c r="AX119" s="57"/>
      <c r="AY119" s="56"/>
      <c r="AZ119" s="53"/>
      <c r="BA119" s="53"/>
      <c r="BB119" s="53"/>
      <c r="BC119" s="53"/>
      <c r="BD119" s="237"/>
      <c r="BE119" s="184"/>
      <c r="BF119" s="110"/>
      <c r="BG119" s="110"/>
      <c r="BH119" s="97"/>
      <c r="BI119" s="204"/>
      <c r="BJ119" s="99"/>
      <c r="BK119" s="99"/>
      <c r="BL119" s="204"/>
      <c r="BM119" s="99"/>
      <c r="BN119" s="161"/>
      <c r="BO119" s="203"/>
      <c r="BP119" s="161"/>
      <c r="BQ119" s="161"/>
      <c r="BR119" s="299"/>
      <c r="BS119" s="298"/>
      <c r="BT119" s="298"/>
      <c r="BU119" s="298"/>
      <c r="BV119" s="298"/>
      <c r="BW119" s="672"/>
      <c r="BX119" s="672"/>
      <c r="BY119" s="672"/>
      <c r="BZ119" s="824"/>
      <c r="CA119" s="832"/>
      <c r="CB119" s="826"/>
      <c r="CC119" s="826"/>
      <c r="CD119" s="826"/>
      <c r="CE119" s="826"/>
      <c r="CF119" s="819"/>
      <c r="CG119" s="819"/>
      <c r="CH119" s="819"/>
      <c r="CI119" s="819"/>
      <c r="CJ119" s="819"/>
      <c r="CK119" s="819"/>
      <c r="CL119" s="819"/>
      <c r="CM119" s="819"/>
      <c r="CN119" s="819"/>
      <c r="CO119" s="819"/>
      <c r="CP119" s="819"/>
      <c r="CQ119" s="819"/>
      <c r="CR119" s="819"/>
      <c r="CS119" s="159"/>
      <c r="CT119" s="250"/>
      <c r="CU119" s="250"/>
      <c r="CV119" s="158"/>
      <c r="CW119" s="250"/>
      <c r="CX119" s="250"/>
      <c r="CY119" s="250"/>
      <c r="CZ119" s="250" t="s">
        <v>168</v>
      </c>
      <c r="DA119" s="598"/>
      <c r="DB119" s="540"/>
      <c r="DC119" s="543"/>
      <c r="DD119" s="543"/>
      <c r="DE119" s="545"/>
      <c r="DF119" s="543"/>
      <c r="DG119" s="543"/>
      <c r="DH119" s="545"/>
      <c r="DI119" s="543"/>
      <c r="DJ119" s="543"/>
      <c r="DK119" s="545"/>
      <c r="DL119" s="543"/>
      <c r="DM119" s="543"/>
      <c r="DN119" s="545"/>
      <c r="DO119" s="546"/>
      <c r="DP119" s="547"/>
      <c r="DQ119" s="545"/>
      <c r="DR119" s="451"/>
      <c r="DS119" s="548"/>
      <c r="DT119" s="527"/>
      <c r="DU119" s="528"/>
      <c r="DV119" s="529"/>
      <c r="DW119" s="527"/>
      <c r="DX119" s="686"/>
      <c r="DY119" s="344"/>
      <c r="DZ119" s="442"/>
      <c r="EA119" s="529"/>
      <c r="EB119" s="687"/>
      <c r="EC119" s="241"/>
      <c r="ED119" s="527"/>
      <c r="EE119" s="533"/>
      <c r="EF119" s="529"/>
      <c r="EG119" s="527"/>
      <c r="EH119" s="551"/>
      <c r="EI119" s="530"/>
      <c r="EJ119" s="531"/>
      <c r="EK119" s="532"/>
      <c r="EL119" s="529"/>
      <c r="EM119" s="527"/>
      <c r="EN119" s="533"/>
      <c r="EO119" s="529"/>
      <c r="EP119" s="533"/>
      <c r="EQ119" s="533"/>
      <c r="ER119" s="529"/>
      <c r="ES119" s="533"/>
      <c r="ET119" s="533"/>
      <c r="EU119" s="529"/>
      <c r="EV119" s="533"/>
      <c r="EW119" s="533"/>
      <c r="EX119" s="529"/>
      <c r="EY119" s="533"/>
      <c r="EZ119" s="533"/>
      <c r="FA119" s="533"/>
      <c r="FB119" s="731"/>
      <c r="FC119" s="730"/>
      <c r="FD119" s="727"/>
      <c r="FE119" s="573"/>
      <c r="FF119" s="242"/>
      <c r="FG119" s="242"/>
      <c r="FH119" s="186"/>
      <c r="FI119" s="461"/>
      <c r="FJ119" s="571"/>
      <c r="FK119" s="730"/>
      <c r="FL119" s="574"/>
      <c r="FM119" s="724"/>
      <c r="FN119" s="700"/>
      <c r="FO119" s="246"/>
      <c r="FP119" s="117"/>
      <c r="FQ119" s="556"/>
      <c r="FR119" s="556"/>
      <c r="FS119" s="556"/>
      <c r="FT119" s="556"/>
      <c r="FU119" s="748"/>
      <c r="FV119" s="749"/>
      <c r="FW119" s="559"/>
      <c r="FX119" s="577"/>
      <c r="FY119" s="559"/>
      <c r="FZ119" s="559"/>
      <c r="GA119" s="121"/>
      <c r="GB119" s="121"/>
      <c r="GC119" s="121"/>
      <c r="GD119" s="121"/>
      <c r="GE119" s="121"/>
      <c r="GF119" s="53"/>
      <c r="GG119" s="280"/>
      <c r="GH119" s="280"/>
      <c r="GI119" s="53"/>
      <c r="GJ119" s="53"/>
      <c r="GK119" s="53"/>
      <c r="GL119" s="53"/>
      <c r="GM119" s="53"/>
      <c r="GN119" s="53"/>
      <c r="GO119" s="53"/>
      <c r="GP119" s="53"/>
      <c r="GQ119" s="53"/>
      <c r="GR119" s="53"/>
      <c r="GS119" s="53"/>
      <c r="GT119" s="53"/>
      <c r="GU119" s="53"/>
      <c r="GV119" s="112"/>
      <c r="GW119" s="112"/>
      <c r="GX119" s="93"/>
      <c r="GY119" s="67"/>
      <c r="GZ119" s="67"/>
      <c r="HA119" s="94"/>
      <c r="HB119" s="49"/>
      <c r="HC119" s="49"/>
      <c r="HD119" s="93"/>
      <c r="HE119" s="67"/>
      <c r="HF119" s="94"/>
      <c r="HG119" s="128"/>
      <c r="HH119" s="129"/>
      <c r="HI119" s="93"/>
      <c r="HJ119" s="67"/>
      <c r="HK119" s="67"/>
      <c r="HL119" s="49"/>
      <c r="HM119" s="95"/>
      <c r="HN119" s="93"/>
      <c r="HO119" s="67"/>
      <c r="HP119" s="87"/>
      <c r="HQ119" s="87"/>
      <c r="HR119" s="95"/>
      <c r="HS119" s="630"/>
      <c r="HT119" s="67"/>
      <c r="HU119" s="287"/>
      <c r="HV119" s="67"/>
      <c r="HW119" s="67"/>
      <c r="HX119" s="88"/>
      <c r="HY119" s="93"/>
      <c r="HZ119" s="67"/>
      <c r="IA119" s="89"/>
      <c r="IB119" s="49"/>
      <c r="IC119" s="81"/>
      <c r="ID119" s="89"/>
      <c r="IE119" s="90"/>
      <c r="IF119" s="90"/>
      <c r="IG119" s="91"/>
      <c r="IH119" s="91"/>
      <c r="II119" s="49"/>
      <c r="IJ119" s="91"/>
      <c r="IK119" s="49"/>
      <c r="IL119" s="50"/>
      <c r="IM119" s="91"/>
      <c r="IN119" s="91"/>
      <c r="IO119" s="67"/>
      <c r="IP119" s="96"/>
      <c r="IQ119" s="231"/>
      <c r="IR119" s="231"/>
      <c r="IS119" s="113"/>
      <c r="IT119" s="314"/>
      <c r="IU119" s="314"/>
      <c r="IV119" s="239"/>
      <c r="IW119" s="239"/>
      <c r="IX119" s="330"/>
      <c r="IY119" s="236"/>
      <c r="IZ119" s="331"/>
      <c r="JA119" s="236"/>
      <c r="JB119" s="331"/>
      <c r="JC119" s="291"/>
      <c r="JD119" s="332"/>
      <c r="JE119" s="328"/>
      <c r="JF119" s="328"/>
      <c r="JG119" s="194"/>
      <c r="JH119" s="330"/>
      <c r="JI119" s="194"/>
      <c r="JJ119" s="330"/>
      <c r="JK119" s="291"/>
      <c r="JL119" s="291"/>
      <c r="JM119" s="291"/>
      <c r="JN119" s="291"/>
      <c r="JO119" s="269"/>
      <c r="JP119" s="269"/>
      <c r="JQ119" s="269"/>
      <c r="JR119" s="269"/>
      <c r="JS119" s="269"/>
      <c r="JT119" s="269"/>
      <c r="JU119" s="330"/>
      <c r="JV119" s="329"/>
      <c r="JW119" s="291"/>
      <c r="JX119" s="329"/>
      <c r="JY119" s="329"/>
      <c r="JZ119" s="291"/>
    </row>
    <row r="120" spans="1:286" s="659" customFormat="1" ht="24.95" customHeight="1">
      <c r="A120" s="773" t="s">
        <v>890</v>
      </c>
      <c r="B120" s="773"/>
      <c r="C120" s="53" t="s">
        <v>28</v>
      </c>
      <c r="D120" s="53" t="s">
        <v>112</v>
      </c>
      <c r="E120" s="53" t="s">
        <v>907</v>
      </c>
      <c r="F120" s="53"/>
      <c r="G120" s="53"/>
      <c r="H120" s="53"/>
      <c r="I120" s="55"/>
      <c r="J120" s="53"/>
      <c r="K120" s="53" t="s">
        <v>891</v>
      </c>
      <c r="L120" s="255" t="s">
        <v>892</v>
      </c>
      <c r="M120" s="166"/>
      <c r="N120" s="167"/>
      <c r="O120" s="168"/>
      <c r="P120" s="207">
        <v>30000</v>
      </c>
      <c r="Q120" s="207"/>
      <c r="R120" s="207"/>
      <c r="S120" s="207">
        <f t="shared" si="395"/>
        <v>0</v>
      </c>
      <c r="T120" s="207">
        <f t="shared" si="396"/>
        <v>0</v>
      </c>
      <c r="U120" s="213">
        <f t="shared" si="397"/>
        <v>0</v>
      </c>
      <c r="V120" s="213" t="e">
        <f t="shared" si="408"/>
        <v>#DIV/0!</v>
      </c>
      <c r="W120" s="213">
        <f t="shared" si="398"/>
        <v>0</v>
      </c>
      <c r="X120" s="207">
        <f t="shared" si="399"/>
        <v>666.66666666666663</v>
      </c>
      <c r="Y120" s="208"/>
      <c r="Z120" s="907">
        <f t="shared" si="282"/>
        <v>15</v>
      </c>
      <c r="AA120" s="208" t="s">
        <v>864</v>
      </c>
      <c r="AB120" s="208"/>
      <c r="AC120" s="209"/>
      <c r="AD120" s="53" t="s">
        <v>16</v>
      </c>
      <c r="AE120" s="771">
        <f t="shared" si="401"/>
        <v>45</v>
      </c>
      <c r="AF120" s="772">
        <f t="shared" si="340"/>
        <v>45</v>
      </c>
      <c r="AG120" s="64"/>
      <c r="AH120" s="53">
        <v>45</v>
      </c>
      <c r="AI120" s="64"/>
      <c r="AJ120" s="53"/>
      <c r="AK120" s="807"/>
      <c r="AL120" s="57"/>
      <c r="AM120" s="804"/>
      <c r="AN120" s="92"/>
      <c r="AO120" s="57"/>
      <c r="AP120" s="78"/>
      <c r="AQ120" s="78"/>
      <c r="AR120" s="78"/>
      <c r="AS120" s="78"/>
      <c r="AT120" s="78"/>
      <c r="AU120" s="57"/>
      <c r="AV120" s="76"/>
      <c r="AW120" s="78"/>
      <c r="AX120" s="57"/>
      <c r="AY120" s="56"/>
      <c r="AZ120" s="53"/>
      <c r="BA120" s="53"/>
      <c r="BB120" s="53"/>
      <c r="BC120" s="53"/>
      <c r="BD120" s="237"/>
      <c r="BE120" s="184"/>
      <c r="BF120" s="110"/>
      <c r="BG120" s="110"/>
      <c r="BH120" s="97"/>
      <c r="BI120" s="204"/>
      <c r="BJ120" s="99"/>
      <c r="BK120" s="99"/>
      <c r="BL120" s="204"/>
      <c r="BM120" s="99"/>
      <c r="BN120" s="161"/>
      <c r="BO120" s="203"/>
      <c r="BP120" s="161"/>
      <c r="BQ120" s="161"/>
      <c r="BR120" s="299"/>
      <c r="BS120" s="298"/>
      <c r="BT120" s="298"/>
      <c r="BU120" s="298"/>
      <c r="BV120" s="298"/>
      <c r="BW120" s="672"/>
      <c r="BX120" s="672"/>
      <c r="BY120" s="672"/>
      <c r="BZ120" s="824"/>
      <c r="CA120" s="832"/>
      <c r="CB120" s="826"/>
      <c r="CC120" s="826"/>
      <c r="CD120" s="826"/>
      <c r="CE120" s="826"/>
      <c r="CF120" s="819"/>
      <c r="CG120" s="819"/>
      <c r="CH120" s="819"/>
      <c r="CI120" s="819"/>
      <c r="CJ120" s="819"/>
      <c r="CK120" s="819"/>
      <c r="CL120" s="819"/>
      <c r="CM120" s="819"/>
      <c r="CN120" s="819"/>
      <c r="CO120" s="819"/>
      <c r="CP120" s="819"/>
      <c r="CQ120" s="819"/>
      <c r="CR120" s="819"/>
      <c r="CS120" s="159"/>
      <c r="CT120" s="250"/>
      <c r="CU120" s="250"/>
      <c r="CV120" s="158"/>
      <c r="CW120" s="250"/>
      <c r="CX120" s="250"/>
      <c r="CY120" s="250"/>
      <c r="CZ120" s="250" t="s">
        <v>168</v>
      </c>
      <c r="DA120" s="853"/>
      <c r="DB120" s="854"/>
      <c r="DC120" s="855"/>
      <c r="DD120" s="855"/>
      <c r="DE120" s="545"/>
      <c r="DF120" s="543"/>
      <c r="DG120" s="543"/>
      <c r="DH120" s="545"/>
      <c r="DI120" s="543"/>
      <c r="DJ120" s="543"/>
      <c r="DK120" s="545"/>
      <c r="DL120" s="543"/>
      <c r="DM120" s="543"/>
      <c r="DN120" s="545"/>
      <c r="DO120" s="546"/>
      <c r="DP120" s="547"/>
      <c r="DQ120" s="857"/>
      <c r="DR120" s="858"/>
      <c r="DS120" s="859"/>
      <c r="DT120" s="527"/>
      <c r="DU120" s="528"/>
      <c r="DV120" s="529"/>
      <c r="DW120" s="527"/>
      <c r="DX120" s="686"/>
      <c r="DY120" s="333"/>
      <c r="DZ120" s="245"/>
      <c r="EA120" s="529"/>
      <c r="EB120" s="687"/>
      <c r="EC120" s="241"/>
      <c r="ED120" s="527"/>
      <c r="EE120" s="533"/>
      <c r="EF120" s="529"/>
      <c r="EG120" s="527"/>
      <c r="EH120" s="533"/>
      <c r="EI120" s="530"/>
      <c r="EJ120" s="531"/>
      <c r="EK120" s="532"/>
      <c r="EL120" s="529"/>
      <c r="EM120" s="527"/>
      <c r="EN120" s="533"/>
      <c r="EO120" s="529"/>
      <c r="EP120" s="533"/>
      <c r="EQ120" s="533"/>
      <c r="ER120" s="529"/>
      <c r="ES120" s="533"/>
      <c r="ET120" s="533"/>
      <c r="EU120" s="529"/>
      <c r="EV120" s="533"/>
      <c r="EW120" s="533"/>
      <c r="EX120" s="529"/>
      <c r="EY120" s="533"/>
      <c r="EZ120" s="533"/>
      <c r="FA120" s="533"/>
      <c r="FB120" s="731"/>
      <c r="FC120" s="730"/>
      <c r="FD120" s="727"/>
      <c r="FE120" s="120"/>
      <c r="FF120" s="242"/>
      <c r="FG120" s="242"/>
      <c r="FH120" s="186"/>
      <c r="FI120" s="186"/>
      <c r="FJ120" s="571"/>
      <c r="FK120" s="730"/>
      <c r="FL120" s="574"/>
      <c r="FM120" s="724"/>
      <c r="FN120" s="246"/>
      <c r="FO120" s="246"/>
      <c r="FP120" s="117"/>
      <c r="FQ120" s="556"/>
      <c r="FR120" s="556"/>
      <c r="FS120" s="556"/>
      <c r="FT120" s="556"/>
      <c r="FU120" s="556"/>
      <c r="FV120" s="749"/>
      <c r="FW120" s="553"/>
      <c r="FX120" s="566"/>
      <c r="FY120" s="553"/>
      <c r="FZ120" s="553"/>
      <c r="GA120" s="121"/>
      <c r="GB120" s="121"/>
      <c r="GC120" s="121"/>
      <c r="GD120" s="121"/>
      <c r="GE120" s="121"/>
      <c r="GF120" s="53"/>
      <c r="GG120" s="280"/>
      <c r="GH120" s="280"/>
      <c r="GI120" s="53"/>
      <c r="GJ120" s="53"/>
      <c r="GK120" s="53"/>
      <c r="GL120" s="53"/>
      <c r="GM120" s="53"/>
      <c r="GN120" s="53"/>
      <c r="GO120" s="53"/>
      <c r="GP120" s="53"/>
      <c r="GQ120" s="53"/>
      <c r="GR120" s="53"/>
      <c r="GS120" s="53"/>
      <c r="GT120" s="53"/>
      <c r="GU120" s="53"/>
      <c r="GV120" s="112"/>
      <c r="GW120" s="112"/>
      <c r="GX120" s="93"/>
      <c r="GY120" s="67"/>
      <c r="GZ120" s="67"/>
      <c r="HA120" s="94"/>
      <c r="HB120" s="49"/>
      <c r="HC120" s="49"/>
      <c r="HD120" s="93"/>
      <c r="HE120" s="67"/>
      <c r="HF120" s="94"/>
      <c r="HG120" s="128"/>
      <c r="HH120" s="129"/>
      <c r="HI120" s="93"/>
      <c r="HJ120" s="67"/>
      <c r="HK120" s="67"/>
      <c r="HL120" s="49"/>
      <c r="HM120" s="95"/>
      <c r="HN120" s="93"/>
      <c r="HO120" s="67"/>
      <c r="HP120" s="87"/>
      <c r="HQ120" s="87"/>
      <c r="HR120" s="95"/>
      <c r="HS120" s="630"/>
      <c r="HT120" s="67"/>
      <c r="HU120" s="287"/>
      <c r="HV120" s="67"/>
      <c r="HW120" s="67"/>
      <c r="HX120" s="88"/>
      <c r="HY120" s="93"/>
      <c r="HZ120" s="67"/>
      <c r="IA120" s="89"/>
      <c r="IB120" s="49"/>
      <c r="IC120" s="81"/>
      <c r="ID120" s="89"/>
      <c r="IE120" s="90"/>
      <c r="IF120" s="90"/>
      <c r="IG120" s="91"/>
      <c r="IH120" s="91"/>
      <c r="II120" s="49"/>
      <c r="IJ120" s="91"/>
      <c r="IK120" s="49"/>
      <c r="IL120" s="50"/>
      <c r="IM120" s="91"/>
      <c r="IN120" s="91"/>
      <c r="IO120" s="67"/>
      <c r="IP120" s="96"/>
      <c r="IQ120" s="231"/>
      <c r="IR120" s="231"/>
      <c r="IS120" s="113"/>
      <c r="IT120" s="314"/>
      <c r="IU120" s="314"/>
      <c r="IV120" s="239"/>
      <c r="IW120" s="239"/>
      <c r="IX120" s="330"/>
      <c r="IY120" s="861"/>
      <c r="IZ120" s="331"/>
      <c r="JA120" s="236"/>
      <c r="JB120" s="331"/>
      <c r="JC120" s="291"/>
      <c r="JD120" s="332"/>
      <c r="JE120" s="328"/>
      <c r="JF120" s="328"/>
      <c r="JG120" s="194"/>
      <c r="JH120" s="330"/>
      <c r="JI120" s="194"/>
      <c r="JJ120" s="330"/>
      <c r="JK120" s="291"/>
      <c r="JL120" s="291"/>
      <c r="JM120" s="291"/>
      <c r="JN120" s="291"/>
      <c r="JO120" s="269"/>
      <c r="JP120" s="269"/>
      <c r="JQ120" s="136"/>
      <c r="JR120" s="136"/>
      <c r="JS120" s="136"/>
      <c r="JT120" s="136"/>
      <c r="JU120" s="862"/>
      <c r="JV120" s="863"/>
      <c r="JW120" s="864"/>
      <c r="JX120" s="863"/>
      <c r="JY120" s="863"/>
      <c r="JZ120" s="864"/>
    </row>
    <row r="121" spans="1:286" ht="57.75" customHeight="1">
      <c r="A121" s="98" t="s">
        <v>877</v>
      </c>
      <c r="B121" s="98"/>
      <c r="C121" s="53" t="s">
        <v>28</v>
      </c>
      <c r="D121" s="53" t="s">
        <v>112</v>
      </c>
      <c r="E121" s="53" t="s">
        <v>907</v>
      </c>
      <c r="F121" s="53"/>
      <c r="G121" s="53"/>
      <c r="H121" s="53"/>
      <c r="I121" s="55"/>
      <c r="J121" s="53"/>
      <c r="K121" s="53" t="s">
        <v>878</v>
      </c>
      <c r="L121" s="255" t="s">
        <v>879</v>
      </c>
      <c r="M121" s="166"/>
      <c r="N121" s="167"/>
      <c r="O121" s="168"/>
      <c r="P121" s="207">
        <v>4900</v>
      </c>
      <c r="Q121" s="207"/>
      <c r="R121" s="207"/>
      <c r="S121" s="207">
        <f t="shared" si="395"/>
        <v>0</v>
      </c>
      <c r="T121" s="207">
        <f t="shared" si="396"/>
        <v>0</v>
      </c>
      <c r="U121" s="213">
        <f t="shared" si="397"/>
        <v>0</v>
      </c>
      <c r="V121" s="213" t="e">
        <f t="shared" si="408"/>
        <v>#DIV/0!</v>
      </c>
      <c r="W121" s="213">
        <f t="shared" si="398"/>
        <v>0</v>
      </c>
      <c r="X121" s="207">
        <f t="shared" si="399"/>
        <v>163.33333333333334</v>
      </c>
      <c r="Y121" s="208"/>
      <c r="Z121" s="907">
        <f t="shared" si="282"/>
        <v>61.224489795918366</v>
      </c>
      <c r="AA121" s="208"/>
      <c r="AB121" s="208"/>
      <c r="AC121" s="209"/>
      <c r="AD121" s="53" t="s">
        <v>16</v>
      </c>
      <c r="AE121" s="772">
        <f t="shared" si="401"/>
        <v>30</v>
      </c>
      <c r="AF121" s="772">
        <f t="shared" si="340"/>
        <v>30</v>
      </c>
      <c r="AG121" s="64"/>
      <c r="AH121" s="53">
        <v>30</v>
      </c>
      <c r="AI121" s="64"/>
      <c r="AJ121" s="53"/>
      <c r="AK121" s="807"/>
      <c r="AL121" s="57"/>
      <c r="AM121" s="804"/>
      <c r="AN121" s="92"/>
      <c r="AO121" s="57">
        <f>AN121/AE121</f>
        <v>0</v>
      </c>
      <c r="AP121" s="78"/>
      <c r="AQ121" s="78"/>
      <c r="AR121" s="78"/>
      <c r="AS121" s="78"/>
      <c r="AT121" s="78"/>
      <c r="AU121" s="57"/>
      <c r="AV121" s="76"/>
      <c r="AW121" s="78"/>
      <c r="AX121" s="57"/>
      <c r="AY121" s="56"/>
      <c r="AZ121" s="53"/>
      <c r="BA121" s="53"/>
      <c r="BB121" s="53"/>
      <c r="BC121" s="53"/>
      <c r="BD121" s="237"/>
      <c r="BE121" s="184"/>
      <c r="BF121" s="110"/>
      <c r="BG121" s="110"/>
      <c r="BH121" s="97"/>
      <c r="BI121" s="204"/>
      <c r="BJ121" s="99"/>
      <c r="BK121" s="99"/>
      <c r="BL121" s="204"/>
      <c r="BM121" s="99"/>
      <c r="BN121" s="161"/>
      <c r="BO121" s="203"/>
      <c r="BP121" s="161"/>
      <c r="BQ121" s="161"/>
      <c r="BR121" s="299"/>
      <c r="BS121" s="298"/>
      <c r="BT121" s="298"/>
      <c r="BU121" s="298"/>
      <c r="BV121" s="298"/>
      <c r="BW121" s="672"/>
      <c r="BX121" s="672"/>
      <c r="BY121" s="672"/>
      <c r="BZ121" s="824"/>
      <c r="CA121" s="832"/>
      <c r="CB121" s="826"/>
      <c r="CC121" s="826"/>
      <c r="CD121" s="826"/>
      <c r="CE121" s="826"/>
      <c r="CF121" s="819"/>
      <c r="CG121" s="819"/>
      <c r="CH121" s="819"/>
      <c r="CI121" s="819"/>
      <c r="CJ121" s="819"/>
      <c r="CK121" s="819"/>
      <c r="CL121" s="819"/>
      <c r="CM121" s="819"/>
      <c r="CN121" s="819"/>
      <c r="CO121" s="819"/>
      <c r="CP121" s="819"/>
      <c r="CQ121" s="819"/>
      <c r="CR121" s="819"/>
      <c r="CS121" s="159"/>
      <c r="CT121" s="250"/>
      <c r="CU121" s="250"/>
      <c r="CV121" s="158"/>
      <c r="CW121" s="250"/>
      <c r="CX121" s="250"/>
      <c r="CY121" s="250"/>
      <c r="CZ121" s="250" t="s">
        <v>168</v>
      </c>
      <c r="DA121" s="598"/>
      <c r="DB121" s="540"/>
      <c r="DC121" s="543"/>
      <c r="DD121" s="543"/>
      <c r="DE121" s="545"/>
      <c r="DF121" s="543"/>
      <c r="DG121" s="543"/>
      <c r="DH121" s="545"/>
      <c r="DI121" s="543"/>
      <c r="DJ121" s="543"/>
      <c r="DK121" s="545"/>
      <c r="DL121" s="543"/>
      <c r="DM121" s="543"/>
      <c r="DN121" s="545"/>
      <c r="DO121" s="546"/>
      <c r="DP121" s="547"/>
      <c r="DQ121" s="545"/>
      <c r="DR121" s="451"/>
      <c r="DS121" s="548"/>
      <c r="DT121" s="527"/>
      <c r="DU121" s="528"/>
      <c r="DV121" s="529"/>
      <c r="DW121" s="527"/>
      <c r="DX121" s="686"/>
      <c r="DY121" s="344"/>
      <c r="DZ121" s="442"/>
      <c r="EA121" s="529"/>
      <c r="EB121" s="687"/>
      <c r="EC121" s="241"/>
      <c r="ED121" s="527"/>
      <c r="EE121" s="533"/>
      <c r="EF121" s="529"/>
      <c r="EG121" s="527"/>
      <c r="EH121" s="551"/>
      <c r="EI121" s="530"/>
      <c r="EJ121" s="531"/>
      <c r="EK121" s="532"/>
      <c r="EL121" s="529"/>
      <c r="EM121" s="527"/>
      <c r="EN121" s="533"/>
      <c r="EO121" s="529"/>
      <c r="EP121" s="533"/>
      <c r="EQ121" s="533"/>
      <c r="ER121" s="529"/>
      <c r="ES121" s="533"/>
      <c r="ET121" s="533"/>
      <c r="EU121" s="529"/>
      <c r="EV121" s="533"/>
      <c r="EW121" s="533"/>
      <c r="EX121" s="529"/>
      <c r="EY121" s="533"/>
      <c r="EZ121" s="533"/>
      <c r="FA121" s="533"/>
      <c r="FB121" s="731"/>
      <c r="FC121" s="730"/>
      <c r="FD121" s="727"/>
      <c r="FE121" s="573"/>
      <c r="FF121" s="242"/>
      <c r="FG121" s="242"/>
      <c r="FH121" s="186"/>
      <c r="FI121" s="461"/>
      <c r="FJ121" s="571"/>
      <c r="FK121" s="730"/>
      <c r="FL121" s="574"/>
      <c r="FM121" s="724"/>
      <c r="FN121" s="700"/>
      <c r="FO121" s="246"/>
      <c r="FP121" s="117"/>
      <c r="FQ121" s="556"/>
      <c r="FR121" s="556"/>
      <c r="FS121" s="556"/>
      <c r="FT121" s="556"/>
      <c r="FU121" s="748"/>
      <c r="FV121" s="749"/>
      <c r="FW121" s="559"/>
      <c r="FX121" s="577"/>
      <c r="FY121" s="559"/>
      <c r="FZ121" s="559"/>
      <c r="GA121" s="121"/>
      <c r="GB121" s="121"/>
      <c r="GC121" s="121"/>
      <c r="GD121" s="121"/>
      <c r="GE121" s="121"/>
      <c r="GF121" s="53"/>
      <c r="GG121" s="280"/>
      <c r="GH121" s="280"/>
      <c r="GI121" s="53"/>
      <c r="GJ121" s="53"/>
      <c r="GK121" s="53"/>
      <c r="GL121" s="53"/>
      <c r="GM121" s="53"/>
      <c r="GN121" s="53"/>
      <c r="GO121" s="53"/>
      <c r="GP121" s="53"/>
      <c r="GQ121" s="53"/>
      <c r="GR121" s="53"/>
      <c r="GS121" s="53"/>
      <c r="GT121" s="53"/>
      <c r="GU121" s="53"/>
      <c r="GV121" s="112"/>
      <c r="GW121" s="112"/>
      <c r="GX121" s="93"/>
      <c r="GY121" s="67"/>
      <c r="GZ121" s="67"/>
      <c r="HA121" s="94"/>
      <c r="HB121" s="49"/>
      <c r="HC121" s="49"/>
      <c r="HD121" s="93"/>
      <c r="HE121" s="67"/>
      <c r="HF121" s="94"/>
      <c r="HG121" s="128"/>
      <c r="HH121" s="129"/>
      <c r="HI121" s="93"/>
      <c r="HJ121" s="67"/>
      <c r="HK121" s="67"/>
      <c r="HL121" s="49"/>
      <c r="HM121" s="95"/>
      <c r="HN121" s="93"/>
      <c r="HO121" s="67"/>
      <c r="HP121" s="87"/>
      <c r="HQ121" s="87"/>
      <c r="HR121" s="95"/>
      <c r="HS121" s="630"/>
      <c r="HT121" s="67"/>
      <c r="HU121" s="287"/>
      <c r="HV121" s="67"/>
      <c r="HW121" s="67"/>
      <c r="HX121" s="88"/>
      <c r="HY121" s="93"/>
      <c r="HZ121" s="67"/>
      <c r="IA121" s="89"/>
      <c r="IB121" s="49"/>
      <c r="IC121" s="81"/>
      <c r="ID121" s="89"/>
      <c r="IE121" s="90"/>
      <c r="IF121" s="90"/>
      <c r="IG121" s="91"/>
      <c r="IH121" s="91"/>
      <c r="II121" s="49"/>
      <c r="IJ121" s="91"/>
      <c r="IK121" s="49"/>
      <c r="IL121" s="50"/>
      <c r="IM121" s="91"/>
      <c r="IN121" s="91"/>
      <c r="IO121" s="67"/>
      <c r="IP121" s="96"/>
      <c r="IQ121" s="231"/>
      <c r="IR121" s="231"/>
      <c r="IS121" s="113"/>
      <c r="IT121" s="314"/>
      <c r="IU121" s="314"/>
      <c r="IV121" s="239"/>
      <c r="IW121" s="239"/>
      <c r="IX121" s="330"/>
      <c r="IY121" s="236"/>
      <c r="IZ121" s="331"/>
      <c r="JA121" s="236"/>
      <c r="JB121" s="331"/>
      <c r="JC121" s="291"/>
      <c r="JD121" s="332"/>
      <c r="JE121" s="328"/>
      <c r="JF121" s="328"/>
      <c r="JG121" s="194"/>
      <c r="JH121" s="330"/>
      <c r="JI121" s="194"/>
      <c r="JJ121" s="330"/>
      <c r="JK121" s="291"/>
      <c r="JL121" s="291"/>
      <c r="JM121" s="291"/>
      <c r="JN121" s="291"/>
      <c r="JO121" s="269"/>
      <c r="JP121" s="269"/>
      <c r="JQ121" s="269"/>
      <c r="JR121" s="269"/>
      <c r="JS121" s="269"/>
      <c r="JT121" s="269"/>
      <c r="JU121" s="330"/>
      <c r="JV121" s="329"/>
      <c r="JW121" s="291"/>
      <c r="JX121" s="329"/>
      <c r="JY121" s="329"/>
      <c r="JZ121" s="291"/>
    </row>
    <row r="122" spans="1:286" ht="93.75" customHeight="1">
      <c r="A122" s="773" t="s">
        <v>880</v>
      </c>
      <c r="B122" s="773"/>
      <c r="C122" s="53" t="s">
        <v>28</v>
      </c>
      <c r="D122" s="53" t="s">
        <v>112</v>
      </c>
      <c r="E122" s="53" t="s">
        <v>907</v>
      </c>
      <c r="F122" s="53"/>
      <c r="G122" s="53"/>
      <c r="H122" s="53"/>
      <c r="I122" s="55"/>
      <c r="J122" s="53"/>
      <c r="K122" s="53" t="s">
        <v>881</v>
      </c>
      <c r="L122" s="255" t="s">
        <v>882</v>
      </c>
      <c r="M122" s="166"/>
      <c r="N122" s="167"/>
      <c r="O122" s="168"/>
      <c r="P122" s="207">
        <v>5900</v>
      </c>
      <c r="Q122" s="207"/>
      <c r="R122" s="207"/>
      <c r="S122" s="207" t="e">
        <f t="shared" si="395"/>
        <v>#DIV/0!</v>
      </c>
      <c r="T122" s="207">
        <f t="shared" si="396"/>
        <v>0</v>
      </c>
      <c r="U122" s="213">
        <f t="shared" si="397"/>
        <v>0</v>
      </c>
      <c r="V122" s="213" t="e">
        <f t="shared" si="408"/>
        <v>#DIV/0!</v>
      </c>
      <c r="W122" s="213" t="e">
        <f t="shared" si="398"/>
        <v>#DIV/0!</v>
      </c>
      <c r="X122" s="207" t="e">
        <f t="shared" si="399"/>
        <v>#DIV/0!</v>
      </c>
      <c r="Y122" s="208"/>
      <c r="Z122" s="907">
        <f t="shared" si="282"/>
        <v>0</v>
      </c>
      <c r="AA122" s="208" t="s">
        <v>883</v>
      </c>
      <c r="AB122" s="208"/>
      <c r="AC122" s="209"/>
      <c r="AD122" s="53" t="s">
        <v>16</v>
      </c>
      <c r="AE122" s="772">
        <f t="shared" si="401"/>
        <v>0</v>
      </c>
      <c r="AF122" s="772">
        <f t="shared" si="340"/>
        <v>0</v>
      </c>
      <c r="AG122" s="64"/>
      <c r="AH122" s="53"/>
      <c r="AI122" s="64"/>
      <c r="AJ122" s="53"/>
      <c r="AK122" s="807"/>
      <c r="AL122" s="57"/>
      <c r="AM122" s="804"/>
      <c r="AN122" s="92"/>
      <c r="AO122" s="57"/>
      <c r="AP122" s="78"/>
      <c r="AQ122" s="78"/>
      <c r="AR122" s="78"/>
      <c r="AS122" s="78"/>
      <c r="AT122" s="78"/>
      <c r="AU122" s="57"/>
      <c r="AV122" s="76"/>
      <c r="AW122" s="78"/>
      <c r="AX122" s="57"/>
      <c r="AY122" s="56"/>
      <c r="AZ122" s="53"/>
      <c r="BA122" s="53"/>
      <c r="BB122" s="53"/>
      <c r="BC122" s="53"/>
      <c r="BD122" s="237"/>
      <c r="BE122" s="184"/>
      <c r="BF122" s="110"/>
      <c r="BG122" s="110"/>
      <c r="BH122" s="97"/>
      <c r="BI122" s="204"/>
      <c r="BJ122" s="99"/>
      <c r="BK122" s="99"/>
      <c r="BL122" s="204"/>
      <c r="BM122" s="99"/>
      <c r="BN122" s="161"/>
      <c r="BO122" s="203"/>
      <c r="BP122" s="161"/>
      <c r="BQ122" s="161"/>
      <c r="BR122" s="299"/>
      <c r="BS122" s="298"/>
      <c r="BT122" s="298"/>
      <c r="BU122" s="298"/>
      <c r="BV122" s="298"/>
      <c r="BW122" s="672"/>
      <c r="BX122" s="672"/>
      <c r="BY122" s="672"/>
      <c r="BZ122" s="824"/>
      <c r="CA122" s="832"/>
      <c r="CB122" s="826"/>
      <c r="CC122" s="826"/>
      <c r="CD122" s="826"/>
      <c r="CE122" s="826"/>
      <c r="CF122" s="819"/>
      <c r="CG122" s="819"/>
      <c r="CH122" s="819"/>
      <c r="CI122" s="819"/>
      <c r="CJ122" s="819"/>
      <c r="CK122" s="819"/>
      <c r="CL122" s="819"/>
      <c r="CM122" s="819"/>
      <c r="CN122" s="819"/>
      <c r="CO122" s="819"/>
      <c r="CP122" s="819"/>
      <c r="CQ122" s="819"/>
      <c r="CR122" s="819"/>
      <c r="CS122" s="159"/>
      <c r="CT122" s="250"/>
      <c r="CU122" s="250"/>
      <c r="CV122" s="158"/>
      <c r="CW122" s="250"/>
      <c r="CX122" s="250"/>
      <c r="CY122" s="250"/>
      <c r="CZ122" s="250" t="s">
        <v>168</v>
      </c>
      <c r="DA122" s="598"/>
      <c r="DB122" s="540"/>
      <c r="DC122" s="543"/>
      <c r="DD122" s="543"/>
      <c r="DE122" s="545"/>
      <c r="DF122" s="543"/>
      <c r="DG122" s="543"/>
      <c r="DH122" s="545"/>
      <c r="DI122" s="543"/>
      <c r="DJ122" s="543"/>
      <c r="DK122" s="545"/>
      <c r="DL122" s="543"/>
      <c r="DM122" s="543"/>
      <c r="DN122" s="545"/>
      <c r="DO122" s="546"/>
      <c r="DP122" s="547"/>
      <c r="DQ122" s="545"/>
      <c r="DR122" s="451"/>
      <c r="DS122" s="548"/>
      <c r="DT122" s="527"/>
      <c r="DU122" s="528"/>
      <c r="DV122" s="529"/>
      <c r="DW122" s="527"/>
      <c r="DX122" s="686"/>
      <c r="DY122" s="344"/>
      <c r="DZ122" s="442"/>
      <c r="EA122" s="529"/>
      <c r="EB122" s="687"/>
      <c r="EC122" s="241"/>
      <c r="ED122" s="527"/>
      <c r="EE122" s="533"/>
      <c r="EF122" s="529"/>
      <c r="EG122" s="527"/>
      <c r="EH122" s="551"/>
      <c r="EI122" s="530"/>
      <c r="EJ122" s="531"/>
      <c r="EK122" s="532"/>
      <c r="EL122" s="529"/>
      <c r="EM122" s="527"/>
      <c r="EN122" s="533"/>
      <c r="EO122" s="529"/>
      <c r="EP122" s="533"/>
      <c r="EQ122" s="533"/>
      <c r="ER122" s="529"/>
      <c r="ES122" s="533"/>
      <c r="ET122" s="533"/>
      <c r="EU122" s="529"/>
      <c r="EV122" s="533"/>
      <c r="EW122" s="533"/>
      <c r="EX122" s="529"/>
      <c r="EY122" s="533"/>
      <c r="EZ122" s="533"/>
      <c r="FA122" s="533"/>
      <c r="FB122" s="731"/>
      <c r="FC122" s="730"/>
      <c r="FD122" s="727"/>
      <c r="FE122" s="573"/>
      <c r="FF122" s="242"/>
      <c r="FG122" s="242"/>
      <c r="FH122" s="186"/>
      <c r="FI122" s="461"/>
      <c r="FJ122" s="571"/>
      <c r="FK122" s="730"/>
      <c r="FL122" s="574"/>
      <c r="FM122" s="724"/>
      <c r="FN122" s="700"/>
      <c r="FO122" s="246"/>
      <c r="FP122" s="117"/>
      <c r="FQ122" s="556"/>
      <c r="FR122" s="556"/>
      <c r="FS122" s="556"/>
      <c r="FT122" s="556"/>
      <c r="FU122" s="748"/>
      <c r="FV122" s="749"/>
      <c r="FW122" s="559"/>
      <c r="FX122" s="577"/>
      <c r="FY122" s="559"/>
      <c r="FZ122" s="559"/>
      <c r="GA122" s="121"/>
      <c r="GB122" s="121"/>
      <c r="GC122" s="121"/>
      <c r="GD122" s="121"/>
      <c r="GE122" s="121"/>
      <c r="GF122" s="53"/>
      <c r="GG122" s="280"/>
      <c r="GH122" s="280"/>
      <c r="GI122" s="53"/>
      <c r="GJ122" s="53"/>
      <c r="GK122" s="53"/>
      <c r="GL122" s="53"/>
      <c r="GM122" s="53"/>
      <c r="GN122" s="53"/>
      <c r="GO122" s="53"/>
      <c r="GP122" s="53"/>
      <c r="GQ122" s="53"/>
      <c r="GR122" s="53"/>
      <c r="GS122" s="53"/>
      <c r="GT122" s="53"/>
      <c r="GU122" s="53"/>
      <c r="GV122" s="112"/>
      <c r="GW122" s="112"/>
      <c r="GX122" s="93"/>
      <c r="GY122" s="67"/>
      <c r="GZ122" s="67"/>
      <c r="HA122" s="94"/>
      <c r="HB122" s="49"/>
      <c r="HC122" s="49"/>
      <c r="HD122" s="93"/>
      <c r="HE122" s="67"/>
      <c r="HF122" s="94"/>
      <c r="HG122" s="128"/>
      <c r="HH122" s="129"/>
      <c r="HI122" s="93"/>
      <c r="HJ122" s="67"/>
      <c r="HK122" s="67"/>
      <c r="HL122" s="49"/>
      <c r="HM122" s="95"/>
      <c r="HN122" s="93"/>
      <c r="HO122" s="67"/>
      <c r="HP122" s="87"/>
      <c r="HQ122" s="87"/>
      <c r="HR122" s="95"/>
      <c r="HS122" s="630"/>
      <c r="HT122" s="67"/>
      <c r="HU122" s="287"/>
      <c r="HV122" s="67"/>
      <c r="HW122" s="67"/>
      <c r="HX122" s="88"/>
      <c r="HY122" s="93"/>
      <c r="HZ122" s="67"/>
      <c r="IA122" s="89"/>
      <c r="IB122" s="49"/>
      <c r="IC122" s="81"/>
      <c r="ID122" s="89"/>
      <c r="IE122" s="90"/>
      <c r="IF122" s="90"/>
      <c r="IG122" s="91"/>
      <c r="IH122" s="91"/>
      <c r="II122" s="49"/>
      <c r="IJ122" s="91"/>
      <c r="IK122" s="49"/>
      <c r="IL122" s="50"/>
      <c r="IM122" s="91"/>
      <c r="IN122" s="91"/>
      <c r="IO122" s="67"/>
      <c r="IP122" s="96"/>
      <c r="IQ122" s="231"/>
      <c r="IR122" s="231"/>
      <c r="IS122" s="113"/>
      <c r="IT122" s="314"/>
      <c r="IU122" s="314"/>
      <c r="IV122" s="239"/>
      <c r="IW122" s="239"/>
      <c r="IX122" s="330"/>
      <c r="IY122" s="236"/>
      <c r="IZ122" s="331"/>
      <c r="JA122" s="236"/>
      <c r="JB122" s="331"/>
      <c r="JC122" s="291"/>
      <c r="JD122" s="332"/>
      <c r="JE122" s="328"/>
      <c r="JF122" s="328"/>
      <c r="JG122" s="194"/>
      <c r="JH122" s="330"/>
      <c r="JI122" s="194"/>
      <c r="JJ122" s="330"/>
      <c r="JK122" s="291"/>
      <c r="JL122" s="291"/>
      <c r="JM122" s="291"/>
      <c r="JN122" s="291"/>
      <c r="JO122" s="269"/>
      <c r="JP122" s="269"/>
      <c r="JQ122" s="269"/>
      <c r="JR122" s="269"/>
      <c r="JS122" s="269"/>
      <c r="JT122" s="269"/>
      <c r="JU122" s="330"/>
      <c r="JV122" s="329"/>
      <c r="JW122" s="291"/>
      <c r="JX122" s="329"/>
      <c r="JY122" s="329"/>
      <c r="JZ122" s="291"/>
    </row>
    <row r="123" spans="1:286" ht="93.75" customHeight="1">
      <c r="A123" s="773" t="s">
        <v>873</v>
      </c>
      <c r="B123" s="773"/>
      <c r="C123" s="53" t="s">
        <v>28</v>
      </c>
      <c r="D123" s="53" t="s">
        <v>112</v>
      </c>
      <c r="E123" s="53" t="s">
        <v>963</v>
      </c>
      <c r="F123" s="53"/>
      <c r="G123" s="53"/>
      <c r="H123" s="53"/>
      <c r="I123" s="55"/>
      <c r="J123" s="53"/>
      <c r="K123" s="53" t="s">
        <v>874</v>
      </c>
      <c r="L123" s="255" t="s">
        <v>875</v>
      </c>
      <c r="M123" s="166"/>
      <c r="N123" s="167"/>
      <c r="O123" s="168"/>
      <c r="P123" s="207">
        <v>5800</v>
      </c>
      <c r="Q123" s="207"/>
      <c r="R123" s="207"/>
      <c r="S123" s="207">
        <f t="shared" si="395"/>
        <v>0</v>
      </c>
      <c r="T123" s="207">
        <f t="shared" si="396"/>
        <v>0</v>
      </c>
      <c r="U123" s="213">
        <f t="shared" si="397"/>
        <v>0</v>
      </c>
      <c r="V123" s="213" t="e">
        <f t="shared" si="408"/>
        <v>#DIV/0!</v>
      </c>
      <c r="W123" s="213">
        <f t="shared" si="398"/>
        <v>0</v>
      </c>
      <c r="X123" s="207">
        <f t="shared" si="399"/>
        <v>580</v>
      </c>
      <c r="Y123" s="208"/>
      <c r="Z123" s="907">
        <f t="shared" si="282"/>
        <v>17.241379310344829</v>
      </c>
      <c r="AA123" s="208" t="s">
        <v>876</v>
      </c>
      <c r="AB123" s="208"/>
      <c r="AC123" s="209"/>
      <c r="AD123" s="53" t="s">
        <v>16</v>
      </c>
      <c r="AE123" s="772">
        <f t="shared" si="401"/>
        <v>10</v>
      </c>
      <c r="AF123" s="772">
        <f t="shared" si="340"/>
        <v>10</v>
      </c>
      <c r="AG123" s="64"/>
      <c r="AH123" s="53">
        <v>10</v>
      </c>
      <c r="AI123" s="64"/>
      <c r="AJ123" s="53"/>
      <c r="AK123" s="807"/>
      <c r="AL123" s="57"/>
      <c r="AM123" s="804"/>
      <c r="AN123" s="92"/>
      <c r="AO123" s="57">
        <f>AN123/AE123</f>
        <v>0</v>
      </c>
      <c r="AP123" s="78"/>
      <c r="AQ123" s="78"/>
      <c r="AR123" s="78"/>
      <c r="AS123" s="78"/>
      <c r="AT123" s="78"/>
      <c r="AU123" s="57"/>
      <c r="AV123" s="76"/>
      <c r="AW123" s="78"/>
      <c r="AX123" s="57"/>
      <c r="AY123" s="56"/>
      <c r="AZ123" s="53"/>
      <c r="BA123" s="53"/>
      <c r="BB123" s="53"/>
      <c r="BC123" s="53"/>
      <c r="BD123" s="237"/>
      <c r="BE123" s="184"/>
      <c r="BF123" s="110"/>
      <c r="BG123" s="110"/>
      <c r="BH123" s="97"/>
      <c r="BI123" s="204"/>
      <c r="BJ123" s="99"/>
      <c r="BK123" s="99"/>
      <c r="BL123" s="204"/>
      <c r="BM123" s="99"/>
      <c r="BN123" s="161"/>
      <c r="BO123" s="203"/>
      <c r="BP123" s="161"/>
      <c r="BQ123" s="161"/>
      <c r="BR123" s="299"/>
      <c r="BS123" s="298"/>
      <c r="BT123" s="298"/>
      <c r="BU123" s="298"/>
      <c r="BV123" s="298"/>
      <c r="BW123" s="672"/>
      <c r="BX123" s="672"/>
      <c r="BY123" s="672"/>
      <c r="BZ123" s="824"/>
      <c r="CA123" s="832"/>
      <c r="CB123" s="826"/>
      <c r="CC123" s="826"/>
      <c r="CD123" s="826"/>
      <c r="CE123" s="826"/>
      <c r="CF123" s="819"/>
      <c r="CG123" s="819"/>
      <c r="CH123" s="819"/>
      <c r="CI123" s="819"/>
      <c r="CJ123" s="819"/>
      <c r="CK123" s="819"/>
      <c r="CL123" s="819"/>
      <c r="CM123" s="819"/>
      <c r="CN123" s="819"/>
      <c r="CO123" s="819"/>
      <c r="CP123" s="819"/>
      <c r="CQ123" s="819"/>
      <c r="CR123" s="819"/>
      <c r="CS123" s="159"/>
      <c r="CT123" s="250"/>
      <c r="CU123" s="250"/>
      <c r="CV123" s="158"/>
      <c r="CW123" s="250"/>
      <c r="CX123" s="250"/>
      <c r="CY123" s="250"/>
      <c r="CZ123" s="250" t="s">
        <v>168</v>
      </c>
      <c r="DA123" s="598"/>
      <c r="DB123" s="540"/>
      <c r="DC123" s="543"/>
      <c r="DD123" s="543"/>
      <c r="DE123" s="545"/>
      <c r="DF123" s="543"/>
      <c r="DG123" s="543"/>
      <c r="DH123" s="545"/>
      <c r="DI123" s="543"/>
      <c r="DJ123" s="543"/>
      <c r="DK123" s="545"/>
      <c r="DL123" s="543"/>
      <c r="DM123" s="543"/>
      <c r="DN123" s="545"/>
      <c r="DO123" s="546"/>
      <c r="DP123" s="547"/>
      <c r="DQ123" s="545"/>
      <c r="DR123" s="451"/>
      <c r="DS123" s="548"/>
      <c r="DT123" s="527"/>
      <c r="DU123" s="528"/>
      <c r="DV123" s="529"/>
      <c r="DW123" s="527"/>
      <c r="DX123" s="686"/>
      <c r="DY123" s="344"/>
      <c r="DZ123" s="442"/>
      <c r="EA123" s="529"/>
      <c r="EB123" s="687"/>
      <c r="EC123" s="241"/>
      <c r="ED123" s="527"/>
      <c r="EE123" s="533"/>
      <c r="EF123" s="529"/>
      <c r="EG123" s="527"/>
      <c r="EH123" s="551"/>
      <c r="EI123" s="530"/>
      <c r="EJ123" s="531"/>
      <c r="EK123" s="532"/>
      <c r="EL123" s="529"/>
      <c r="EM123" s="527"/>
      <c r="EN123" s="533"/>
      <c r="EO123" s="529"/>
      <c r="EP123" s="533"/>
      <c r="EQ123" s="533"/>
      <c r="ER123" s="529"/>
      <c r="ES123" s="533"/>
      <c r="ET123" s="533"/>
      <c r="EU123" s="529"/>
      <c r="EV123" s="533"/>
      <c r="EW123" s="533"/>
      <c r="EX123" s="529"/>
      <c r="EY123" s="533"/>
      <c r="EZ123" s="533"/>
      <c r="FA123" s="533"/>
      <c r="FB123" s="731"/>
      <c r="FC123" s="730"/>
      <c r="FD123" s="727"/>
      <c r="FE123" s="573"/>
      <c r="FF123" s="242"/>
      <c r="FG123" s="242"/>
      <c r="FH123" s="186"/>
      <c r="FI123" s="461"/>
      <c r="FJ123" s="571"/>
      <c r="FK123" s="730"/>
      <c r="FL123" s="574"/>
      <c r="FM123" s="724"/>
      <c r="FN123" s="700"/>
      <c r="FO123" s="246"/>
      <c r="FP123" s="117"/>
      <c r="FQ123" s="556"/>
      <c r="FR123" s="556"/>
      <c r="FS123" s="556"/>
      <c r="FT123" s="556"/>
      <c r="FU123" s="748"/>
      <c r="FV123" s="749"/>
      <c r="FW123" s="559"/>
      <c r="FX123" s="577"/>
      <c r="FY123" s="559"/>
      <c r="FZ123" s="559"/>
      <c r="GA123" s="121"/>
      <c r="GB123" s="121"/>
      <c r="GC123" s="121"/>
      <c r="GD123" s="121"/>
      <c r="GE123" s="121"/>
      <c r="GF123" s="53"/>
      <c r="GG123" s="280"/>
      <c r="GH123" s="280"/>
      <c r="GI123" s="53"/>
      <c r="GJ123" s="53"/>
      <c r="GK123" s="53"/>
      <c r="GL123" s="53"/>
      <c r="GM123" s="53"/>
      <c r="GN123" s="53"/>
      <c r="GO123" s="53"/>
      <c r="GP123" s="53"/>
      <c r="GQ123" s="53"/>
      <c r="GR123" s="53"/>
      <c r="GS123" s="53"/>
      <c r="GT123" s="53"/>
      <c r="GU123" s="53"/>
      <c r="GV123" s="112"/>
      <c r="GW123" s="112"/>
      <c r="GX123" s="93"/>
      <c r="GY123" s="67"/>
      <c r="GZ123" s="67"/>
      <c r="HA123" s="94"/>
      <c r="HB123" s="49"/>
      <c r="HC123" s="49"/>
      <c r="HD123" s="93"/>
      <c r="HE123" s="67"/>
      <c r="HF123" s="94"/>
      <c r="HG123" s="128"/>
      <c r="HH123" s="129"/>
      <c r="HI123" s="93"/>
      <c r="HJ123" s="67"/>
      <c r="HK123" s="67"/>
      <c r="HL123" s="49"/>
      <c r="HM123" s="95"/>
      <c r="HN123" s="93"/>
      <c r="HO123" s="67"/>
      <c r="HP123" s="87"/>
      <c r="HQ123" s="87"/>
      <c r="HR123" s="95"/>
      <c r="HS123" s="630"/>
      <c r="HT123" s="67"/>
      <c r="HU123" s="287"/>
      <c r="HV123" s="67"/>
      <c r="HW123" s="67"/>
      <c r="HX123" s="88"/>
      <c r="HY123" s="93"/>
      <c r="HZ123" s="67"/>
      <c r="IA123" s="89"/>
      <c r="IB123" s="49"/>
      <c r="IC123" s="81"/>
      <c r="ID123" s="89"/>
      <c r="IE123" s="90"/>
      <c r="IF123" s="90"/>
      <c r="IG123" s="91"/>
      <c r="IH123" s="91"/>
      <c r="II123" s="49"/>
      <c r="IJ123" s="91"/>
      <c r="IK123" s="49"/>
      <c r="IL123" s="50"/>
      <c r="IM123" s="91"/>
      <c r="IN123" s="91"/>
      <c r="IO123" s="67"/>
      <c r="IP123" s="96"/>
      <c r="IQ123" s="231"/>
      <c r="IR123" s="231"/>
      <c r="IS123" s="113"/>
      <c r="IT123" s="314"/>
      <c r="IU123" s="314"/>
      <c r="IV123" s="239"/>
      <c r="IW123" s="239"/>
      <c r="IX123" s="330"/>
      <c r="IY123" s="236"/>
      <c r="IZ123" s="331"/>
      <c r="JA123" s="236"/>
      <c r="JB123" s="331"/>
      <c r="JC123" s="291"/>
      <c r="JD123" s="332"/>
      <c r="JE123" s="328"/>
      <c r="JF123" s="328"/>
      <c r="JG123" s="194"/>
      <c r="JH123" s="330"/>
      <c r="JI123" s="194"/>
      <c r="JJ123" s="330"/>
      <c r="JK123" s="291"/>
      <c r="JL123" s="291"/>
      <c r="JM123" s="291"/>
      <c r="JN123" s="291"/>
      <c r="JO123" s="269"/>
      <c r="JP123" s="269"/>
      <c r="JQ123" s="269"/>
      <c r="JR123" s="269"/>
      <c r="JS123" s="269"/>
      <c r="JT123" s="269"/>
      <c r="JU123" s="330"/>
      <c r="JV123" s="329"/>
      <c r="JW123" s="291"/>
      <c r="JX123" s="329"/>
      <c r="JY123" s="329"/>
      <c r="JZ123" s="291"/>
    </row>
    <row r="124" spans="1:286" ht="93.75" customHeight="1">
      <c r="A124" s="98" t="s">
        <v>870</v>
      </c>
      <c r="B124" s="98"/>
      <c r="C124" s="53" t="s">
        <v>28</v>
      </c>
      <c r="D124" s="53" t="s">
        <v>112</v>
      </c>
      <c r="E124" s="53" t="s">
        <v>907</v>
      </c>
      <c r="F124" s="53"/>
      <c r="G124" s="53"/>
      <c r="H124" s="53"/>
      <c r="I124" s="55"/>
      <c r="J124" s="53"/>
      <c r="K124" s="53" t="s">
        <v>871</v>
      </c>
      <c r="L124" s="255" t="s">
        <v>872</v>
      </c>
      <c r="M124" s="166"/>
      <c r="N124" s="167"/>
      <c r="O124" s="168"/>
      <c r="P124" s="207">
        <v>5300</v>
      </c>
      <c r="Q124" s="207"/>
      <c r="R124" s="207"/>
      <c r="S124" s="207">
        <f t="shared" si="395"/>
        <v>0</v>
      </c>
      <c r="T124" s="207">
        <f t="shared" si="396"/>
        <v>0</v>
      </c>
      <c r="U124" s="213">
        <f t="shared" si="397"/>
        <v>0</v>
      </c>
      <c r="V124" s="213" t="e">
        <f t="shared" si="408"/>
        <v>#DIV/0!</v>
      </c>
      <c r="W124" s="213">
        <f t="shared" si="398"/>
        <v>0</v>
      </c>
      <c r="X124" s="207">
        <f t="shared" si="399"/>
        <v>151.42857142857142</v>
      </c>
      <c r="Y124" s="208"/>
      <c r="Z124" s="907">
        <f t="shared" si="282"/>
        <v>66.037735849056602</v>
      </c>
      <c r="AA124" s="208"/>
      <c r="AB124" s="208"/>
      <c r="AC124" s="209"/>
      <c r="AD124" s="53" t="s">
        <v>16</v>
      </c>
      <c r="AE124" s="772">
        <f t="shared" si="401"/>
        <v>35</v>
      </c>
      <c r="AF124" s="772">
        <f t="shared" si="340"/>
        <v>35</v>
      </c>
      <c r="AG124" s="64"/>
      <c r="AH124" s="53">
        <v>35</v>
      </c>
      <c r="AI124" s="64"/>
      <c r="AJ124" s="53"/>
      <c r="AK124" s="807"/>
      <c r="AL124" s="57"/>
      <c r="AM124" s="804"/>
      <c r="AN124" s="92"/>
      <c r="AO124" s="57">
        <f>AN124/AE124</f>
        <v>0</v>
      </c>
      <c r="AP124" s="78"/>
      <c r="AQ124" s="78"/>
      <c r="AR124" s="78"/>
      <c r="AS124" s="78"/>
      <c r="AT124" s="78"/>
      <c r="AU124" s="57"/>
      <c r="AV124" s="76"/>
      <c r="AW124" s="78"/>
      <c r="AX124" s="57"/>
      <c r="AY124" s="56"/>
      <c r="AZ124" s="53"/>
      <c r="BA124" s="53"/>
      <c r="BB124" s="53"/>
      <c r="BC124" s="53"/>
      <c r="BD124" s="237"/>
      <c r="BE124" s="184"/>
      <c r="BF124" s="110"/>
      <c r="BG124" s="110"/>
      <c r="BH124" s="97"/>
      <c r="BI124" s="204"/>
      <c r="BJ124" s="99"/>
      <c r="BK124" s="99"/>
      <c r="BL124" s="204"/>
      <c r="BM124" s="99"/>
      <c r="BN124" s="161"/>
      <c r="BO124" s="203"/>
      <c r="BP124" s="161"/>
      <c r="BQ124" s="161"/>
      <c r="BR124" s="299"/>
      <c r="BS124" s="298"/>
      <c r="BT124" s="298"/>
      <c r="BU124" s="298"/>
      <c r="BV124" s="298"/>
      <c r="BW124" s="672"/>
      <c r="BX124" s="672"/>
      <c r="BY124" s="672"/>
      <c r="BZ124" s="824"/>
      <c r="CA124" s="832"/>
      <c r="CB124" s="826"/>
      <c r="CC124" s="826"/>
      <c r="CD124" s="826"/>
      <c r="CE124" s="826"/>
      <c r="CF124" s="819"/>
      <c r="CG124" s="819"/>
      <c r="CH124" s="819"/>
      <c r="CI124" s="819"/>
      <c r="CJ124" s="819"/>
      <c r="CK124" s="819"/>
      <c r="CL124" s="819"/>
      <c r="CM124" s="819"/>
      <c r="CN124" s="819"/>
      <c r="CO124" s="819"/>
      <c r="CP124" s="819"/>
      <c r="CQ124" s="819"/>
      <c r="CR124" s="819"/>
      <c r="CS124" s="159"/>
      <c r="CT124" s="250"/>
      <c r="CU124" s="250"/>
      <c r="CV124" s="158"/>
      <c r="CW124" s="250"/>
      <c r="CX124" s="250"/>
      <c r="CY124" s="250"/>
      <c r="CZ124" s="250" t="s">
        <v>168</v>
      </c>
      <c r="DA124" s="598"/>
      <c r="DB124" s="540"/>
      <c r="DC124" s="543"/>
      <c r="DD124" s="543"/>
      <c r="DE124" s="545"/>
      <c r="DF124" s="543"/>
      <c r="DG124" s="543"/>
      <c r="DH124" s="545"/>
      <c r="DI124" s="543"/>
      <c r="DJ124" s="543"/>
      <c r="DK124" s="545"/>
      <c r="DL124" s="543"/>
      <c r="DM124" s="543"/>
      <c r="DN124" s="545"/>
      <c r="DO124" s="546"/>
      <c r="DP124" s="547"/>
      <c r="DQ124" s="545"/>
      <c r="DR124" s="451"/>
      <c r="DS124" s="548"/>
      <c r="DT124" s="527"/>
      <c r="DU124" s="528"/>
      <c r="DV124" s="529"/>
      <c r="DW124" s="527"/>
      <c r="DX124" s="686"/>
      <c r="DY124" s="344"/>
      <c r="DZ124" s="442"/>
      <c r="EA124" s="529"/>
      <c r="EB124" s="687"/>
      <c r="EC124" s="241"/>
      <c r="ED124" s="527"/>
      <c r="EE124" s="533"/>
      <c r="EF124" s="529"/>
      <c r="EG124" s="527"/>
      <c r="EH124" s="551"/>
      <c r="EI124" s="530"/>
      <c r="EJ124" s="531"/>
      <c r="EK124" s="532"/>
      <c r="EL124" s="529"/>
      <c r="EM124" s="527"/>
      <c r="EN124" s="533"/>
      <c r="EO124" s="529"/>
      <c r="EP124" s="533"/>
      <c r="EQ124" s="533"/>
      <c r="ER124" s="529"/>
      <c r="ES124" s="533"/>
      <c r="ET124" s="533"/>
      <c r="EU124" s="529"/>
      <c r="EV124" s="533"/>
      <c r="EW124" s="533"/>
      <c r="EX124" s="529"/>
      <c r="EY124" s="533"/>
      <c r="EZ124" s="533"/>
      <c r="FA124" s="533"/>
      <c r="FB124" s="731"/>
      <c r="FC124" s="730"/>
      <c r="FD124" s="727"/>
      <c r="FE124" s="573"/>
      <c r="FF124" s="242"/>
      <c r="FG124" s="242"/>
      <c r="FH124" s="186"/>
      <c r="FI124" s="461"/>
      <c r="FJ124" s="571"/>
      <c r="FK124" s="730"/>
      <c r="FL124" s="574"/>
      <c r="FM124" s="724"/>
      <c r="FN124" s="700"/>
      <c r="FO124" s="246"/>
      <c r="FP124" s="117"/>
      <c r="FQ124" s="556"/>
      <c r="FR124" s="556"/>
      <c r="FS124" s="556"/>
      <c r="FT124" s="556"/>
      <c r="FU124" s="748"/>
      <c r="FV124" s="749"/>
      <c r="FW124" s="559"/>
      <c r="FX124" s="577"/>
      <c r="FY124" s="559"/>
      <c r="FZ124" s="559"/>
      <c r="GA124" s="121"/>
      <c r="GB124" s="121"/>
      <c r="GC124" s="121"/>
      <c r="GD124" s="121"/>
      <c r="GE124" s="121"/>
      <c r="GF124" s="53"/>
      <c r="GG124" s="280"/>
      <c r="GH124" s="280"/>
      <c r="GI124" s="53"/>
      <c r="GJ124" s="53"/>
      <c r="GK124" s="53"/>
      <c r="GL124" s="53"/>
      <c r="GM124" s="53"/>
      <c r="GN124" s="53"/>
      <c r="GO124" s="53"/>
      <c r="GP124" s="53"/>
      <c r="GQ124" s="53"/>
      <c r="GR124" s="53"/>
      <c r="GS124" s="53"/>
      <c r="GT124" s="53"/>
      <c r="GU124" s="53"/>
      <c r="GV124" s="112"/>
      <c r="GW124" s="112"/>
      <c r="GX124" s="93"/>
      <c r="GY124" s="67"/>
      <c r="GZ124" s="67"/>
      <c r="HA124" s="94"/>
      <c r="HB124" s="49"/>
      <c r="HC124" s="49"/>
      <c r="HD124" s="93"/>
      <c r="HE124" s="67"/>
      <c r="HF124" s="94"/>
      <c r="HG124" s="128"/>
      <c r="HH124" s="129"/>
      <c r="HI124" s="93"/>
      <c r="HJ124" s="67"/>
      <c r="HK124" s="67"/>
      <c r="HL124" s="49"/>
      <c r="HM124" s="95"/>
      <c r="HN124" s="93"/>
      <c r="HO124" s="67"/>
      <c r="HP124" s="87"/>
      <c r="HQ124" s="87"/>
      <c r="HR124" s="95"/>
      <c r="HS124" s="630"/>
      <c r="HT124" s="67"/>
      <c r="HU124" s="287"/>
      <c r="HV124" s="67"/>
      <c r="HW124" s="67"/>
      <c r="HX124" s="88"/>
      <c r="HY124" s="93"/>
      <c r="HZ124" s="67"/>
      <c r="IA124" s="89"/>
      <c r="IB124" s="49"/>
      <c r="IC124" s="81"/>
      <c r="ID124" s="89"/>
      <c r="IE124" s="90"/>
      <c r="IF124" s="90"/>
      <c r="IG124" s="91"/>
      <c r="IH124" s="91"/>
      <c r="II124" s="49"/>
      <c r="IJ124" s="91"/>
      <c r="IK124" s="49"/>
      <c r="IL124" s="50"/>
      <c r="IM124" s="91"/>
      <c r="IN124" s="91"/>
      <c r="IO124" s="67"/>
      <c r="IP124" s="96"/>
      <c r="IQ124" s="231"/>
      <c r="IR124" s="231"/>
      <c r="IS124" s="113"/>
      <c r="IT124" s="314"/>
      <c r="IU124" s="314"/>
      <c r="IV124" s="239"/>
      <c r="IW124" s="239"/>
      <c r="IX124" s="330"/>
      <c r="IY124" s="236"/>
      <c r="IZ124" s="331"/>
      <c r="JA124" s="236"/>
      <c r="JB124" s="331"/>
      <c r="JC124" s="291"/>
      <c r="JD124" s="332"/>
      <c r="JE124" s="328"/>
      <c r="JF124" s="328"/>
      <c r="JG124" s="194"/>
      <c r="JH124" s="330"/>
      <c r="JI124" s="194"/>
      <c r="JJ124" s="330"/>
      <c r="JK124" s="291"/>
      <c r="JL124" s="291"/>
      <c r="JM124" s="291"/>
      <c r="JN124" s="291"/>
      <c r="JO124" s="269"/>
      <c r="JP124" s="269"/>
      <c r="JQ124" s="269"/>
      <c r="JR124" s="269"/>
      <c r="JS124" s="269"/>
      <c r="JT124" s="269"/>
      <c r="JU124" s="330"/>
      <c r="JV124" s="329"/>
      <c r="JW124" s="291"/>
      <c r="JX124" s="329"/>
      <c r="JY124" s="329"/>
      <c r="JZ124" s="291"/>
    </row>
    <row r="125" spans="1:286" ht="75.75" customHeight="1">
      <c r="A125" s="98" t="s">
        <v>866</v>
      </c>
      <c r="B125" s="98"/>
      <c r="C125" s="53" t="s">
        <v>28</v>
      </c>
      <c r="D125" s="53" t="s">
        <v>112</v>
      </c>
      <c r="E125" s="53" t="s">
        <v>907</v>
      </c>
      <c r="F125" s="53"/>
      <c r="G125" s="53"/>
      <c r="H125" s="53"/>
      <c r="I125" s="55"/>
      <c r="J125" s="53"/>
      <c r="K125" s="53" t="s">
        <v>867</v>
      </c>
      <c r="L125" s="255" t="s">
        <v>869</v>
      </c>
      <c r="M125" s="166"/>
      <c r="N125" s="167"/>
      <c r="O125" s="168"/>
      <c r="P125" s="207">
        <v>8400</v>
      </c>
      <c r="Q125" s="207"/>
      <c r="R125" s="207"/>
      <c r="S125" s="207">
        <f t="shared" si="395"/>
        <v>0</v>
      </c>
      <c r="T125" s="207">
        <f t="shared" si="396"/>
        <v>0</v>
      </c>
      <c r="U125" s="213">
        <f t="shared" si="397"/>
        <v>0</v>
      </c>
      <c r="V125" s="213" t="e">
        <f t="shared" si="408"/>
        <v>#DIV/0!</v>
      </c>
      <c r="W125" s="213">
        <f t="shared" si="398"/>
        <v>0</v>
      </c>
      <c r="X125" s="207">
        <f t="shared" si="399"/>
        <v>186.66666666666666</v>
      </c>
      <c r="Y125" s="208"/>
      <c r="Z125" s="907">
        <f t="shared" si="282"/>
        <v>53.571428571428569</v>
      </c>
      <c r="AA125" s="208" t="s">
        <v>868</v>
      </c>
      <c r="AB125" s="208"/>
      <c r="AC125" s="209"/>
      <c r="AD125" s="53" t="s">
        <v>16</v>
      </c>
      <c r="AE125" s="772">
        <f t="shared" si="401"/>
        <v>45</v>
      </c>
      <c r="AF125" s="772">
        <f t="shared" si="340"/>
        <v>45</v>
      </c>
      <c r="AG125" s="64"/>
      <c r="AH125" s="53">
        <v>45</v>
      </c>
      <c r="AI125" s="64"/>
      <c r="AJ125" s="53"/>
      <c r="AK125" s="807"/>
      <c r="AL125" s="57"/>
      <c r="AM125" s="804"/>
      <c r="AN125" s="92"/>
      <c r="AO125" s="57">
        <f>AN125/AE125</f>
        <v>0</v>
      </c>
      <c r="AP125" s="78"/>
      <c r="AQ125" s="78"/>
      <c r="AR125" s="78"/>
      <c r="AS125" s="78"/>
      <c r="AT125" s="78"/>
      <c r="AU125" s="57"/>
      <c r="AV125" s="76"/>
      <c r="AW125" s="78"/>
      <c r="AX125" s="57"/>
      <c r="AY125" s="56"/>
      <c r="AZ125" s="53"/>
      <c r="BA125" s="53"/>
      <c r="BB125" s="53"/>
      <c r="BC125" s="53"/>
      <c r="BD125" s="237"/>
      <c r="BE125" s="184"/>
      <c r="BF125" s="110"/>
      <c r="BG125" s="110"/>
      <c r="BH125" s="97"/>
      <c r="BI125" s="204"/>
      <c r="BJ125" s="99"/>
      <c r="BK125" s="99"/>
      <c r="BL125" s="204"/>
      <c r="BM125" s="99"/>
      <c r="BN125" s="161"/>
      <c r="BO125" s="203"/>
      <c r="BP125" s="161"/>
      <c r="BQ125" s="161"/>
      <c r="BR125" s="299"/>
      <c r="BS125" s="298"/>
      <c r="BT125" s="298"/>
      <c r="BU125" s="298"/>
      <c r="BV125" s="298"/>
      <c r="BW125" s="672"/>
      <c r="BX125" s="672"/>
      <c r="BY125" s="672"/>
      <c r="BZ125" s="824"/>
      <c r="CA125" s="832"/>
      <c r="CB125" s="826"/>
      <c r="CC125" s="826"/>
      <c r="CD125" s="826"/>
      <c r="CE125" s="826"/>
      <c r="CF125" s="819"/>
      <c r="CG125" s="819"/>
      <c r="CH125" s="819"/>
      <c r="CI125" s="819"/>
      <c r="CJ125" s="819"/>
      <c r="CK125" s="819"/>
      <c r="CL125" s="819"/>
      <c r="CM125" s="819"/>
      <c r="CN125" s="819"/>
      <c r="CO125" s="819"/>
      <c r="CP125" s="819"/>
      <c r="CQ125" s="819"/>
      <c r="CR125" s="819"/>
      <c r="CS125" s="159"/>
      <c r="CT125" s="250"/>
      <c r="CU125" s="250"/>
      <c r="CV125" s="158"/>
      <c r="CW125" s="250"/>
      <c r="CX125" s="250"/>
      <c r="CY125" s="250"/>
      <c r="CZ125" s="250" t="s">
        <v>168</v>
      </c>
      <c r="DA125" s="598"/>
      <c r="DB125" s="540"/>
      <c r="DC125" s="543"/>
      <c r="DD125" s="543"/>
      <c r="DE125" s="545"/>
      <c r="DF125" s="543"/>
      <c r="DG125" s="543"/>
      <c r="DH125" s="545"/>
      <c r="DI125" s="543"/>
      <c r="DJ125" s="543"/>
      <c r="DK125" s="545"/>
      <c r="DL125" s="543"/>
      <c r="DM125" s="543"/>
      <c r="DN125" s="545"/>
      <c r="DO125" s="546"/>
      <c r="DP125" s="547"/>
      <c r="DQ125" s="545"/>
      <c r="DR125" s="451"/>
      <c r="DS125" s="548"/>
      <c r="DT125" s="527"/>
      <c r="DU125" s="528"/>
      <c r="DV125" s="529"/>
      <c r="DW125" s="527"/>
      <c r="DX125" s="686"/>
      <c r="DY125" s="344"/>
      <c r="DZ125" s="442"/>
      <c r="EA125" s="529"/>
      <c r="EB125" s="687"/>
      <c r="EC125" s="241"/>
      <c r="ED125" s="527"/>
      <c r="EE125" s="533"/>
      <c r="EF125" s="529"/>
      <c r="EG125" s="527"/>
      <c r="EH125" s="551"/>
      <c r="EI125" s="530"/>
      <c r="EJ125" s="531"/>
      <c r="EK125" s="532"/>
      <c r="EL125" s="529"/>
      <c r="EM125" s="527"/>
      <c r="EN125" s="533"/>
      <c r="EO125" s="529"/>
      <c r="EP125" s="533"/>
      <c r="EQ125" s="533"/>
      <c r="ER125" s="529"/>
      <c r="ES125" s="533"/>
      <c r="ET125" s="533"/>
      <c r="EU125" s="529"/>
      <c r="EV125" s="533"/>
      <c r="EW125" s="533"/>
      <c r="EX125" s="529"/>
      <c r="EY125" s="533"/>
      <c r="EZ125" s="533"/>
      <c r="FA125" s="533"/>
      <c r="FB125" s="731"/>
      <c r="FC125" s="730"/>
      <c r="FD125" s="727"/>
      <c r="FE125" s="573"/>
      <c r="FF125" s="242"/>
      <c r="FG125" s="242"/>
      <c r="FH125" s="186"/>
      <c r="FI125" s="461"/>
      <c r="FJ125" s="571"/>
      <c r="FK125" s="730"/>
      <c r="FL125" s="574"/>
      <c r="FM125" s="724"/>
      <c r="FN125" s="700"/>
      <c r="FO125" s="246"/>
      <c r="FP125" s="117"/>
      <c r="FQ125" s="556"/>
      <c r="FR125" s="556"/>
      <c r="FS125" s="556"/>
      <c r="FT125" s="556"/>
      <c r="FU125" s="748"/>
      <c r="FV125" s="749"/>
      <c r="FW125" s="559"/>
      <c r="FX125" s="577"/>
      <c r="FY125" s="559"/>
      <c r="FZ125" s="559"/>
      <c r="GA125" s="121"/>
      <c r="GB125" s="121"/>
      <c r="GC125" s="121"/>
      <c r="GD125" s="121"/>
      <c r="GE125" s="121"/>
      <c r="GF125" s="53"/>
      <c r="GG125" s="280"/>
      <c r="GH125" s="280"/>
      <c r="GI125" s="53"/>
      <c r="GJ125" s="53"/>
      <c r="GK125" s="53"/>
      <c r="GL125" s="53"/>
      <c r="GM125" s="53"/>
      <c r="GN125" s="53"/>
      <c r="GO125" s="53"/>
      <c r="GP125" s="53"/>
      <c r="GQ125" s="53"/>
      <c r="GR125" s="53"/>
      <c r="GS125" s="53"/>
      <c r="GT125" s="53"/>
      <c r="GU125" s="53"/>
      <c r="GV125" s="112"/>
      <c r="GW125" s="112"/>
      <c r="GX125" s="93"/>
      <c r="GY125" s="67"/>
      <c r="GZ125" s="67"/>
      <c r="HA125" s="94"/>
      <c r="HB125" s="49"/>
      <c r="HC125" s="49"/>
      <c r="HD125" s="93"/>
      <c r="HE125" s="67"/>
      <c r="HF125" s="94"/>
      <c r="HG125" s="128"/>
      <c r="HH125" s="129"/>
      <c r="HI125" s="93"/>
      <c r="HJ125" s="67"/>
      <c r="HK125" s="67"/>
      <c r="HL125" s="49"/>
      <c r="HM125" s="95"/>
      <c r="HN125" s="93"/>
      <c r="HO125" s="67"/>
      <c r="HP125" s="87"/>
      <c r="HQ125" s="87"/>
      <c r="HR125" s="95"/>
      <c r="HS125" s="630"/>
      <c r="HT125" s="67"/>
      <c r="HU125" s="287"/>
      <c r="HV125" s="67"/>
      <c r="HW125" s="67"/>
      <c r="HX125" s="88"/>
      <c r="HY125" s="93"/>
      <c r="HZ125" s="67"/>
      <c r="IA125" s="89"/>
      <c r="IB125" s="49"/>
      <c r="IC125" s="81"/>
      <c r="ID125" s="89"/>
      <c r="IE125" s="90"/>
      <c r="IF125" s="90"/>
      <c r="IG125" s="91"/>
      <c r="IH125" s="91"/>
      <c r="II125" s="49"/>
      <c r="IJ125" s="91"/>
      <c r="IK125" s="49"/>
      <c r="IL125" s="50"/>
      <c r="IM125" s="91"/>
      <c r="IN125" s="91"/>
      <c r="IO125" s="67"/>
      <c r="IP125" s="96"/>
      <c r="IQ125" s="231"/>
      <c r="IR125" s="231"/>
      <c r="IS125" s="113"/>
      <c r="IT125" s="314"/>
      <c r="IU125" s="314"/>
      <c r="IV125" s="239"/>
      <c r="IW125" s="239"/>
      <c r="IX125" s="330"/>
      <c r="IY125" s="236"/>
      <c r="IZ125" s="331"/>
      <c r="JA125" s="236"/>
      <c r="JB125" s="331"/>
      <c r="JC125" s="291"/>
      <c r="JD125" s="332"/>
      <c r="JE125" s="328"/>
      <c r="JF125" s="328"/>
      <c r="JG125" s="194"/>
      <c r="JH125" s="330"/>
      <c r="JI125" s="194"/>
      <c r="JJ125" s="330"/>
      <c r="JK125" s="291"/>
      <c r="JL125" s="291"/>
      <c r="JM125" s="291"/>
      <c r="JN125" s="291"/>
      <c r="JO125" s="269"/>
      <c r="JP125" s="269"/>
      <c r="JQ125" s="269"/>
      <c r="JR125" s="269"/>
      <c r="JS125" s="269"/>
      <c r="JT125" s="269"/>
      <c r="JU125" s="330"/>
      <c r="JV125" s="329"/>
      <c r="JW125" s="291"/>
      <c r="JX125" s="329"/>
      <c r="JY125" s="329"/>
      <c r="JZ125" s="291"/>
    </row>
    <row r="126" spans="1:286" ht="15" customHeight="1">
      <c r="A126" s="773" t="s">
        <v>615</v>
      </c>
      <c r="B126" s="773"/>
      <c r="C126" s="53" t="s">
        <v>28</v>
      </c>
      <c r="D126" s="53" t="s">
        <v>112</v>
      </c>
      <c r="E126" s="53" t="s">
        <v>907</v>
      </c>
      <c r="F126" s="53"/>
      <c r="G126" s="53"/>
      <c r="H126" s="53"/>
      <c r="I126" s="55"/>
      <c r="J126" s="53"/>
      <c r="K126" s="53" t="s">
        <v>616</v>
      </c>
      <c r="L126" s="255" t="s">
        <v>906</v>
      </c>
      <c r="M126" s="166"/>
      <c r="N126" s="167"/>
      <c r="O126" s="168"/>
      <c r="P126" s="207"/>
      <c r="Q126" s="207"/>
      <c r="R126" s="207"/>
      <c r="S126" s="207">
        <f t="shared" si="395"/>
        <v>0</v>
      </c>
      <c r="T126" s="207"/>
      <c r="U126" s="213"/>
      <c r="V126" s="213"/>
      <c r="W126" s="213">
        <f t="shared" si="398"/>
        <v>0</v>
      </c>
      <c r="X126" s="207"/>
      <c r="Y126" s="208"/>
      <c r="Z126" s="907" t="e">
        <f t="shared" si="282"/>
        <v>#DIV/0!</v>
      </c>
      <c r="AA126" s="208"/>
      <c r="AB126" s="208"/>
      <c r="AC126" s="209"/>
      <c r="AD126" s="53" t="s">
        <v>16</v>
      </c>
      <c r="AE126" s="772">
        <f t="shared" si="401"/>
        <v>35</v>
      </c>
      <c r="AF126" s="772">
        <f t="shared" si="340"/>
        <v>35</v>
      </c>
      <c r="AG126" s="64"/>
      <c r="AH126" s="53">
        <v>35</v>
      </c>
      <c r="AI126" s="64"/>
      <c r="AJ126" s="53"/>
      <c r="AK126" s="807"/>
      <c r="AL126" s="57"/>
      <c r="AM126" s="804"/>
      <c r="AN126" s="92"/>
      <c r="AO126" s="57"/>
      <c r="AP126" s="78"/>
      <c r="AQ126" s="78"/>
      <c r="AR126" s="78"/>
      <c r="AS126" s="78"/>
      <c r="AT126" s="78"/>
      <c r="AU126" s="57"/>
      <c r="AV126" s="76"/>
      <c r="AW126" s="78"/>
      <c r="AX126" s="57"/>
      <c r="AY126" s="56"/>
      <c r="AZ126" s="53"/>
      <c r="BA126" s="53"/>
      <c r="BB126" s="53"/>
      <c r="BC126" s="53"/>
      <c r="BD126" s="237"/>
      <c r="BE126" s="184"/>
      <c r="BF126" s="110"/>
      <c r="BG126" s="110"/>
      <c r="BH126" s="97"/>
      <c r="BI126" s="204"/>
      <c r="BJ126" s="99"/>
      <c r="BK126" s="99"/>
      <c r="BL126" s="204"/>
      <c r="BM126" s="99"/>
      <c r="BN126" s="161"/>
      <c r="BO126" s="203"/>
      <c r="BP126" s="161"/>
      <c r="BQ126" s="161"/>
      <c r="BR126" s="299"/>
      <c r="BS126" s="298"/>
      <c r="BT126" s="298"/>
      <c r="BU126" s="298"/>
      <c r="BV126" s="298"/>
      <c r="BW126" s="672"/>
      <c r="BX126" s="672"/>
      <c r="BY126" s="672"/>
      <c r="BZ126" s="824"/>
      <c r="CA126" s="832"/>
      <c r="CB126" s="826"/>
      <c r="CC126" s="826"/>
      <c r="CD126" s="826"/>
      <c r="CE126" s="826"/>
      <c r="CF126" s="819"/>
      <c r="CG126" s="819"/>
      <c r="CH126" s="819"/>
      <c r="CI126" s="819"/>
      <c r="CJ126" s="819"/>
      <c r="CK126" s="819"/>
      <c r="CL126" s="819"/>
      <c r="CM126" s="819"/>
      <c r="CN126" s="819"/>
      <c r="CO126" s="819"/>
      <c r="CP126" s="819"/>
      <c r="CQ126" s="819"/>
      <c r="CR126" s="819"/>
      <c r="CS126" s="159"/>
      <c r="CT126" s="250"/>
      <c r="CU126" s="250"/>
      <c r="CV126" s="158"/>
      <c r="CW126" s="250"/>
      <c r="CX126" s="250"/>
      <c r="CY126" s="250"/>
      <c r="CZ126" s="250" t="s">
        <v>168</v>
      </c>
      <c r="DA126" s="598"/>
      <c r="DB126" s="540"/>
      <c r="DC126" s="543"/>
      <c r="DD126" s="543"/>
      <c r="DE126" s="545"/>
      <c r="DF126" s="543"/>
      <c r="DG126" s="543"/>
      <c r="DH126" s="545"/>
      <c r="DI126" s="543"/>
      <c r="DJ126" s="543"/>
      <c r="DK126" s="545"/>
      <c r="DL126" s="543"/>
      <c r="DM126" s="543"/>
      <c r="DN126" s="545"/>
      <c r="DO126" s="546"/>
      <c r="DP126" s="547"/>
      <c r="DQ126" s="545"/>
      <c r="DR126" s="451"/>
      <c r="DS126" s="548"/>
      <c r="DT126" s="527"/>
      <c r="DU126" s="528"/>
      <c r="DV126" s="529"/>
      <c r="DW126" s="527"/>
      <c r="DX126" s="686"/>
      <c r="DY126" s="344"/>
      <c r="DZ126" s="442"/>
      <c r="EA126" s="529"/>
      <c r="EB126" s="687"/>
      <c r="EC126" s="241"/>
      <c r="ED126" s="527"/>
      <c r="EE126" s="533"/>
      <c r="EF126" s="529"/>
      <c r="EG126" s="527"/>
      <c r="EH126" s="551"/>
      <c r="EI126" s="530"/>
      <c r="EJ126" s="531"/>
      <c r="EK126" s="532"/>
      <c r="EL126" s="529"/>
      <c r="EM126" s="527"/>
      <c r="EN126" s="533"/>
      <c r="EO126" s="529"/>
      <c r="EP126" s="533"/>
      <c r="EQ126" s="533"/>
      <c r="ER126" s="529"/>
      <c r="ES126" s="533"/>
      <c r="ET126" s="533"/>
      <c r="EU126" s="529"/>
      <c r="EV126" s="533"/>
      <c r="EW126" s="533"/>
      <c r="EX126" s="529"/>
      <c r="EY126" s="533"/>
      <c r="EZ126" s="533"/>
      <c r="FA126" s="533"/>
      <c r="FB126" s="731"/>
      <c r="FC126" s="730"/>
      <c r="FD126" s="727"/>
      <c r="FE126" s="573"/>
      <c r="FF126" s="242"/>
      <c r="FG126" s="242"/>
      <c r="FH126" s="186"/>
      <c r="FI126" s="461"/>
      <c r="FJ126" s="571"/>
      <c r="FK126" s="730"/>
      <c r="FL126" s="574"/>
      <c r="FM126" s="724"/>
      <c r="FN126" s="700"/>
      <c r="FO126" s="246"/>
      <c r="FP126" s="117"/>
      <c r="FQ126" s="556"/>
      <c r="FR126" s="556"/>
      <c r="FS126" s="556"/>
      <c r="FT126" s="556"/>
      <c r="FU126" s="556"/>
      <c r="FV126" s="749"/>
      <c r="FW126" s="553"/>
      <c r="FX126" s="566"/>
      <c r="FY126" s="553"/>
      <c r="FZ126" s="553"/>
      <c r="GA126" s="121"/>
      <c r="GB126" s="121"/>
      <c r="GC126" s="121"/>
      <c r="GD126" s="121"/>
      <c r="GE126" s="121"/>
      <c r="GF126" s="53"/>
      <c r="GG126" s="280"/>
      <c r="GH126" s="280"/>
      <c r="GI126" s="53"/>
      <c r="GJ126" s="53"/>
      <c r="GK126" s="53"/>
      <c r="GL126" s="53"/>
      <c r="GM126" s="53"/>
      <c r="GN126" s="53"/>
      <c r="GO126" s="53"/>
      <c r="GP126" s="53"/>
      <c r="GQ126" s="53"/>
      <c r="GR126" s="53"/>
      <c r="GS126" s="53"/>
      <c r="GT126" s="53"/>
      <c r="GU126" s="53"/>
      <c r="GV126" s="112"/>
      <c r="GW126" s="112"/>
      <c r="GX126" s="93"/>
      <c r="GY126" s="67"/>
      <c r="GZ126" s="67"/>
      <c r="HA126" s="94"/>
      <c r="HB126" s="49"/>
      <c r="HC126" s="49"/>
      <c r="HD126" s="93"/>
      <c r="HE126" s="67"/>
      <c r="HF126" s="94"/>
      <c r="HG126" s="128"/>
      <c r="HH126" s="129"/>
      <c r="HI126" s="93"/>
      <c r="HJ126" s="67"/>
      <c r="HK126" s="67"/>
      <c r="HL126" s="49"/>
      <c r="HM126" s="95"/>
      <c r="HN126" s="93"/>
      <c r="HO126" s="67"/>
      <c r="HP126" s="87"/>
      <c r="HQ126" s="87"/>
      <c r="HR126" s="95"/>
      <c r="HS126" s="630"/>
      <c r="HT126" s="67"/>
      <c r="HU126" s="287"/>
      <c r="HV126" s="67"/>
      <c r="HW126" s="67"/>
      <c r="HX126" s="88"/>
      <c r="HY126" s="93"/>
      <c r="HZ126" s="67"/>
      <c r="IA126" s="89"/>
      <c r="IB126" s="49"/>
      <c r="IC126" s="81"/>
      <c r="ID126" s="89"/>
      <c r="IE126" s="90"/>
      <c r="IF126" s="90"/>
      <c r="IG126" s="91"/>
      <c r="IH126" s="91"/>
      <c r="II126" s="49"/>
      <c r="IJ126" s="91"/>
      <c r="IK126" s="49"/>
      <c r="IL126" s="50"/>
      <c r="IM126" s="91"/>
      <c r="IN126" s="91"/>
      <c r="IO126" s="67"/>
      <c r="IP126" s="96"/>
      <c r="IQ126" s="231"/>
      <c r="IR126" s="231"/>
      <c r="IS126" s="113"/>
      <c r="IT126" s="314"/>
      <c r="IU126" s="314"/>
      <c r="IV126" s="239"/>
      <c r="IW126" s="239"/>
      <c r="IX126" s="330"/>
      <c r="IY126" s="236"/>
      <c r="IZ126" s="331"/>
      <c r="JA126" s="236"/>
      <c r="JB126" s="331"/>
      <c r="JC126" s="291"/>
      <c r="JD126" s="332"/>
      <c r="JE126" s="328"/>
      <c r="JF126" s="328"/>
      <c r="JG126" s="194"/>
      <c r="JH126" s="330"/>
      <c r="JI126" s="194"/>
      <c r="JJ126" s="330"/>
      <c r="JK126" s="291"/>
      <c r="JL126" s="291"/>
      <c r="JM126" s="291"/>
      <c r="JN126" s="291"/>
      <c r="JO126" s="269"/>
      <c r="JP126" s="269"/>
      <c r="JQ126" s="269"/>
      <c r="JR126" s="269"/>
      <c r="JS126" s="269"/>
      <c r="JT126" s="269"/>
      <c r="JU126" s="330"/>
      <c r="JV126" s="329"/>
      <c r="JW126" s="291"/>
      <c r="JX126" s="329"/>
      <c r="JY126" s="329"/>
      <c r="JZ126" s="291"/>
    </row>
    <row r="127" spans="1:286" ht="15" customHeight="1">
      <c r="A127" s="773" t="s">
        <v>886</v>
      </c>
      <c r="B127" s="773"/>
      <c r="C127" s="53" t="s">
        <v>28</v>
      </c>
      <c r="D127" s="53" t="s">
        <v>112</v>
      </c>
      <c r="E127" s="53"/>
      <c r="F127" s="53"/>
      <c r="G127" s="53"/>
      <c r="H127" s="53"/>
      <c r="I127" s="55"/>
      <c r="J127" s="53"/>
      <c r="K127" s="53" t="s">
        <v>884</v>
      </c>
      <c r="L127" s="255" t="s">
        <v>885</v>
      </c>
      <c r="M127" s="166"/>
      <c r="N127" s="167"/>
      <c r="O127" s="168"/>
      <c r="P127" s="207">
        <v>4000</v>
      </c>
      <c r="Q127" s="207"/>
      <c r="R127" s="207"/>
      <c r="S127" s="207">
        <f t="shared" si="395"/>
        <v>0</v>
      </c>
      <c r="T127" s="207">
        <f>Q127/P127</f>
        <v>0</v>
      </c>
      <c r="U127" s="213">
        <f>R127/P127</f>
        <v>0</v>
      </c>
      <c r="V127" s="213" t="e">
        <f>R127/AN127</f>
        <v>#DIV/0!</v>
      </c>
      <c r="W127" s="213">
        <f t="shared" si="398"/>
        <v>0</v>
      </c>
      <c r="X127" s="207">
        <f>P127/AE127</f>
        <v>266.66666666666669</v>
      </c>
      <c r="Y127" s="208"/>
      <c r="Z127" s="907">
        <f t="shared" si="282"/>
        <v>37.5</v>
      </c>
      <c r="AA127" s="208" t="s">
        <v>864</v>
      </c>
      <c r="AB127" s="208"/>
      <c r="AC127" s="209"/>
      <c r="AD127" s="53" t="s">
        <v>16</v>
      </c>
      <c r="AE127" s="771">
        <f t="shared" si="401"/>
        <v>15</v>
      </c>
      <c r="AF127" s="771">
        <f t="shared" si="340"/>
        <v>15</v>
      </c>
      <c r="AG127" s="64"/>
      <c r="AH127" s="53">
        <v>15</v>
      </c>
      <c r="AI127" s="64"/>
      <c r="AJ127" s="53"/>
      <c r="AK127" s="807"/>
      <c r="AL127" s="57"/>
      <c r="AM127" s="804"/>
      <c r="AN127" s="92"/>
      <c r="AO127" s="57"/>
      <c r="AP127" s="78"/>
      <c r="AQ127" s="78"/>
      <c r="AR127" s="78"/>
      <c r="AS127" s="78"/>
      <c r="AT127" s="78"/>
      <c r="AU127" s="57"/>
      <c r="AV127" s="76"/>
      <c r="AW127" s="78"/>
      <c r="AX127" s="57"/>
      <c r="AY127" s="56"/>
      <c r="AZ127" s="53"/>
      <c r="BA127" s="53"/>
      <c r="BB127" s="53"/>
      <c r="BC127" s="53"/>
      <c r="BD127" s="237"/>
      <c r="BE127" s="184"/>
      <c r="BF127" s="110"/>
      <c r="BG127" s="110"/>
      <c r="BH127" s="97"/>
      <c r="BI127" s="204"/>
      <c r="BJ127" s="99"/>
      <c r="BK127" s="99"/>
      <c r="BL127" s="204"/>
      <c r="BM127" s="99"/>
      <c r="BN127" s="161"/>
      <c r="BO127" s="203"/>
      <c r="BP127" s="161"/>
      <c r="BQ127" s="161"/>
      <c r="BR127" s="299"/>
      <c r="BS127" s="298"/>
      <c r="BT127" s="298"/>
      <c r="BU127" s="298"/>
      <c r="BV127" s="298"/>
      <c r="BW127" s="672"/>
      <c r="BX127" s="672"/>
      <c r="BY127" s="672"/>
      <c r="BZ127" s="824"/>
      <c r="CA127" s="832"/>
      <c r="CB127" s="826"/>
      <c r="CC127" s="826"/>
      <c r="CD127" s="826"/>
      <c r="CE127" s="826"/>
      <c r="CF127" s="819"/>
      <c r="CG127" s="819"/>
      <c r="CH127" s="819"/>
      <c r="CI127" s="819"/>
      <c r="CJ127" s="819"/>
      <c r="CK127" s="819"/>
      <c r="CL127" s="819"/>
      <c r="CM127" s="819"/>
      <c r="CN127" s="819"/>
      <c r="CO127" s="819"/>
      <c r="CP127" s="819"/>
      <c r="CQ127" s="819"/>
      <c r="CR127" s="819"/>
      <c r="CS127" s="159"/>
      <c r="CT127" s="250"/>
      <c r="CU127" s="250"/>
      <c r="CV127" s="158"/>
      <c r="CW127" s="250"/>
      <c r="CX127" s="250"/>
      <c r="CY127" s="250"/>
      <c r="CZ127" s="250"/>
      <c r="DA127" s="598"/>
      <c r="DB127" s="540"/>
      <c r="DC127" s="543"/>
      <c r="DD127" s="543"/>
      <c r="DE127" s="545"/>
      <c r="DF127" s="543"/>
      <c r="DG127" s="543"/>
      <c r="DH127" s="545"/>
      <c r="DI127" s="543"/>
      <c r="DJ127" s="543"/>
      <c r="DK127" s="545"/>
      <c r="DL127" s="543"/>
      <c r="DM127" s="543"/>
      <c r="DN127" s="545"/>
      <c r="DO127" s="546"/>
      <c r="DP127" s="547"/>
      <c r="DQ127" s="545"/>
      <c r="DR127" s="451"/>
      <c r="DS127" s="548"/>
      <c r="DT127" s="527"/>
      <c r="DU127" s="528"/>
      <c r="DV127" s="529"/>
      <c r="DW127" s="527"/>
      <c r="DX127" s="686"/>
      <c r="DY127" s="344"/>
      <c r="DZ127" s="442"/>
      <c r="EA127" s="529"/>
      <c r="EB127" s="687"/>
      <c r="EC127" s="241"/>
      <c r="ED127" s="527"/>
      <c r="EE127" s="533"/>
      <c r="EF127" s="529"/>
      <c r="EG127" s="527"/>
      <c r="EH127" s="551"/>
      <c r="EI127" s="530"/>
      <c r="EJ127" s="531"/>
      <c r="EK127" s="532"/>
      <c r="EL127" s="529"/>
      <c r="EM127" s="527"/>
      <c r="EN127" s="533"/>
      <c r="EO127" s="529"/>
      <c r="EP127" s="533"/>
      <c r="EQ127" s="533"/>
      <c r="ER127" s="529"/>
      <c r="ES127" s="533"/>
      <c r="ET127" s="533"/>
      <c r="EU127" s="529"/>
      <c r="EV127" s="533"/>
      <c r="EW127" s="533"/>
      <c r="EX127" s="529"/>
      <c r="EY127" s="533"/>
      <c r="EZ127" s="533"/>
      <c r="FA127" s="533"/>
      <c r="FB127" s="731"/>
      <c r="FC127" s="730"/>
      <c r="FD127" s="727"/>
      <c r="FE127" s="573"/>
      <c r="FF127" s="242"/>
      <c r="FG127" s="242"/>
      <c r="FH127" s="186"/>
      <c r="FI127" s="461"/>
      <c r="FJ127" s="571"/>
      <c r="FK127" s="730"/>
      <c r="FL127" s="574"/>
      <c r="FM127" s="724"/>
      <c r="FN127" s="700"/>
      <c r="FO127" s="246"/>
      <c r="FP127" s="117"/>
      <c r="FQ127" s="556"/>
      <c r="FR127" s="556"/>
      <c r="FS127" s="556"/>
      <c r="FT127" s="556"/>
      <c r="FU127" s="556"/>
      <c r="FV127" s="749"/>
      <c r="FW127" s="553"/>
      <c r="FX127" s="566"/>
      <c r="FY127" s="553"/>
      <c r="FZ127" s="553"/>
      <c r="GA127" s="121"/>
      <c r="GB127" s="121"/>
      <c r="GC127" s="121"/>
      <c r="GD127" s="121"/>
      <c r="GE127" s="121"/>
      <c r="GF127" s="53"/>
      <c r="GG127" s="280"/>
      <c r="GH127" s="280"/>
      <c r="GI127" s="53"/>
      <c r="GJ127" s="53"/>
      <c r="GK127" s="53"/>
      <c r="GL127" s="53"/>
      <c r="GM127" s="53"/>
      <c r="GN127" s="53"/>
      <c r="GO127" s="53"/>
      <c r="GP127" s="53"/>
      <c r="GQ127" s="53"/>
      <c r="GR127" s="53"/>
      <c r="GS127" s="53"/>
      <c r="GT127" s="53"/>
      <c r="GU127" s="53"/>
      <c r="GV127" s="112"/>
      <c r="GW127" s="112"/>
      <c r="GX127" s="93"/>
      <c r="GY127" s="67"/>
      <c r="GZ127" s="67"/>
      <c r="HA127" s="94"/>
      <c r="HB127" s="49"/>
      <c r="HC127" s="49"/>
      <c r="HD127" s="93"/>
      <c r="HE127" s="67"/>
      <c r="HF127" s="94"/>
      <c r="HG127" s="128"/>
      <c r="HH127" s="129"/>
      <c r="HI127" s="93"/>
      <c r="HJ127" s="67"/>
      <c r="HK127" s="67"/>
      <c r="HL127" s="23"/>
      <c r="HM127" s="95"/>
      <c r="HN127" s="93"/>
      <c r="HO127" s="67"/>
      <c r="HP127" s="87"/>
      <c r="HQ127" s="87"/>
      <c r="HR127" s="95"/>
      <c r="HS127" s="630"/>
      <c r="HT127" s="67"/>
      <c r="HU127" s="287"/>
      <c r="HV127" s="67"/>
      <c r="HW127" s="67"/>
      <c r="HX127" s="40"/>
      <c r="HY127" s="93"/>
      <c r="HZ127" s="67"/>
      <c r="IA127" s="89"/>
      <c r="IB127" s="23"/>
      <c r="IC127" s="81"/>
      <c r="ID127" s="89"/>
      <c r="IE127" s="90"/>
      <c r="IF127" s="90"/>
      <c r="IG127" s="91"/>
      <c r="IH127" s="91"/>
      <c r="II127" s="49"/>
      <c r="IJ127" s="91"/>
      <c r="IK127" s="49"/>
      <c r="IL127" s="50"/>
      <c r="IM127" s="91"/>
      <c r="IN127" s="91"/>
      <c r="IO127" s="67"/>
      <c r="IP127" s="41"/>
      <c r="IQ127" s="231"/>
      <c r="IR127" s="231"/>
      <c r="IS127" s="113"/>
      <c r="IT127" s="314"/>
      <c r="IU127" s="314"/>
      <c r="IV127" s="239"/>
      <c r="IW127" s="239"/>
      <c r="IX127" s="330"/>
      <c r="IY127" s="236"/>
      <c r="IZ127" s="331"/>
      <c r="JA127" s="236"/>
      <c r="JB127" s="331"/>
      <c r="JC127" s="291"/>
      <c r="JD127" s="332"/>
      <c r="JE127" s="328"/>
      <c r="JF127" s="328"/>
      <c r="JG127" s="194"/>
      <c r="JH127" s="330"/>
      <c r="JI127" s="194"/>
      <c r="JJ127" s="330"/>
      <c r="JK127" s="291"/>
      <c r="JL127" s="291"/>
      <c r="JM127" s="291"/>
      <c r="JN127" s="291"/>
      <c r="JO127" s="269"/>
      <c r="JP127" s="269"/>
      <c r="JQ127" s="269"/>
      <c r="JR127" s="269"/>
      <c r="JS127" s="269"/>
      <c r="JT127" s="269"/>
      <c r="JU127" s="330"/>
      <c r="JV127" s="329"/>
      <c r="JW127" s="291"/>
      <c r="JX127" s="329"/>
      <c r="JY127" s="329"/>
      <c r="JZ127" s="291"/>
    </row>
    <row r="128" spans="1:286" s="5" customFormat="1" ht="18" customHeight="1">
      <c r="A128" s="131"/>
      <c r="B128" s="131"/>
      <c r="C128" s="131"/>
      <c r="D128" s="131"/>
      <c r="E128" s="131"/>
      <c r="F128" s="131"/>
      <c r="G128" s="131"/>
      <c r="H128" s="131"/>
      <c r="I128" s="131"/>
      <c r="J128" s="131"/>
      <c r="K128" s="131"/>
      <c r="L128" s="309"/>
      <c r="M128" s="195"/>
      <c r="N128" s="195"/>
      <c r="O128" s="195"/>
      <c r="P128" s="131"/>
      <c r="Q128" s="131"/>
      <c r="R128" s="131"/>
      <c r="S128" s="131"/>
      <c r="T128" s="131"/>
      <c r="U128" s="132"/>
      <c r="V128" s="131"/>
      <c r="W128" s="61"/>
      <c r="X128" s="131"/>
      <c r="Y128" s="131"/>
      <c r="Z128" s="131"/>
      <c r="AA128" s="131"/>
      <c r="AB128" s="131"/>
      <c r="AC128" s="131"/>
      <c r="AD128" s="131"/>
      <c r="AG128" s="17">
        <f>SUM(AG2:AG127)</f>
        <v>987</v>
      </c>
      <c r="AH128" s="17">
        <f>SUM(AH2:AH127)</f>
        <v>2687</v>
      </c>
      <c r="AI128" s="17">
        <f>SUM(AI2:AI127)</f>
        <v>620</v>
      </c>
      <c r="AJ128" s="17">
        <f>SUM(AJ2:AJ127)</f>
        <v>650</v>
      </c>
      <c r="AK128" s="808"/>
      <c r="AL128" s="131"/>
      <c r="AM128" s="131"/>
      <c r="AN128" s="131"/>
      <c r="AO128" s="131"/>
      <c r="AP128" s="131"/>
      <c r="AQ128" s="131"/>
      <c r="AR128" s="131"/>
      <c r="AS128" s="131"/>
      <c r="AT128" s="131"/>
      <c r="AU128" s="131"/>
      <c r="AV128" s="133"/>
      <c r="AW128" s="80"/>
      <c r="AX128" s="131"/>
      <c r="AY128" s="131"/>
      <c r="AZ128" s="131"/>
      <c r="BA128" s="131"/>
      <c r="BB128" s="131"/>
      <c r="BC128" s="131"/>
      <c r="BD128" s="131"/>
      <c r="BE128" s="131"/>
      <c r="BF128" s="169"/>
      <c r="BG128" s="169"/>
      <c r="BH128" s="2"/>
      <c r="BI128" s="2"/>
      <c r="BJ128" s="2"/>
      <c r="BK128" s="170"/>
      <c r="BL128" s="170"/>
      <c r="BM128" s="170"/>
      <c r="BN128" s="171"/>
      <c r="BO128" s="171"/>
      <c r="BP128" s="171"/>
      <c r="BQ128" s="171"/>
      <c r="BR128" s="171"/>
      <c r="BS128" s="171"/>
      <c r="BT128" s="171"/>
      <c r="BU128" s="171"/>
      <c r="BV128" s="171"/>
      <c r="BW128" s="171"/>
      <c r="BX128" s="171"/>
      <c r="BY128" s="171"/>
      <c r="BZ128" s="171"/>
      <c r="CA128" s="171"/>
      <c r="CB128" s="172"/>
      <c r="CC128" s="172"/>
      <c r="CD128" s="172"/>
      <c r="CE128" s="172"/>
      <c r="CF128" s="173"/>
      <c r="CG128" s="173"/>
      <c r="CH128" s="173"/>
      <c r="CI128" s="173"/>
      <c r="CJ128" s="173"/>
      <c r="CK128" s="173"/>
      <c r="CL128" s="173"/>
      <c r="CM128" s="173"/>
      <c r="CN128" s="173"/>
      <c r="CO128" s="173"/>
      <c r="CP128" s="173"/>
      <c r="CQ128" s="173"/>
      <c r="CR128" s="173"/>
      <c r="CS128" s="174"/>
      <c r="CT128" s="219"/>
      <c r="CU128" s="219"/>
      <c r="CV128" s="175"/>
      <c r="CW128" s="175"/>
      <c r="CX128" s="175"/>
      <c r="CY128" s="175"/>
      <c r="CZ128" s="175"/>
      <c r="DA128" s="592"/>
      <c r="DG128" s="560"/>
      <c r="DR128" s="131"/>
      <c r="DX128" s="131"/>
      <c r="DY128" s="131"/>
      <c r="DZ128" s="131"/>
      <c r="EB128" s="226"/>
      <c r="EC128" s="131"/>
      <c r="EG128" s="14"/>
      <c r="EH128" s="14"/>
      <c r="EI128" s="14"/>
      <c r="EJ128" s="14"/>
      <c r="EK128" s="14"/>
      <c r="ET128" s="14"/>
      <c r="EU128" s="14"/>
      <c r="EV128" s="14"/>
      <c r="EW128" s="14"/>
      <c r="EX128" s="14"/>
      <c r="EY128" s="14"/>
      <c r="EZ128" s="14"/>
      <c r="FA128" s="14"/>
      <c r="FB128" s="131"/>
      <c r="FC128" s="131"/>
      <c r="FD128" s="131"/>
      <c r="FE128" s="131"/>
      <c r="FF128" s="131"/>
      <c r="FG128" s="131"/>
      <c r="FH128" s="131"/>
      <c r="FI128" s="131"/>
      <c r="FJ128" s="131"/>
      <c r="FK128" s="131"/>
      <c r="FL128" s="335"/>
      <c r="FM128" s="131"/>
      <c r="FN128" s="131"/>
      <c r="FO128" s="131"/>
      <c r="FP128" s="131"/>
      <c r="FQ128" s="584"/>
      <c r="FR128" s="584"/>
      <c r="FS128" s="584"/>
      <c r="FT128" s="584"/>
      <c r="FU128" s="584"/>
      <c r="FV128" s="584"/>
      <c r="FX128" s="578"/>
      <c r="GA128" s="131"/>
      <c r="GB128" s="131"/>
      <c r="GC128" s="131"/>
      <c r="GD128" s="131"/>
      <c r="GE128" s="131"/>
      <c r="GF128" s="131"/>
      <c r="GG128" s="131"/>
      <c r="GH128" s="131"/>
      <c r="GI128" s="131"/>
      <c r="GJ128" s="131"/>
      <c r="GK128" s="131"/>
      <c r="GL128" s="131"/>
      <c r="GM128" s="131"/>
      <c r="GN128" s="131"/>
      <c r="GO128" s="131"/>
      <c r="GP128" s="131"/>
      <c r="GQ128" s="131"/>
      <c r="GR128" s="131"/>
      <c r="GS128" s="131"/>
      <c r="GT128" s="131"/>
      <c r="GU128" s="131"/>
      <c r="GV128" s="175"/>
      <c r="GW128" s="175"/>
      <c r="GX128" s="134">
        <f>SUM(Bdgt)</f>
        <v>373870514.3700006</v>
      </c>
      <c r="GY128" s="134" t="e">
        <f>SUM(GY2:GY127)</f>
        <v>#DIV/0!</v>
      </c>
      <c r="GZ128" s="134"/>
      <c r="HA128" s="135" t="e">
        <f>SUM(HA12:HD127)</f>
        <v>#DIV/0!</v>
      </c>
      <c r="HB128" s="134"/>
      <c r="HC128" s="134"/>
      <c r="HD128" s="134">
        <f>SUM(HD2:HD127)</f>
        <v>215802778.61681253</v>
      </c>
      <c r="HE128" s="134">
        <f>SUM(HE2:HE127)</f>
        <v>174981805.04301569</v>
      </c>
      <c r="HF128" s="134"/>
      <c r="HG128" s="134"/>
      <c r="HH128" s="134"/>
      <c r="HI128" s="134">
        <f>SUM(HI2:HI127)</f>
        <v>106630880.35260479</v>
      </c>
      <c r="HJ128" s="134">
        <f>SUM(HJ2:HJ127)</f>
        <v>104313273.02000001</v>
      </c>
      <c r="HK128" s="134"/>
      <c r="HL128" s="134"/>
      <c r="HM128" s="134">
        <f t="shared" ref="HM128:HR128" si="409">SUM(HM12:HM127)</f>
        <v>5981052.8772378135</v>
      </c>
      <c r="HN128" s="134">
        <f t="shared" si="409"/>
        <v>206134172.5586524</v>
      </c>
      <c r="HO128" s="134">
        <f t="shared" si="409"/>
        <v>185910350.66500002</v>
      </c>
      <c r="HP128" s="134" t="e">
        <f t="shared" si="409"/>
        <v>#DIV/0!</v>
      </c>
      <c r="HQ128" s="134">
        <f t="shared" si="409"/>
        <v>138392558.935</v>
      </c>
      <c r="HR128" s="134">
        <f t="shared" si="409"/>
        <v>-20069526.89365235</v>
      </c>
      <c r="HS128" s="632"/>
      <c r="HT128" s="134"/>
      <c r="HU128" s="134">
        <f>SUM(HU2:HU127)</f>
        <v>38677573</v>
      </c>
      <c r="HV128" s="134">
        <f>SUM(HV2:HV127)</f>
        <v>34747154</v>
      </c>
      <c r="HW128" s="134"/>
      <c r="HX128" s="134" t="e">
        <f>SUM(HX12:ID127)</f>
        <v>#DIV/0!</v>
      </c>
      <c r="HY128" s="134"/>
      <c r="HZ128" s="134">
        <f t="shared" ref="HZ128:IP128" si="410">SUM(HZ2:HZ127)</f>
        <v>5347051.7299999995</v>
      </c>
      <c r="IA128" s="134">
        <f t="shared" si="410"/>
        <v>-3569379</v>
      </c>
      <c r="IB128" s="134" t="e">
        <f t="shared" si="410"/>
        <v>#DIV/0!</v>
      </c>
      <c r="IC128" s="134" t="e">
        <f t="shared" si="410"/>
        <v>#DIV/0!</v>
      </c>
      <c r="ID128" s="134" t="e">
        <f t="shared" si="410"/>
        <v>#DIV/0!</v>
      </c>
      <c r="IE128" s="134">
        <f t="shared" si="410"/>
        <v>308.35000000000002</v>
      </c>
      <c r="IF128" s="134">
        <f t="shared" si="410"/>
        <v>163.75000000000006</v>
      </c>
      <c r="IG128" s="134">
        <f t="shared" si="410"/>
        <v>25175794.004462011</v>
      </c>
      <c r="IH128" s="134">
        <f t="shared" si="410"/>
        <v>12416145.386517435</v>
      </c>
      <c r="II128" s="134" t="e">
        <f t="shared" si="410"/>
        <v>#DIV/0!</v>
      </c>
      <c r="IJ128" s="134">
        <f t="shared" si="410"/>
        <v>3755073.9517225004</v>
      </c>
      <c r="IK128" s="134" t="e">
        <f t="shared" si="410"/>
        <v>#DIV/0!</v>
      </c>
      <c r="IL128" s="134" t="e">
        <f t="shared" si="410"/>
        <v>#DIV/0!</v>
      </c>
      <c r="IM128" s="134">
        <f t="shared" si="410"/>
        <v>5728763.6876999997</v>
      </c>
      <c r="IN128" s="134">
        <f t="shared" si="410"/>
        <v>0</v>
      </c>
      <c r="IO128" s="134">
        <f t="shared" si="410"/>
        <v>2311136.4</v>
      </c>
      <c r="IP128" s="134">
        <f t="shared" si="410"/>
        <v>414392929.77813101</v>
      </c>
    </row>
    <row r="129" spans="1:286" s="5" customFormat="1" ht="14.25" customHeight="1">
      <c r="A129" s="841"/>
      <c r="B129" s="841"/>
      <c r="C129" s="137"/>
      <c r="D129" s="137"/>
      <c r="E129" s="137"/>
      <c r="F129" s="137"/>
      <c r="G129" s="137"/>
      <c r="H129" s="137"/>
      <c r="I129" s="137"/>
      <c r="J129" s="137"/>
      <c r="K129" s="137"/>
      <c r="L129" s="310"/>
      <c r="M129" s="196"/>
      <c r="N129" s="196"/>
      <c r="O129" s="196"/>
      <c r="P129" s="137"/>
      <c r="Q129" s="137"/>
      <c r="R129" s="137"/>
      <c r="S129" s="137"/>
      <c r="T129" s="137"/>
      <c r="U129" s="136"/>
      <c r="V129" s="137"/>
      <c r="W129" s="137"/>
      <c r="X129" s="137"/>
      <c r="Y129" s="137"/>
      <c r="Z129" s="137"/>
      <c r="AA129" s="137"/>
      <c r="AB129" s="137"/>
      <c r="AC129" s="137"/>
      <c r="AG129" s="137"/>
      <c r="AH129" s="151"/>
      <c r="AI129" s="151"/>
      <c r="AJ129" s="151"/>
      <c r="AK129" s="808"/>
      <c r="AL129" s="137"/>
      <c r="AM129" s="137"/>
      <c r="AN129" s="137"/>
      <c r="AO129" s="137"/>
      <c r="AP129" s="137"/>
      <c r="AQ129" s="137"/>
      <c r="AR129" s="137"/>
      <c r="AS129" s="137"/>
      <c r="AT129" s="137"/>
      <c r="AU129" s="137"/>
      <c r="AV129" s="138"/>
      <c r="AW129" s="103"/>
      <c r="AX129" s="137"/>
      <c r="AY129" s="137"/>
      <c r="AZ129" s="137"/>
      <c r="BA129" s="137"/>
      <c r="BB129" s="137"/>
      <c r="BC129" s="137"/>
      <c r="BD129" s="137"/>
      <c r="BE129" s="137"/>
      <c r="BF129" s="176"/>
      <c r="BG129" s="176"/>
      <c r="BH129" s="176"/>
      <c r="BI129" s="176"/>
      <c r="BJ129" s="176"/>
      <c r="BK129" s="176"/>
      <c r="BL129" s="176"/>
      <c r="BM129" s="176"/>
      <c r="BN129" s="176"/>
      <c r="BO129" s="176"/>
      <c r="BP129" s="176"/>
      <c r="BQ129" s="176"/>
      <c r="BR129" s="176"/>
      <c r="BS129" s="176"/>
      <c r="BT129" s="176"/>
      <c r="BU129" s="176"/>
      <c r="BV129" s="176"/>
      <c r="BW129" s="176"/>
      <c r="BX129" s="176"/>
      <c r="BY129" s="176"/>
      <c r="BZ129" s="176"/>
      <c r="CA129" s="176"/>
      <c r="CB129" s="176"/>
      <c r="CC129" s="176"/>
      <c r="CD129" s="176"/>
      <c r="CE129" s="176"/>
      <c r="CF129" s="176"/>
      <c r="CG129" s="176"/>
      <c r="CH129" s="176"/>
      <c r="CI129" s="176"/>
      <c r="CJ129" s="176"/>
      <c r="CK129" s="176"/>
      <c r="CL129" s="176"/>
      <c r="CM129" s="176"/>
      <c r="CN129" s="176"/>
      <c r="CO129" s="176"/>
      <c r="CP129" s="176"/>
      <c r="CQ129" s="176"/>
      <c r="CR129" s="176"/>
      <c r="CS129" s="176"/>
      <c r="CT129" s="220"/>
      <c r="CU129" s="220"/>
      <c r="CV129" s="176"/>
      <c r="CW129" s="176"/>
      <c r="CX129" s="176"/>
      <c r="CY129" s="176"/>
      <c r="CZ129" s="176"/>
      <c r="DA129" s="593"/>
      <c r="DC129" s="560"/>
      <c r="DD129" s="560"/>
      <c r="DG129" s="560"/>
      <c r="DI129" s="560"/>
      <c r="DO129" s="560"/>
      <c r="DP129" s="560"/>
      <c r="DR129" s="137"/>
      <c r="DS129" s="560"/>
      <c r="DT129" s="560"/>
      <c r="DU129" s="560"/>
      <c r="DW129" s="560"/>
      <c r="DX129" s="137"/>
      <c r="DY129" s="137"/>
      <c r="DZ129" s="137"/>
      <c r="EB129" s="227"/>
      <c r="EC129" s="137"/>
      <c r="ED129" s="560"/>
      <c r="EE129" s="560"/>
      <c r="EG129" s="561"/>
      <c r="EH129" s="561"/>
      <c r="EI129" s="14"/>
      <c r="EJ129" s="561"/>
      <c r="EK129" s="561"/>
      <c r="EM129" s="560"/>
      <c r="EN129" s="560"/>
      <c r="EP129" s="560"/>
      <c r="EQ129" s="560"/>
      <c r="ES129" s="560"/>
      <c r="ET129" s="561"/>
      <c r="EU129" s="14"/>
      <c r="EV129" s="561"/>
      <c r="EW129" s="561"/>
      <c r="EX129" s="14"/>
      <c r="EY129" s="561"/>
      <c r="EZ129" s="561"/>
      <c r="FA129" s="561"/>
      <c r="FB129" s="137"/>
      <c r="FC129" s="137"/>
      <c r="FD129" s="137"/>
      <c r="FE129" s="137"/>
      <c r="FF129" s="137"/>
      <c r="FG129" s="137"/>
      <c r="FH129" s="137"/>
      <c r="FI129" s="137"/>
      <c r="FJ129" s="137"/>
      <c r="FK129" s="137"/>
      <c r="FL129" s="336"/>
      <c r="FM129" s="137"/>
      <c r="FN129" s="137"/>
      <c r="FO129" s="137"/>
      <c r="FP129" s="137"/>
      <c r="FQ129" s="584"/>
      <c r="FR129" s="584"/>
      <c r="FS129" s="584"/>
      <c r="FT129" s="584"/>
      <c r="FU129" s="584"/>
      <c r="FV129" s="584"/>
      <c r="FX129" s="578"/>
      <c r="FY129" s="578"/>
      <c r="GA129" s="137"/>
      <c r="GB129" s="137"/>
      <c r="GC129" s="137"/>
      <c r="GD129" s="137"/>
      <c r="GE129" s="137"/>
      <c r="GF129" s="137"/>
      <c r="GG129" s="137"/>
      <c r="GH129" s="137"/>
      <c r="GI129" s="137"/>
      <c r="GJ129" s="137"/>
      <c r="GK129" s="137"/>
      <c r="GL129" s="137"/>
      <c r="GM129" s="137"/>
      <c r="GN129" s="137"/>
      <c r="GO129" s="137"/>
      <c r="GP129" s="137"/>
      <c r="GQ129" s="137"/>
      <c r="GR129" s="137"/>
      <c r="GS129" s="137"/>
      <c r="GT129" s="137"/>
      <c r="GU129" s="137"/>
      <c r="GV129" s="176"/>
      <c r="GW129" s="607"/>
      <c r="GX129" s="134"/>
      <c r="GY129" s="137"/>
      <c r="GZ129" s="137"/>
      <c r="HA129" s="136"/>
      <c r="HB129" s="137"/>
      <c r="HC129" s="137"/>
      <c r="HD129" s="137"/>
      <c r="HE129" s="137"/>
      <c r="HF129" s="137"/>
      <c r="HG129" s="137"/>
      <c r="HH129" s="137"/>
      <c r="HI129" s="137"/>
      <c r="HJ129" s="137"/>
      <c r="HK129" s="137"/>
      <c r="HL129" s="137"/>
      <c r="HM129" s="137"/>
      <c r="HN129" s="137"/>
      <c r="HO129" s="137"/>
      <c r="HP129" s="137"/>
      <c r="HQ129" s="137"/>
      <c r="HR129" s="137"/>
      <c r="HS129" s="632"/>
      <c r="HT129" s="137"/>
      <c r="HU129" s="137"/>
      <c r="HV129" s="137"/>
      <c r="HW129" s="137"/>
      <c r="HX129" s="137"/>
      <c r="HY129" s="137"/>
      <c r="HZ129" s="137"/>
      <c r="IA129" s="137"/>
      <c r="IB129" s="137"/>
      <c r="IC129" s="137"/>
      <c r="ID129" s="137"/>
      <c r="IE129" s="137"/>
      <c r="IF129" s="137"/>
      <c r="IG129" s="139"/>
      <c r="IH129" s="139"/>
      <c r="II129" s="139"/>
      <c r="IJ129" s="139"/>
      <c r="IK129" s="139"/>
      <c r="IL129" s="139"/>
      <c r="IM129" s="136"/>
      <c r="IN129" s="139"/>
      <c r="IO129" s="139"/>
      <c r="IP129" s="139"/>
    </row>
    <row r="130" spans="1:286" s="5" customFormat="1" ht="19.5" customHeight="1" thickBot="1">
      <c r="A130" s="842"/>
      <c r="B130" s="842"/>
      <c r="F130" s="14"/>
      <c r="G130" s="14"/>
      <c r="H130" s="14"/>
      <c r="I130" s="14"/>
      <c r="J130" s="14"/>
      <c r="K130" s="14"/>
      <c r="L130" s="311"/>
      <c r="M130" s="197"/>
      <c r="N130" s="197"/>
      <c r="O130" s="197"/>
      <c r="P130" s="5">
        <f>30*160000</f>
        <v>4800000</v>
      </c>
      <c r="R130" s="5">
        <v>266707</v>
      </c>
      <c r="U130" s="14"/>
      <c r="W130" s="5">
        <v>485075</v>
      </c>
      <c r="X130" s="5">
        <v>2860</v>
      </c>
      <c r="Y130" s="5">
        <f>W130/X130</f>
        <v>169.60664335664336</v>
      </c>
      <c r="AD130" s="228"/>
      <c r="AH130" s="151"/>
      <c r="AI130" s="151"/>
      <c r="AJ130" s="151"/>
      <c r="AK130" s="808"/>
      <c r="AN130" s="251"/>
      <c r="AP130" s="140"/>
      <c r="AQ130" s="140"/>
      <c r="AR130" s="140"/>
      <c r="AS130" s="140"/>
      <c r="AT130" s="140"/>
      <c r="AV130" s="141"/>
      <c r="AW130" s="45"/>
      <c r="BF130" s="177"/>
      <c r="BG130" s="178"/>
      <c r="BH130" s="177"/>
      <c r="BI130" s="178"/>
      <c r="BJ130" s="178"/>
      <c r="BK130" s="177"/>
      <c r="BL130" s="177"/>
      <c r="BM130" s="177"/>
      <c r="BN130" s="177"/>
      <c r="BO130" s="177"/>
      <c r="BP130" s="177"/>
      <c r="BQ130" s="177"/>
      <c r="BR130" s="177"/>
      <c r="BS130" s="177"/>
      <c r="BT130" s="177"/>
      <c r="BU130" s="177"/>
      <c r="BV130" s="177"/>
      <c r="BW130" s="177"/>
      <c r="BX130" s="177"/>
      <c r="BY130" s="177"/>
      <c r="BZ130" s="177"/>
      <c r="CA130" s="177"/>
      <c r="CB130" s="177"/>
      <c r="CC130" s="177"/>
      <c r="CD130" s="177"/>
      <c r="CE130" s="177"/>
      <c r="CF130" s="177"/>
      <c r="CG130" s="177"/>
      <c r="CH130" s="177"/>
      <c r="CI130" s="177"/>
      <c r="CJ130" s="177"/>
      <c r="CK130" s="177"/>
      <c r="CL130" s="177"/>
      <c r="CM130" s="177"/>
      <c r="CN130" s="177"/>
      <c r="CO130" s="177"/>
      <c r="CP130" s="177"/>
      <c r="CQ130" s="177"/>
      <c r="CR130" s="177"/>
      <c r="CS130" s="177"/>
      <c r="CT130" s="221"/>
      <c r="CU130" s="221"/>
      <c r="CV130" s="177"/>
      <c r="CW130" s="177"/>
      <c r="CX130" s="177"/>
      <c r="CY130" s="177"/>
      <c r="CZ130" s="177"/>
      <c r="DA130" s="594"/>
      <c r="DC130" s="560"/>
      <c r="DD130" s="560"/>
      <c r="DE130" s="283"/>
      <c r="DG130" s="560"/>
      <c r="DI130" s="560"/>
      <c r="DO130" s="560"/>
      <c r="DP130" s="560"/>
      <c r="DS130" s="560"/>
      <c r="DT130" s="560"/>
      <c r="DU130" s="560"/>
      <c r="DW130" s="560"/>
      <c r="EB130" s="228"/>
      <c r="ED130" s="560"/>
      <c r="EE130" s="560"/>
      <c r="EF130" s="283"/>
      <c r="EG130" s="561"/>
      <c r="EH130" s="561"/>
      <c r="EI130" s="14"/>
      <c r="EJ130" s="561"/>
      <c r="EK130" s="561"/>
      <c r="EM130" s="560"/>
      <c r="EN130" s="560"/>
      <c r="EP130" s="560"/>
      <c r="EQ130" s="560"/>
      <c r="ES130" s="560"/>
      <c r="ET130" s="561"/>
      <c r="EU130" s="14"/>
      <c r="EV130" s="561"/>
      <c r="EW130" s="561"/>
      <c r="EX130" s="14"/>
      <c r="EY130" s="561"/>
      <c r="EZ130" s="561"/>
      <c r="FA130" s="561"/>
      <c r="FL130" s="337"/>
      <c r="FQ130" s="584"/>
      <c r="FR130" s="584"/>
      <c r="FS130" s="584"/>
      <c r="FT130" s="584"/>
      <c r="FU130" s="584"/>
      <c r="FV130" s="584"/>
      <c r="FX130" s="578"/>
      <c r="FY130" s="578"/>
      <c r="GV130" s="177"/>
      <c r="GW130" s="608"/>
      <c r="HA130" s="14"/>
      <c r="HO130" s="5" t="s">
        <v>371</v>
      </c>
      <c r="HQ130" s="5" t="s">
        <v>171</v>
      </c>
      <c r="HS130" s="633"/>
      <c r="IM130" s="14"/>
      <c r="IP130" s="252"/>
    </row>
    <row r="131" spans="1:286" s="873" customFormat="1" ht="15.75" thickBot="1">
      <c r="A131" s="865"/>
      <c r="B131" s="865"/>
      <c r="C131" s="739"/>
      <c r="D131" s="866"/>
      <c r="E131" s="739"/>
      <c r="F131" s="739"/>
      <c r="G131" s="739"/>
      <c r="H131" s="739"/>
      <c r="I131" s="739"/>
      <c r="J131" s="739"/>
      <c r="K131" s="739"/>
      <c r="L131" s="867"/>
      <c r="M131" s="868"/>
      <c r="N131" s="868"/>
      <c r="O131" s="868"/>
      <c r="P131" s="866"/>
      <c r="Q131" s="866"/>
      <c r="R131" s="866"/>
      <c r="S131" s="866"/>
      <c r="T131" s="866"/>
      <c r="U131" s="866"/>
      <c r="V131" s="866"/>
      <c r="W131" s="866"/>
      <c r="X131" s="866">
        <f>X130*60</f>
        <v>171600</v>
      </c>
      <c r="Y131" s="866"/>
      <c r="Z131" s="866"/>
      <c r="AA131" s="866"/>
      <c r="AB131" s="866"/>
      <c r="AC131" s="866"/>
      <c r="AD131" s="899">
        <f>SUBTOTAL(3,Type)</f>
        <v>126</v>
      </c>
      <c r="AE131" s="899">
        <f>SUBTOTAL(9,AE2:AE127)</f>
        <v>4919</v>
      </c>
      <c r="AF131" s="676"/>
      <c r="AG131" s="676">
        <f t="shared" ref="AG131:BA131" si="411">SUBTOTAL(9,AG2:AG127)</f>
        <v>987</v>
      </c>
      <c r="AH131" s="676">
        <f t="shared" si="411"/>
        <v>2687</v>
      </c>
      <c r="AI131" s="676">
        <f t="shared" si="411"/>
        <v>620</v>
      </c>
      <c r="AJ131" s="676">
        <f t="shared" si="411"/>
        <v>650</v>
      </c>
      <c r="AK131" s="676">
        <f t="shared" si="411"/>
        <v>39850.655000000006</v>
      </c>
      <c r="AL131" s="676">
        <f t="shared" si="411"/>
        <v>190291.663</v>
      </c>
      <c r="AM131" s="676">
        <f t="shared" si="411"/>
        <v>50164.254999999997</v>
      </c>
      <c r="AN131" s="676">
        <f t="shared" si="411"/>
        <v>187164.23447368422</v>
      </c>
      <c r="AO131" s="676" t="e">
        <f t="shared" si="411"/>
        <v>#DIV/0!</v>
      </c>
      <c r="AP131" s="676">
        <f t="shared" si="411"/>
        <v>2.8325081978938482</v>
      </c>
      <c r="AQ131" s="676">
        <f t="shared" si="411"/>
        <v>19.207761846383274</v>
      </c>
      <c r="AR131" s="676">
        <f t="shared" si="411"/>
        <v>21.058507762642257</v>
      </c>
      <c r="AS131" s="676">
        <f t="shared" si="411"/>
        <v>17.078388160717232</v>
      </c>
      <c r="AT131" s="676">
        <f t="shared" si="411"/>
        <v>4.0649527907979364</v>
      </c>
      <c r="AU131" s="676">
        <f t="shared" si="411"/>
        <v>36475.32</v>
      </c>
      <c r="AV131" s="676">
        <f t="shared" si="411"/>
        <v>5880.16</v>
      </c>
      <c r="AW131" s="676" t="e">
        <f t="shared" si="411"/>
        <v>#VALUE!</v>
      </c>
      <c r="AX131" s="676">
        <f t="shared" si="411"/>
        <v>151.5</v>
      </c>
      <c r="AY131" s="676">
        <f t="shared" si="411"/>
        <v>0</v>
      </c>
      <c r="AZ131" s="676">
        <f t="shared" si="411"/>
        <v>0</v>
      </c>
      <c r="BA131" s="676">
        <f t="shared" si="411"/>
        <v>100724408.81020856</v>
      </c>
      <c r="BB131" s="800"/>
      <c r="BC131" s="869"/>
      <c r="BD131" s="869"/>
      <c r="BE131" s="869"/>
      <c r="BF131" s="869"/>
      <c r="BG131" s="870"/>
      <c r="BH131" s="869"/>
      <c r="BI131" s="870"/>
      <c r="BJ131" s="870"/>
      <c r="BK131" s="870"/>
      <c r="BL131" s="870"/>
      <c r="BM131" s="676">
        <f>SUBTOTAL(9,BM2:BM127)</f>
        <v>383108</v>
      </c>
      <c r="BN131" s="869"/>
      <c r="BO131" s="869"/>
      <c r="BP131" s="676">
        <f>SUBTOTAL(9,BP2:BP127)</f>
        <v>2397916</v>
      </c>
      <c r="BQ131" s="676">
        <f>SUBTOTAL(9,BQ2:BQ127)</f>
        <v>981261</v>
      </c>
      <c r="BR131" s="869"/>
      <c r="BS131" s="869"/>
      <c r="BT131" s="676">
        <f t="shared" ref="BT131:BY131" si="412">SUBTOTAL(9,BT2:BT127)</f>
        <v>2959687</v>
      </c>
      <c r="BU131" s="676">
        <f t="shared" si="412"/>
        <v>1485591.35</v>
      </c>
      <c r="BV131" s="676">
        <f t="shared" si="412"/>
        <v>0</v>
      </c>
      <c r="BW131" s="676" t="e">
        <f t="shared" si="412"/>
        <v>#NUM!</v>
      </c>
      <c r="BX131" s="676" t="e">
        <f t="shared" si="412"/>
        <v>#NUM!</v>
      </c>
      <c r="BY131" s="676" t="e">
        <f t="shared" si="412"/>
        <v>#NUM!</v>
      </c>
      <c r="BZ131" s="869"/>
      <c r="CA131" s="869"/>
      <c r="CB131" s="869"/>
      <c r="CC131" s="869"/>
      <c r="CD131" s="869"/>
      <c r="CE131" s="869"/>
      <c r="CF131" s="869"/>
      <c r="CG131" s="869"/>
      <c r="CH131" s="869"/>
      <c r="CI131" s="869"/>
      <c r="CJ131" s="869"/>
      <c r="CK131" s="869"/>
      <c r="CL131" s="869"/>
      <c r="CM131" s="869"/>
      <c r="CN131" s="869"/>
      <c r="CO131" s="869"/>
      <c r="CP131" s="869"/>
      <c r="CQ131" s="869"/>
      <c r="CR131" s="869"/>
      <c r="CS131" s="869"/>
      <c r="CT131" s="676">
        <f t="shared" ref="CT131:DW131" si="413">SUBTOTAL(9,CT2:CT127)</f>
        <v>1841017</v>
      </c>
      <c r="CU131" s="676">
        <f t="shared" si="413"/>
        <v>42548</v>
      </c>
      <c r="CV131" s="676">
        <f t="shared" si="413"/>
        <v>248382840.64444664</v>
      </c>
      <c r="CW131" s="676">
        <f t="shared" si="413"/>
        <v>1569484</v>
      </c>
      <c r="CX131" s="676">
        <f t="shared" si="413"/>
        <v>1493110</v>
      </c>
      <c r="CY131" s="676">
        <f t="shared" si="413"/>
        <v>1852805</v>
      </c>
      <c r="CZ131" s="676">
        <f t="shared" si="413"/>
        <v>1704153</v>
      </c>
      <c r="DA131" s="676" t="e">
        <f t="shared" si="413"/>
        <v>#NUM!</v>
      </c>
      <c r="DB131" s="676">
        <f t="shared" si="413"/>
        <v>1480081</v>
      </c>
      <c r="DC131" s="676">
        <f t="shared" si="413"/>
        <v>1137733</v>
      </c>
      <c r="DD131" s="676">
        <f t="shared" si="413"/>
        <v>1095227</v>
      </c>
      <c r="DE131" s="676">
        <f t="shared" si="413"/>
        <v>645</v>
      </c>
      <c r="DF131" s="676">
        <f t="shared" si="413"/>
        <v>1826417</v>
      </c>
      <c r="DG131" s="676">
        <f t="shared" ca="1" si="413"/>
        <v>1829250</v>
      </c>
      <c r="DH131" s="676">
        <f t="shared" ca="1" si="413"/>
        <v>2802</v>
      </c>
      <c r="DI131" s="676">
        <f t="shared" si="413"/>
        <v>1571089</v>
      </c>
      <c r="DJ131" s="676">
        <f t="shared" ca="1" si="413"/>
        <v>1574798</v>
      </c>
      <c r="DK131" s="676">
        <f t="shared" ca="1" si="413"/>
        <v>3709</v>
      </c>
      <c r="DL131" s="676">
        <f t="shared" si="413"/>
        <v>1574499</v>
      </c>
      <c r="DM131" s="676">
        <f t="shared" ca="1" si="413"/>
        <v>1582433</v>
      </c>
      <c r="DN131" s="676">
        <f t="shared" ca="1" si="413"/>
        <v>7934</v>
      </c>
      <c r="DO131" s="676">
        <f t="shared" si="413"/>
        <v>1538639</v>
      </c>
      <c r="DP131" s="676">
        <f t="shared" ca="1" si="413"/>
        <v>1587996</v>
      </c>
      <c r="DQ131" s="676">
        <f t="shared" ca="1" si="413"/>
        <v>5568</v>
      </c>
      <c r="DR131" s="676">
        <f t="shared" si="413"/>
        <v>0</v>
      </c>
      <c r="DS131" s="676">
        <f t="shared" si="413"/>
        <v>1158013</v>
      </c>
      <c r="DT131" s="676">
        <f t="shared" si="413"/>
        <v>1679215</v>
      </c>
      <c r="DU131" s="676">
        <f t="shared" ca="1" si="413"/>
        <v>1729908</v>
      </c>
      <c r="DV131" s="676">
        <f t="shared" ca="1" si="413"/>
        <v>7270</v>
      </c>
      <c r="DW131" s="676">
        <f t="shared" si="413"/>
        <v>1809757</v>
      </c>
      <c r="DX131" s="871">
        <f>24*160000</f>
        <v>3840000</v>
      </c>
      <c r="DY131" s="871"/>
      <c r="DZ131" s="871"/>
      <c r="EA131" s="871"/>
      <c r="EB131" s="871"/>
      <c r="EC131" s="871"/>
      <c r="ED131" s="871"/>
      <c r="EE131" s="871"/>
      <c r="EF131" s="872"/>
      <c r="EG131" s="739"/>
      <c r="EH131" s="739"/>
      <c r="EI131" s="739"/>
      <c r="EJ131" s="739"/>
      <c r="EK131" s="739"/>
      <c r="EL131" s="871"/>
      <c r="EM131" s="871"/>
      <c r="EN131" s="871"/>
      <c r="EO131" s="871"/>
      <c r="EP131" s="871"/>
      <c r="EQ131" s="871"/>
      <c r="ER131" s="871"/>
      <c r="ES131" s="871"/>
      <c r="ET131" s="739"/>
      <c r="EU131" s="739"/>
      <c r="EV131" s="739"/>
      <c r="EW131" s="739"/>
      <c r="EX131" s="739"/>
      <c r="EY131" s="739"/>
      <c r="EZ131" s="739"/>
      <c r="FA131" s="739"/>
      <c r="FB131" s="871"/>
      <c r="FC131" s="871"/>
      <c r="FD131" s="676">
        <f>SUBTOTAL(101,FD4:FD109)</f>
        <v>5.1088050314465505</v>
      </c>
      <c r="FE131" s="871"/>
      <c r="FF131" s="871"/>
      <c r="FG131" s="871"/>
      <c r="FH131" s="871"/>
      <c r="FI131" s="871"/>
      <c r="FJ131" s="800"/>
      <c r="FK131" s="871"/>
      <c r="FL131" s="871"/>
      <c r="FM131" s="676">
        <f>SUBTOTAL(101,FM4:FM109)</f>
        <v>5.7012578616352299</v>
      </c>
      <c r="FN131" s="871"/>
      <c r="FO131" s="676">
        <f>SUBTOTAL(9,FO2:FO127)</f>
        <v>6245051.546945652</v>
      </c>
      <c r="FP131" s="871"/>
      <c r="FQ131" s="676">
        <f t="shared" ref="FQ131:GV131" si="414">SUBTOTAL(9,FQ2:FQ127)</f>
        <v>1219021</v>
      </c>
      <c r="FR131" s="676">
        <f t="shared" si="414"/>
        <v>2492327.4</v>
      </c>
      <c r="FS131" s="676">
        <f t="shared" si="414"/>
        <v>2650230.7224799995</v>
      </c>
      <c r="FT131" s="676">
        <f t="shared" si="414"/>
        <v>382027.20999999996</v>
      </c>
      <c r="FU131" s="676">
        <f t="shared" si="414"/>
        <v>1860630.3582500003</v>
      </c>
      <c r="FV131" s="676" t="e">
        <f t="shared" si="414"/>
        <v>#DIV/0!</v>
      </c>
      <c r="FW131" s="676">
        <f t="shared" si="414"/>
        <v>0</v>
      </c>
      <c r="FX131" s="676">
        <f t="shared" si="414"/>
        <v>0</v>
      </c>
      <c r="FY131" s="676">
        <f t="shared" si="414"/>
        <v>0</v>
      </c>
      <c r="FZ131" s="676">
        <f t="shared" si="414"/>
        <v>0</v>
      </c>
      <c r="GA131" s="676">
        <f t="shared" si="414"/>
        <v>170427</v>
      </c>
      <c r="GB131" s="676">
        <f t="shared" si="414"/>
        <v>172345</v>
      </c>
      <c r="GC131" s="676">
        <f t="shared" si="414"/>
        <v>0</v>
      </c>
      <c r="GD131" s="676">
        <f t="shared" si="414"/>
        <v>42410</v>
      </c>
      <c r="GE131" s="676">
        <f t="shared" si="414"/>
        <v>726785</v>
      </c>
      <c r="GF131" s="676">
        <f t="shared" si="414"/>
        <v>470875</v>
      </c>
      <c r="GG131" s="676">
        <f t="shared" si="414"/>
        <v>4215564</v>
      </c>
      <c r="GH131" s="676">
        <f t="shared" si="414"/>
        <v>1936734.28</v>
      </c>
      <c r="GI131" s="676">
        <f t="shared" ca="1" si="414"/>
        <v>817034.16666666663</v>
      </c>
      <c r="GJ131" s="676">
        <f t="shared" si="414"/>
        <v>1070462.0666666667</v>
      </c>
      <c r="GK131" s="676">
        <f t="shared" si="414"/>
        <v>294579</v>
      </c>
      <c r="GL131" s="676">
        <f t="shared" si="414"/>
        <v>465393</v>
      </c>
      <c r="GM131" s="676">
        <f t="shared" si="414"/>
        <v>472584</v>
      </c>
      <c r="GN131" s="676">
        <f t="shared" si="414"/>
        <v>0</v>
      </c>
      <c r="GO131" s="676">
        <f t="shared" si="414"/>
        <v>299184</v>
      </c>
      <c r="GP131" s="676">
        <f t="shared" si="414"/>
        <v>554326</v>
      </c>
      <c r="GQ131" s="676">
        <f t="shared" si="414"/>
        <v>42851</v>
      </c>
      <c r="GR131" s="676">
        <f t="shared" si="414"/>
        <v>774753</v>
      </c>
      <c r="GS131" s="676">
        <f t="shared" si="414"/>
        <v>43139</v>
      </c>
      <c r="GT131" s="676">
        <f t="shared" si="414"/>
        <v>299112</v>
      </c>
      <c r="GU131" s="676">
        <f t="shared" si="414"/>
        <v>42424</v>
      </c>
      <c r="GV131" s="676">
        <f t="shared" si="414"/>
        <v>0</v>
      </c>
      <c r="GW131" s="676">
        <f t="shared" ref="GW131:HT131" si="415">SUBTOTAL(9,GW2:GW127)</f>
        <v>113972169.8</v>
      </c>
      <c r="GX131" s="676">
        <f t="shared" si="415"/>
        <v>381356840.3700006</v>
      </c>
      <c r="GY131" s="676" t="e">
        <f t="shared" si="415"/>
        <v>#DIV/0!</v>
      </c>
      <c r="GZ131" s="676">
        <f t="shared" si="415"/>
        <v>353352631.565</v>
      </c>
      <c r="HA131" s="676">
        <f t="shared" si="415"/>
        <v>-21145785.349632487</v>
      </c>
      <c r="HB131" s="676" t="e">
        <f t="shared" si="415"/>
        <v>#DIV/0!</v>
      </c>
      <c r="HC131" s="676" t="e">
        <f t="shared" si="415"/>
        <v>#DIV/0!</v>
      </c>
      <c r="HD131" s="676">
        <f t="shared" si="415"/>
        <v>215802778.61681253</v>
      </c>
      <c r="HE131" s="676">
        <f t="shared" si="415"/>
        <v>174981805.04301569</v>
      </c>
      <c r="HF131" s="676">
        <f t="shared" si="415"/>
        <v>-40820973.573796831</v>
      </c>
      <c r="HG131" s="676" t="e">
        <f t="shared" si="415"/>
        <v>#DIV/0!</v>
      </c>
      <c r="HH131" s="676">
        <f t="shared" si="415"/>
        <v>18.338704</v>
      </c>
      <c r="HI131" s="676">
        <f t="shared" si="415"/>
        <v>106630880.35260479</v>
      </c>
      <c r="HJ131" s="676">
        <f t="shared" si="415"/>
        <v>104313273.02000001</v>
      </c>
      <c r="HK131" s="676">
        <f t="shared" si="415"/>
        <v>17776462</v>
      </c>
      <c r="HL131" s="676" t="e">
        <f t="shared" si="415"/>
        <v>#DIV/0!</v>
      </c>
      <c r="HM131" s="676">
        <f t="shared" si="415"/>
        <v>5981052.8772378135</v>
      </c>
      <c r="HN131" s="676">
        <f t="shared" si="415"/>
        <v>226969737.5586524</v>
      </c>
      <c r="HO131" s="676">
        <f t="shared" si="415"/>
        <v>203361852.66500002</v>
      </c>
      <c r="HP131" s="676" t="e">
        <f t="shared" si="415"/>
        <v>#DIV/0!</v>
      </c>
      <c r="HQ131" s="676">
        <f t="shared" si="415"/>
        <v>153944454.93500003</v>
      </c>
      <c r="HR131" s="676">
        <f t="shared" si="415"/>
        <v>-20069526.89365235</v>
      </c>
      <c r="HS131" s="676" t="e">
        <f t="shared" si="415"/>
        <v>#DIV/0!</v>
      </c>
      <c r="HT131" s="676">
        <f t="shared" si="415"/>
        <v>2092960.17</v>
      </c>
      <c r="HU131" s="739"/>
      <c r="HV131" s="739"/>
      <c r="HW131" s="739"/>
      <c r="HX131" s="739"/>
      <c r="HY131" s="739"/>
      <c r="HZ131" s="739"/>
      <c r="IA131" s="739"/>
      <c r="IB131" s="739"/>
      <c r="IC131" s="739"/>
      <c r="ID131" s="739"/>
      <c r="IE131" s="739"/>
      <c r="IF131" s="739"/>
      <c r="IG131" s="739"/>
      <c r="IH131" s="739"/>
      <c r="II131" s="739"/>
      <c r="IJ131" s="739"/>
      <c r="IK131" s="739"/>
      <c r="IL131" s="739"/>
      <c r="IM131" s="739"/>
      <c r="IN131" s="739"/>
      <c r="IO131" s="739"/>
      <c r="IP131" s="739"/>
      <c r="IQ131" s="739"/>
      <c r="IR131" s="739"/>
      <c r="IS131" s="739"/>
      <c r="IT131" s="739"/>
      <c r="IU131" s="739"/>
      <c r="IV131" s="739"/>
      <c r="IW131" s="739"/>
      <c r="IX131" s="739"/>
      <c r="IY131" s="739"/>
      <c r="IZ131" s="739"/>
      <c r="JA131" s="739"/>
      <c r="JB131" s="739"/>
      <c r="JC131" s="739"/>
      <c r="JD131" s="739"/>
      <c r="JE131" s="739"/>
      <c r="JF131" s="739"/>
      <c r="JG131" s="739"/>
      <c r="JH131" s="739"/>
      <c r="JI131" s="739"/>
      <c r="JJ131" s="739"/>
      <c r="JK131" s="739"/>
      <c r="JL131" s="739"/>
      <c r="JM131" s="739"/>
      <c r="JN131" s="739"/>
      <c r="JO131" s="739"/>
      <c r="JP131" s="739"/>
      <c r="JQ131" s="739"/>
      <c r="JR131" s="739"/>
      <c r="JS131" s="739"/>
      <c r="JT131" s="739"/>
      <c r="JU131" s="739"/>
      <c r="JV131" s="739"/>
      <c r="JW131" s="739"/>
      <c r="JX131" s="739"/>
      <c r="JY131" s="739"/>
      <c r="JZ131" s="739"/>
    </row>
    <row r="132" spans="1:286" ht="15.75" thickBot="1">
      <c r="L132" s="311">
        <f>60*160000</f>
        <v>9600000</v>
      </c>
      <c r="S132" s="14">
        <v>520000</v>
      </c>
      <c r="T132" s="14">
        <v>2565</v>
      </c>
      <c r="U132" s="14">
        <f>S132/T132</f>
        <v>202.72904483430798</v>
      </c>
      <c r="AG132" s="27">
        <f t="shared" ref="AG132:AM132" si="416">SUBTOTAL(9,AG2:AG127)</f>
        <v>987</v>
      </c>
      <c r="AH132" s="27">
        <f t="shared" si="416"/>
        <v>2687</v>
      </c>
      <c r="AI132" s="27">
        <f t="shared" si="416"/>
        <v>620</v>
      </c>
      <c r="AJ132" s="27">
        <f t="shared" si="416"/>
        <v>650</v>
      </c>
      <c r="AK132" s="676">
        <f t="shared" si="416"/>
        <v>39850.655000000006</v>
      </c>
      <c r="AL132" s="676">
        <f t="shared" si="416"/>
        <v>190291.663</v>
      </c>
      <c r="AM132" s="676">
        <f t="shared" si="416"/>
        <v>50164.254999999997</v>
      </c>
      <c r="AN132" s="676">
        <f>SUBTOTAL(9,AN23:AN127)</f>
        <v>141092.48447368419</v>
      </c>
      <c r="AO132" s="84">
        <f>AN132/AE131</f>
        <v>28.683164154032159</v>
      </c>
      <c r="BF132" s="177"/>
      <c r="BH132" s="177"/>
      <c r="BN132" s="177"/>
      <c r="BO132" s="177"/>
      <c r="BR132" s="177"/>
      <c r="BS132" s="177"/>
      <c r="BZ132" s="177"/>
      <c r="CA132" s="177"/>
      <c r="CB132" s="177"/>
      <c r="CC132" s="177"/>
      <c r="CD132" s="177"/>
      <c r="CE132" s="177"/>
      <c r="CF132" s="177"/>
      <c r="CG132" s="177"/>
      <c r="CH132" s="177"/>
      <c r="CI132" s="177"/>
      <c r="CJ132" s="177"/>
      <c r="CK132" s="177"/>
      <c r="CL132" s="177"/>
      <c r="CM132" s="177"/>
      <c r="CN132" s="177"/>
      <c r="CO132" s="177"/>
      <c r="CP132" s="177"/>
      <c r="CQ132" s="177"/>
      <c r="CR132" s="177"/>
      <c r="CS132" s="177"/>
      <c r="CV132" s="224"/>
      <c r="CW132" s="180">
        <f>SUBTOTAL(9,CW24:CW36)</f>
        <v>508276</v>
      </c>
      <c r="CX132" s="180"/>
      <c r="CY132" s="180"/>
      <c r="CZ132" s="180"/>
      <c r="DA132" s="596"/>
      <c r="DX132" s="5"/>
      <c r="DY132" s="5"/>
      <c r="DZ132" s="5"/>
      <c r="EA132" s="5"/>
      <c r="EB132" s="228"/>
      <c r="EC132" s="5"/>
      <c r="ED132" s="560"/>
      <c r="EE132" s="560"/>
      <c r="EF132" s="283"/>
      <c r="EL132" s="5"/>
      <c r="EM132" s="560"/>
      <c r="EN132" s="560"/>
      <c r="EO132" s="5"/>
      <c r="EP132" s="560"/>
      <c r="EQ132" s="560"/>
      <c r="ER132" s="5"/>
      <c r="ES132" s="560"/>
      <c r="EV132" s="561"/>
      <c r="EW132" s="561"/>
      <c r="EX132" s="14"/>
      <c r="EY132" s="561"/>
      <c r="EZ132" s="561"/>
      <c r="FA132" s="561"/>
      <c r="FB132" s="5"/>
      <c r="FC132" s="5"/>
      <c r="FE132" s="5"/>
      <c r="FF132" s="5"/>
      <c r="FG132" s="5"/>
      <c r="FH132" s="5"/>
      <c r="FI132" s="5"/>
      <c r="FK132" s="5"/>
      <c r="FL132" s="337"/>
      <c r="FM132" s="5"/>
      <c r="FN132" s="5"/>
      <c r="FP132" s="5"/>
      <c r="GA132" s="5"/>
      <c r="GB132" s="5"/>
      <c r="GC132" s="5"/>
      <c r="GD132" s="5"/>
      <c r="GE132" s="5"/>
      <c r="GF132" s="5"/>
      <c r="GG132" s="5"/>
      <c r="GX132" s="28">
        <f>SUBTOTAL(9,GX2:GX127)</f>
        <v>381356840.3700006</v>
      </c>
      <c r="GY132" s="28" t="e">
        <f>SUBTOTAL(9,GY2:GY127)</f>
        <v>#DIV/0!</v>
      </c>
      <c r="GZ132" s="31"/>
      <c r="HA132" s="144">
        <f>SUBTOTAL(9,HA23:HA127)</f>
        <v>-21374945.800889105</v>
      </c>
      <c r="HB132" s="28" t="e">
        <f>GY132/AN132</f>
        <v>#DIV/0!</v>
      </c>
      <c r="HC132" s="28" t="e">
        <f>GY132/AE131</f>
        <v>#DIV/0!</v>
      </c>
      <c r="HD132" s="28">
        <f>SUBTOTAL(9,HD2:HD127)</f>
        <v>215802778.61681253</v>
      </c>
      <c r="HE132" s="28">
        <f>SUBTOTAL(9,HE2:HE127)</f>
        <v>174981805.04301569</v>
      </c>
      <c r="HF132" s="144">
        <f>HD132-HE132</f>
        <v>40820973.573796839</v>
      </c>
      <c r="HG132" s="144"/>
      <c r="HH132" s="144"/>
      <c r="HI132" s="28">
        <f>SUBTOTAL(9,HI2:HI127)</f>
        <v>106630880.35260479</v>
      </c>
      <c r="HJ132" s="28">
        <f>SUBTOTAL(9,HJ2:HJ127)</f>
        <v>104313273.02000001</v>
      </c>
      <c r="HK132" s="28"/>
      <c r="HL132" s="28">
        <f>+HJ132/AE131</f>
        <v>21206.194962390731</v>
      </c>
      <c r="HM132" s="144">
        <f>HJ132-HI132</f>
        <v>-2317607.3326047808</v>
      </c>
      <c r="HN132" s="28">
        <f>SUBTOTAL(9,HN2:HN127)</f>
        <v>226969737.5586524</v>
      </c>
      <c r="HO132" s="28">
        <f>SUBTOTAL(9,HO2:HO127)</f>
        <v>203361852.66500002</v>
      </c>
      <c r="HP132" s="51" t="e">
        <f>SUBTOTAL(9,HP2:HP127)</f>
        <v>#DIV/0!</v>
      </c>
      <c r="HQ132" s="51">
        <f>SUBTOTAL(9,HQ2:HQ127)</f>
        <v>153944454.93500003</v>
      </c>
      <c r="HR132" s="144">
        <f>SUBTOTAL(9,HR23:HR127)</f>
        <v>-20069526.89365235</v>
      </c>
      <c r="HS132" s="635">
        <f>HO132/AE131</f>
        <v>41342.112759707263</v>
      </c>
      <c r="HT132" s="144"/>
      <c r="HU132" s="28">
        <f>SUBTOTAL(9,HU2:HU127)</f>
        <v>38677573</v>
      </c>
      <c r="HV132" s="28">
        <f>SUBTOTAL(9,HV2:HV127)</f>
        <v>34747154</v>
      </c>
      <c r="HW132" s="28">
        <f>SUBTOTAL(9,HW2:HW127)</f>
        <v>964506.31</v>
      </c>
      <c r="HX132" s="14"/>
      <c r="HY132" s="28">
        <f>SUBTOTAL(9,HY2:HY127)</f>
        <v>4359496</v>
      </c>
      <c r="HZ132" s="28">
        <f>SUBTOTAL(9,HZ2:HZ127)</f>
        <v>5347051.7299999995</v>
      </c>
      <c r="IA132" s="28">
        <f>SUBTOTAL(9,IA2:IA127)</f>
        <v>-3569379</v>
      </c>
      <c r="IB132" s="28">
        <f>+HU132/AE131</f>
        <v>7862.8934742833908</v>
      </c>
      <c r="IC132" s="28">
        <f>(HJ132+HV132)/AE131</f>
        <v>28270.060382191503</v>
      </c>
      <c r="ID132" s="29">
        <f>+HV132/AG132</f>
        <v>35204.816616008102</v>
      </c>
      <c r="IE132" s="29"/>
      <c r="IF132" s="29"/>
      <c r="IG132" s="28">
        <f>SUBTOTAL(9,IG2:IG127)</f>
        <v>25175794.004462011</v>
      </c>
      <c r="IH132" s="28">
        <f>SUBTOTAL(9,IH2:IH127)</f>
        <v>12416145.386517435</v>
      </c>
      <c r="II132" s="30">
        <f>(HJ132+HV132+IH132)/AE131</f>
        <v>30794.180200552441</v>
      </c>
      <c r="IJ132" s="28">
        <f>SUBTOTAL(9,IJ2:IJ127)</f>
        <v>3755073.9517225004</v>
      </c>
      <c r="IK132" s="28">
        <f>(HJ132+HV132+IH132+IJ132)/AE131</f>
        <v>31557.561772360226</v>
      </c>
      <c r="IL132" s="31"/>
      <c r="IM132" s="31">
        <f>SUBTOTAL(9,IM2:IM127)</f>
        <v>5728763.6876999997</v>
      </c>
      <c r="IN132" s="28">
        <f>SUBTOTAL(9,IN2:IN127)</f>
        <v>0</v>
      </c>
      <c r="IO132" s="28">
        <f>SUBTOTAL(9,IO2:IO127)</f>
        <v>2311136.4</v>
      </c>
      <c r="IP132" s="14">
        <f>SUBTOTAL(9,IP24:IP36)</f>
        <v>86377183.60792461</v>
      </c>
    </row>
    <row r="133" spans="1:286">
      <c r="J133" s="14">
        <f>175*6500</f>
        <v>1137500</v>
      </c>
      <c r="U133" s="14">
        <f>4599916/AE131</f>
        <v>935.13234397235215</v>
      </c>
      <c r="AC133" s="229">
        <f>506-AE61</f>
        <v>486</v>
      </c>
      <c r="AG133" s="32">
        <f>AG132/$AE$131</f>
        <v>0.20065053872738361</v>
      </c>
      <c r="AH133" s="32">
        <f>AH132/$AE$131</f>
        <v>0.54624923764992883</v>
      </c>
      <c r="AI133" s="32"/>
      <c r="AJ133" s="32"/>
      <c r="BN133" s="177"/>
      <c r="BO133" s="177"/>
      <c r="BR133" s="177"/>
      <c r="BS133" s="177"/>
      <c r="BZ133" s="177"/>
      <c r="CA133" s="177"/>
      <c r="CB133" s="177"/>
      <c r="CC133" s="177"/>
      <c r="CD133" s="177"/>
      <c r="CE133" s="177"/>
      <c r="CF133" s="177"/>
      <c r="CG133" s="177"/>
      <c r="CH133" s="177"/>
      <c r="CI133" s="177"/>
      <c r="CJ133" s="177"/>
      <c r="CK133" s="177"/>
      <c r="CL133" s="177"/>
      <c r="CM133" s="177"/>
      <c r="CN133" s="177"/>
      <c r="CO133" s="177"/>
      <c r="CP133" s="177"/>
      <c r="CQ133" s="177"/>
      <c r="CR133" s="177"/>
      <c r="CS133" s="177"/>
      <c r="EB133" s="228"/>
      <c r="EC133" s="5"/>
      <c r="EV133" s="561"/>
      <c r="EW133" s="561"/>
      <c r="EX133" s="14"/>
      <c r="EY133" s="561"/>
      <c r="EZ133" s="561"/>
      <c r="FA133" s="561"/>
      <c r="FE133" s="5"/>
      <c r="FF133" s="5"/>
      <c r="FH133" s="5"/>
      <c r="FI133" s="5"/>
      <c r="HI133" s="32">
        <f>HI132/GX132</f>
        <v>0.27960919817027335</v>
      </c>
      <c r="HU133" s="32">
        <f>HU132/GX132</f>
        <v>0.10142094989688447</v>
      </c>
      <c r="HV133" s="144"/>
      <c r="HW133" s="144"/>
      <c r="HX133" s="14"/>
      <c r="HY133" s="14"/>
      <c r="HZ133" s="14"/>
      <c r="IA133" s="14"/>
      <c r="IB133" s="14"/>
      <c r="IC133" s="14"/>
      <c r="IN133" s="42"/>
    </row>
    <row r="134" spans="1:286">
      <c r="I134" s="14">
        <f>COUNTA(Avancement)</f>
        <v>113</v>
      </c>
      <c r="Z134" s="14" t="s">
        <v>554</v>
      </c>
      <c r="AE134" s="318">
        <f>SUM(Nlgts)</f>
        <v>4919</v>
      </c>
      <c r="AF134" s="318"/>
      <c r="AV134" s="14"/>
      <c r="AW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77"/>
      <c r="CA134" s="177"/>
      <c r="CB134" s="177"/>
      <c r="CC134" s="177"/>
      <c r="CD134" s="177"/>
      <c r="CE134" s="177"/>
      <c r="CF134" s="177"/>
      <c r="CG134" s="177"/>
      <c r="CH134" s="177"/>
      <c r="CI134" s="177"/>
      <c r="CJ134" s="177"/>
      <c r="CK134" s="177"/>
      <c r="CL134" s="177"/>
      <c r="CM134" s="177"/>
      <c r="CN134" s="177"/>
      <c r="CO134" s="177"/>
      <c r="CP134" s="177"/>
      <c r="CQ134" s="177"/>
      <c r="CR134" s="177"/>
      <c r="CS134" s="177"/>
      <c r="CT134" s="14"/>
      <c r="CU134" s="14"/>
      <c r="CV134" s="14"/>
      <c r="CW134" s="14"/>
      <c r="CX134" s="14"/>
      <c r="CY134" s="14"/>
      <c r="CZ134" s="14"/>
      <c r="DA134" s="229"/>
      <c r="EB134" s="228"/>
      <c r="EC134" s="5"/>
      <c r="EV134" s="561"/>
      <c r="EW134" s="561"/>
      <c r="EX134" s="14"/>
      <c r="EY134" s="561"/>
      <c r="EZ134" s="561"/>
      <c r="FA134" s="561"/>
      <c r="GV134" s="14"/>
      <c r="GW134" s="611"/>
      <c r="HN134" s="143"/>
      <c r="HV134" s="295"/>
      <c r="HW134" s="68"/>
      <c r="HX134" s="70"/>
      <c r="HY134" s="70"/>
      <c r="HZ134" s="14"/>
      <c r="IA134" s="14"/>
      <c r="IB134" s="69"/>
      <c r="IC134" s="69"/>
      <c r="IN134" s="42"/>
      <c r="IQ134" s="197"/>
      <c r="IR134" s="197"/>
    </row>
    <row r="135" spans="1:286" ht="34.15" customHeight="1">
      <c r="A135" s="844"/>
      <c r="B135" s="844"/>
      <c r="C135" s="145"/>
      <c r="H135" s="14">
        <f>AE131+55</f>
        <v>4974</v>
      </c>
      <c r="L135" s="311">
        <f>40*150000</f>
        <v>6000000</v>
      </c>
      <c r="X135" s="14">
        <f>P43/AH135</f>
        <v>279.56046775124526</v>
      </c>
      <c r="Y135" s="14">
        <f>Z135/X43</f>
        <v>15.745201498814714</v>
      </c>
      <c r="Z135" s="14">
        <v>3550</v>
      </c>
      <c r="AG135" s="32"/>
      <c r="AH135" s="7">
        <f>AN135/AO135</f>
        <v>9.6780000000000008</v>
      </c>
      <c r="AI135" s="132"/>
      <c r="AJ135" s="132"/>
      <c r="AK135" s="809"/>
      <c r="AN135" s="353">
        <f>AN43</f>
        <v>677.46</v>
      </c>
      <c r="AO135" s="14">
        <v>70</v>
      </c>
      <c r="EV135" s="561"/>
      <c r="EW135" s="561"/>
      <c r="EX135" s="14"/>
      <c r="EY135" s="561"/>
      <c r="EZ135" s="561"/>
      <c r="FA135" s="561"/>
      <c r="FC135" s="229"/>
      <c r="FE135" s="229"/>
      <c r="GX135" s="144"/>
      <c r="GY135" s="143" t="e">
        <f>GY132*1.2944%</f>
        <v>#DIV/0!</v>
      </c>
      <c r="GZ135" s="143"/>
      <c r="HU135" s="73" t="s">
        <v>350</v>
      </c>
      <c r="HY135" s="74">
        <f>SUBTOTAL(9,HY136:HY137)</f>
        <v>5521553</v>
      </c>
      <c r="HZ135" s="74">
        <f>SUBTOTAL(9,HZ136:HZ137)</f>
        <v>358</v>
      </c>
      <c r="IB135" s="248">
        <f t="shared" ref="IB135:IB142" si="417">HY135/HZ135</f>
        <v>15423.332402234637</v>
      </c>
      <c r="IC135" s="69"/>
      <c r="IN135" s="42"/>
      <c r="IO135" s="144"/>
    </row>
    <row r="136" spans="1:286">
      <c r="Y136" s="14">
        <f>Z135/X135</f>
        <v>12.698505008794067</v>
      </c>
      <c r="AE136" s="14">
        <f>196+69</f>
        <v>265</v>
      </c>
      <c r="AG136" s="32"/>
      <c r="AH136" s="32"/>
      <c r="AI136" s="32"/>
      <c r="AJ136" s="32"/>
      <c r="EV136" s="561"/>
      <c r="EW136" s="561"/>
      <c r="EX136" s="14"/>
      <c r="EY136" s="561"/>
      <c r="EZ136" s="561"/>
      <c r="FA136" s="561"/>
      <c r="FC136" s="229"/>
      <c r="FE136" s="229"/>
      <c r="GX136" s="144"/>
      <c r="GY136" s="14" t="e">
        <f>GY132*1.204232%</f>
        <v>#DIV/0!</v>
      </c>
      <c r="HU136" s="14" t="s">
        <v>348</v>
      </c>
      <c r="HY136" s="144">
        <v>4441553</v>
      </c>
      <c r="HZ136" s="144">
        <v>304</v>
      </c>
      <c r="IB136" s="249">
        <f t="shared" si="417"/>
        <v>14610.371710526315</v>
      </c>
      <c r="IC136" s="14"/>
      <c r="IN136" s="42"/>
    </row>
    <row r="137" spans="1:286">
      <c r="A137" s="845"/>
      <c r="B137" s="845"/>
      <c r="E137" s="146"/>
      <c r="AE137" s="229"/>
      <c r="AF137" s="229"/>
      <c r="AG137" s="229"/>
      <c r="AH137" s="229"/>
      <c r="AI137" s="229"/>
      <c r="EV137" s="561"/>
      <c r="EW137" s="561"/>
      <c r="EX137" s="14"/>
      <c r="EY137" s="561"/>
      <c r="EZ137" s="561"/>
      <c r="FA137" s="561"/>
      <c r="GT137" s="178"/>
      <c r="GU137" s="178"/>
      <c r="GV137" s="14"/>
      <c r="GW137" s="611"/>
      <c r="GY137" s="143" t="e">
        <f>GY135-GY136</f>
        <v>#DIV/0!</v>
      </c>
      <c r="GZ137" s="143"/>
      <c r="HU137" s="14" t="s">
        <v>349</v>
      </c>
      <c r="HY137" s="14">
        <v>1080000</v>
      </c>
      <c r="HZ137" s="247">
        <v>54</v>
      </c>
      <c r="IB137" s="249">
        <f t="shared" si="417"/>
        <v>20000</v>
      </c>
      <c r="IC137" s="14"/>
    </row>
    <row r="138" spans="1:286" ht="26.45" customHeight="1">
      <c r="P138" s="147"/>
      <c r="Q138" s="147" t="s">
        <v>57</v>
      </c>
      <c r="S138" s="146"/>
      <c r="AD138" s="142"/>
      <c r="AE138" s="32"/>
      <c r="AF138" s="32"/>
      <c r="AV138" s="14"/>
      <c r="AW138" s="14"/>
      <c r="BN138" s="179"/>
      <c r="BO138" s="179"/>
      <c r="BP138" s="179"/>
      <c r="BQ138" s="179"/>
      <c r="BR138" s="179"/>
      <c r="BS138" s="179"/>
      <c r="BT138" s="179"/>
      <c r="BU138" s="179"/>
      <c r="BV138" s="179"/>
      <c r="BW138" s="179"/>
      <c r="BX138" s="179"/>
      <c r="BY138" s="179"/>
      <c r="BZ138" s="179"/>
      <c r="CN138" s="178"/>
      <c r="CO138" s="178"/>
      <c r="CP138" s="178"/>
      <c r="CQ138" s="178"/>
      <c r="CR138" s="178"/>
      <c r="EV138" s="561"/>
      <c r="EW138" s="561"/>
      <c r="EX138" s="14"/>
      <c r="EY138" s="561"/>
      <c r="EZ138" s="561"/>
      <c r="FA138" s="561"/>
      <c r="GT138" s="178"/>
      <c r="GU138" s="178"/>
      <c r="GV138" s="14"/>
      <c r="GW138" s="611"/>
      <c r="HF138" s="75"/>
      <c r="HG138" s="75"/>
      <c r="HH138" s="68"/>
      <c r="HI138" s="70"/>
      <c r="HM138" s="69"/>
      <c r="HN138" s="69"/>
      <c r="HU138" s="73" t="s">
        <v>347</v>
      </c>
      <c r="HY138" s="74">
        <f>SUBTOTAL(9,HY139:HY140)</f>
        <v>6045000</v>
      </c>
      <c r="HZ138" s="74">
        <f>SUBTOTAL(9,HZ139:HZ140)</f>
        <v>366</v>
      </c>
      <c r="IB138" s="248">
        <f t="shared" si="417"/>
        <v>16516.39344262295</v>
      </c>
      <c r="IC138" s="248">
        <f>376*IB139</f>
        <v>5925458.1939799329</v>
      </c>
    </row>
    <row r="139" spans="1:286">
      <c r="D139" s="741">
        <v>43308</v>
      </c>
      <c r="F139" s="14">
        <f>(DATEDIF(D139,D140,"d"))</f>
        <v>70</v>
      </c>
      <c r="H139" s="741">
        <f>DATE(YEAR(D139),MONTH(D139),DAY(D139)+45)</f>
        <v>43353</v>
      </c>
      <c r="P139" s="143"/>
      <c r="Q139" s="143" t="e">
        <f>SUMPRODUCT((Ville=A218)*($HU$4:$HU$127))</f>
        <v>#N/A</v>
      </c>
      <c r="S139" s="146"/>
      <c r="AD139" s="142"/>
      <c r="AE139" s="32"/>
      <c r="AF139" s="32"/>
      <c r="AV139" s="14"/>
      <c r="AW139" s="14"/>
      <c r="BN139" s="179"/>
      <c r="BO139" s="179"/>
      <c r="BP139" s="179"/>
      <c r="BQ139" s="179"/>
      <c r="BR139" s="179"/>
      <c r="BS139" s="179"/>
      <c r="BT139" s="179"/>
      <c r="BU139" s="179"/>
      <c r="BV139" s="179"/>
      <c r="BW139" s="179"/>
      <c r="BX139" s="179"/>
      <c r="BY139" s="179"/>
      <c r="BZ139" s="179"/>
      <c r="CN139" s="178"/>
      <c r="CO139" s="178"/>
      <c r="CP139" s="178"/>
      <c r="CQ139" s="178"/>
      <c r="CR139" s="178"/>
      <c r="DF139" s="741">
        <v>43251</v>
      </c>
      <c r="DG139" s="739">
        <v>15</v>
      </c>
      <c r="DH139" s="741">
        <f>DATE(YEAR(DF139),MONTH(DF139),DAY(DF139)+15)</f>
        <v>43266</v>
      </c>
      <c r="EV139" s="561"/>
      <c r="EW139" s="561"/>
      <c r="EX139" s="14"/>
      <c r="EY139" s="561"/>
      <c r="EZ139" s="561"/>
      <c r="FA139" s="561"/>
      <c r="GT139" s="178"/>
      <c r="GU139" s="178"/>
      <c r="GV139" s="14"/>
      <c r="GW139" s="611"/>
      <c r="HD139" s="143"/>
      <c r="HE139" s="143"/>
      <c r="HF139" s="33"/>
      <c r="HG139" s="33"/>
      <c r="HH139" s="33"/>
      <c r="HU139" s="14" t="s">
        <v>348</v>
      </c>
      <c r="HY139" s="144">
        <v>4712000</v>
      </c>
      <c r="HZ139" s="14">
        <v>299</v>
      </c>
      <c r="IB139" s="249">
        <f t="shared" si="417"/>
        <v>15759.197324414716</v>
      </c>
      <c r="IC139" s="14"/>
    </row>
    <row r="140" spans="1:286">
      <c r="D140" s="741">
        <v>43378</v>
      </c>
      <c r="F140" s="14" t="s">
        <v>171</v>
      </c>
      <c r="P140" s="143"/>
      <c r="Q140" s="143" t="e">
        <f>SUMPRODUCT((Ville=A219)*($HU$4:$HU$127))</f>
        <v>#N/A</v>
      </c>
      <c r="AD140" s="142"/>
      <c r="AE140" s="32"/>
      <c r="AF140" s="32"/>
      <c r="AV140" s="14"/>
      <c r="AW140" s="14"/>
      <c r="BN140" s="179"/>
      <c r="BO140" s="179"/>
      <c r="BP140" s="179"/>
      <c r="BQ140" s="179"/>
      <c r="BR140" s="179"/>
      <c r="BS140" s="179"/>
      <c r="BT140" s="179"/>
      <c r="BU140" s="179"/>
      <c r="BV140" s="179"/>
      <c r="BW140" s="179"/>
      <c r="BX140" s="179"/>
      <c r="BY140" s="179"/>
      <c r="BZ140" s="179"/>
      <c r="CN140" s="178"/>
      <c r="CO140" s="178"/>
      <c r="CP140" s="178"/>
      <c r="CQ140" s="178"/>
      <c r="CR140" s="178"/>
      <c r="EV140" s="561"/>
      <c r="EW140" s="561"/>
      <c r="EX140" s="14"/>
      <c r="EY140" s="561"/>
      <c r="EZ140" s="561"/>
      <c r="FA140" s="561"/>
      <c r="GT140" s="178"/>
      <c r="GU140" s="178"/>
      <c r="GV140" s="14"/>
      <c r="GW140" s="611"/>
      <c r="HF140" s="33"/>
      <c r="HG140" s="33"/>
      <c r="HH140" s="33"/>
      <c r="HU140" s="14" t="s">
        <v>349</v>
      </c>
      <c r="HY140" s="144">
        <v>1333000</v>
      </c>
      <c r="HZ140" s="14">
        <v>67</v>
      </c>
      <c r="IB140" s="249">
        <f t="shared" si="417"/>
        <v>19895.5223880597</v>
      </c>
      <c r="IC140" s="14"/>
    </row>
    <row r="141" spans="1:286" ht="28.5" customHeight="1">
      <c r="P141" s="143"/>
      <c r="Q141" s="143" t="e">
        <f>SUMPRODUCT((Ville=A220)*($HU$4:$HU$127))</f>
        <v>#N/A</v>
      </c>
      <c r="AD141" s="142"/>
      <c r="AE141" s="32"/>
      <c r="AF141" s="32"/>
      <c r="AG141" s="14">
        <f>160000*33</f>
        <v>5280000</v>
      </c>
      <c r="AV141" s="14"/>
      <c r="AW141" s="14"/>
      <c r="BN141" s="179"/>
      <c r="BO141" s="179"/>
      <c r="BP141" s="179"/>
      <c r="BQ141" s="179"/>
      <c r="BR141" s="179"/>
      <c r="BS141" s="179"/>
      <c r="BT141" s="179"/>
      <c r="BU141" s="179"/>
      <c r="BV141" s="179"/>
      <c r="BW141" s="179"/>
      <c r="BX141" s="179"/>
      <c r="BY141" s="179"/>
      <c r="BZ141" s="179"/>
      <c r="CN141" s="178"/>
      <c r="CO141" s="178"/>
      <c r="CP141" s="178"/>
      <c r="CQ141" s="178"/>
      <c r="CR141" s="178"/>
      <c r="EV141" s="561"/>
      <c r="EW141" s="561"/>
      <c r="EX141" s="14"/>
      <c r="EY141" s="561"/>
      <c r="EZ141" s="561"/>
      <c r="FA141" s="561"/>
      <c r="GT141" s="178"/>
      <c r="GU141" s="178"/>
      <c r="GV141" s="14"/>
      <c r="GW141" s="611"/>
      <c r="HF141" s="143"/>
      <c r="HG141" s="143"/>
      <c r="HH141" s="143"/>
      <c r="HU141" s="73" t="s">
        <v>465</v>
      </c>
      <c r="HY141" s="74">
        <f>SUBTOTAL(9,HY142:HY143)</f>
        <v>5000000</v>
      </c>
      <c r="HZ141" s="33">
        <f>SUBTOTAL(9,HZ142:HZ143)</f>
        <v>298</v>
      </c>
      <c r="IB141" s="248">
        <f t="shared" si="417"/>
        <v>16778.523489932886</v>
      </c>
      <c r="IC141" s="14"/>
    </row>
    <row r="142" spans="1:286">
      <c r="P142" s="143"/>
      <c r="Q142" s="143" t="e">
        <f>SUMPRODUCT((Ville=A221)*($HU$4:$HU$127))</f>
        <v>#N/A</v>
      </c>
      <c r="R142" s="143"/>
      <c r="AD142" s="142"/>
      <c r="AE142" s="32"/>
      <c r="AF142" s="32"/>
      <c r="AV142" s="14"/>
      <c r="AW142" s="14"/>
      <c r="BN142" s="179"/>
      <c r="BO142" s="179"/>
      <c r="BP142" s="179"/>
      <c r="BQ142" s="179"/>
      <c r="BR142" s="179"/>
      <c r="BS142" s="179"/>
      <c r="BT142" s="179"/>
      <c r="BU142" s="179"/>
      <c r="BV142" s="179"/>
      <c r="BW142" s="179"/>
      <c r="BX142" s="179"/>
      <c r="BY142" s="179"/>
      <c r="BZ142" s="179"/>
      <c r="CN142" s="178"/>
      <c r="CO142" s="178"/>
      <c r="CP142" s="178"/>
      <c r="CQ142" s="178"/>
      <c r="CR142" s="178"/>
      <c r="EV142" s="561"/>
      <c r="EW142" s="561"/>
      <c r="EX142" s="14"/>
      <c r="EY142" s="561"/>
      <c r="EZ142" s="561"/>
      <c r="FA142" s="561"/>
      <c r="FC142" s="229"/>
      <c r="FE142" s="229"/>
      <c r="HG142" s="144"/>
      <c r="HH142" s="144"/>
      <c r="HI142" s="144"/>
      <c r="HU142" s="14" t="s">
        <v>348</v>
      </c>
      <c r="HY142" s="144">
        <v>5000000</v>
      </c>
      <c r="HZ142" s="14">
        <v>298</v>
      </c>
      <c r="IB142" s="249">
        <f t="shared" si="417"/>
        <v>16778.523489932886</v>
      </c>
      <c r="IC142" s="14">
        <v>298</v>
      </c>
    </row>
    <row r="143" spans="1:286">
      <c r="P143" s="143"/>
      <c r="Q143" s="143"/>
      <c r="R143" s="143"/>
      <c r="AD143" s="142"/>
      <c r="AE143" s="32"/>
      <c r="AF143" s="32"/>
      <c r="AV143" s="14"/>
      <c r="AW143" s="14"/>
      <c r="BN143" s="179"/>
      <c r="BO143" s="179"/>
      <c r="BP143" s="179"/>
      <c r="BQ143" s="179"/>
      <c r="BR143" s="179"/>
      <c r="BS143" s="179"/>
      <c r="BT143" s="179"/>
      <c r="BU143" s="179"/>
      <c r="BV143" s="179"/>
      <c r="BW143" s="179"/>
      <c r="BX143" s="179"/>
      <c r="BY143" s="179"/>
      <c r="BZ143" s="179"/>
      <c r="CN143" s="178"/>
      <c r="CO143" s="178"/>
      <c r="CP143" s="178"/>
      <c r="CQ143" s="178"/>
      <c r="CR143" s="178"/>
      <c r="EV143" s="561"/>
      <c r="EW143" s="561"/>
      <c r="EX143" s="14"/>
      <c r="EY143" s="561"/>
      <c r="EZ143" s="561"/>
      <c r="FA143" s="561"/>
      <c r="HU143" s="14" t="s">
        <v>349</v>
      </c>
      <c r="HY143" s="14"/>
      <c r="HZ143" s="14"/>
      <c r="IB143" s="14"/>
      <c r="IC143" s="14"/>
    </row>
    <row r="144" spans="1:286">
      <c r="P144" s="143"/>
      <c r="Q144" s="143"/>
      <c r="R144" s="143"/>
      <c r="AD144" s="142"/>
      <c r="AE144" s="32"/>
      <c r="AF144" s="32"/>
      <c r="AV144" s="14"/>
      <c r="AW144" s="14"/>
      <c r="BN144" s="179"/>
      <c r="BO144" s="179"/>
      <c r="BP144" s="179"/>
      <c r="BQ144" s="179"/>
      <c r="BR144" s="179"/>
      <c r="BS144" s="179"/>
      <c r="BT144" s="179"/>
      <c r="BU144" s="179"/>
      <c r="BV144" s="179"/>
      <c r="BW144" s="179"/>
      <c r="BX144" s="179"/>
      <c r="BY144" s="179"/>
      <c r="BZ144" s="179"/>
      <c r="CN144" s="178"/>
      <c r="CO144" s="178"/>
      <c r="CP144" s="178"/>
      <c r="CQ144" s="178"/>
      <c r="CR144" s="178"/>
      <c r="EV144" s="561"/>
      <c r="EW144" s="561"/>
      <c r="EX144" s="14"/>
      <c r="EY144" s="561"/>
      <c r="EZ144" s="561"/>
      <c r="FA144" s="561"/>
      <c r="HU144" s="302" t="s">
        <v>511</v>
      </c>
      <c r="HV144" s="14"/>
      <c r="HW144" s="14"/>
      <c r="HX144" s="14"/>
      <c r="HY144" s="302"/>
      <c r="HZ144" s="14"/>
      <c r="IB144" s="14"/>
      <c r="IC144" s="14"/>
    </row>
    <row r="145" spans="1:249" ht="15.75" thickBot="1">
      <c r="E145" s="769" t="s">
        <v>839</v>
      </c>
      <c r="P145" s="143"/>
      <c r="Q145" s="143" t="e">
        <f t="shared" ref="Q145:Q150" si="418">SUMPRODUCT((Ville=A222)*($HU$4:$HU$127))</f>
        <v>#N/A</v>
      </c>
      <c r="R145" s="143"/>
      <c r="AD145" s="142"/>
      <c r="AE145" s="32"/>
      <c r="AF145" s="32"/>
      <c r="AG145" s="739"/>
      <c r="AV145" s="14"/>
      <c r="AW145" s="14"/>
      <c r="BN145" s="179"/>
      <c r="BO145" s="179"/>
      <c r="BP145" s="179"/>
      <c r="BQ145" s="179"/>
      <c r="BR145" s="179"/>
      <c r="BS145" s="179"/>
      <c r="BT145" s="179"/>
      <c r="BU145" s="179"/>
      <c r="BV145" s="179"/>
      <c r="BW145" s="179"/>
      <c r="BX145" s="179"/>
      <c r="BY145" s="179"/>
      <c r="BZ145" s="179"/>
      <c r="CN145" s="178"/>
      <c r="CO145" s="178"/>
      <c r="CP145" s="178"/>
      <c r="CQ145" s="178"/>
      <c r="CR145" s="178"/>
      <c r="CT145" s="223"/>
      <c r="CU145" s="223"/>
      <c r="EV145" s="561"/>
      <c r="EW145" s="561"/>
      <c r="EX145" s="14"/>
      <c r="EY145" s="561"/>
      <c r="EZ145" s="561"/>
      <c r="FA145" s="561"/>
      <c r="HU145" s="14" t="s">
        <v>348</v>
      </c>
      <c r="HV145" s="14"/>
      <c r="HW145" s="14"/>
      <c r="HX145" s="14"/>
      <c r="HY145" s="296"/>
      <c r="HZ145" s="14"/>
      <c r="IB145" s="14"/>
      <c r="IC145" s="14" t="s">
        <v>528</v>
      </c>
      <c r="IH145" s="14" t="s">
        <v>529</v>
      </c>
    </row>
    <row r="146" spans="1:249" ht="15.75" thickBot="1">
      <c r="C146" s="263"/>
      <c r="D146" s="357" t="s">
        <v>181</v>
      </c>
      <c r="E146" s="357" t="s">
        <v>838</v>
      </c>
      <c r="F146" s="357" t="s">
        <v>643</v>
      </c>
      <c r="G146" s="358" t="s">
        <v>837</v>
      </c>
      <c r="H146" s="358" t="s">
        <v>180</v>
      </c>
      <c r="I146" s="358" t="s">
        <v>610</v>
      </c>
      <c r="J146" s="358" t="s">
        <v>179</v>
      </c>
      <c r="K146" s="358" t="s">
        <v>463</v>
      </c>
      <c r="P146" s="143"/>
      <c r="Q146" s="143" t="e">
        <f t="shared" si="418"/>
        <v>#N/A</v>
      </c>
      <c r="R146" s="143"/>
      <c r="AD146" s="142"/>
      <c r="AE146" s="32"/>
      <c r="AF146" s="32"/>
      <c r="AV146" s="14"/>
      <c r="AW146" s="14"/>
      <c r="BN146" s="179"/>
      <c r="BO146" s="179"/>
      <c r="BP146" s="179"/>
      <c r="BQ146" s="179"/>
      <c r="BR146" s="179"/>
      <c r="BS146" s="179"/>
      <c r="BT146" s="179"/>
      <c r="BU146" s="179"/>
      <c r="BV146" s="179"/>
      <c r="BW146" s="179"/>
      <c r="BX146" s="179"/>
      <c r="BY146" s="179"/>
      <c r="BZ146" s="179"/>
      <c r="CN146" s="178"/>
      <c r="CO146" s="178"/>
      <c r="CP146" s="178"/>
      <c r="CQ146" s="178"/>
      <c r="CR146" s="178"/>
      <c r="EV146" s="561"/>
      <c r="EW146" s="561"/>
      <c r="EX146" s="14"/>
      <c r="EY146" s="561"/>
      <c r="EZ146" s="561"/>
      <c r="FA146" s="561"/>
      <c r="HL146" s="130"/>
      <c r="HM146" s="130"/>
      <c r="HN146" s="130"/>
      <c r="HO146" s="130"/>
      <c r="HP146" s="44"/>
      <c r="HQ146" s="44"/>
      <c r="HR146" s="44"/>
      <c r="HS146" s="634" t="s">
        <v>512</v>
      </c>
      <c r="HT146" s="130"/>
      <c r="HU146" s="14">
        <f>SUMPRODUCT((Prog=2017)*(Type&lt;&gt;"Rehab")*(Type&lt;&gt;"PLS")*(Nlgts))</f>
        <v>185</v>
      </c>
      <c r="HV146" s="130"/>
      <c r="HW146" s="130"/>
      <c r="HX146" s="130"/>
      <c r="HY146" s="144">
        <f>SUMPRODUCT((Prog=2017)*(Type&lt;&gt;"Rehab")*(Type&lt;&gt;"PLS")*(LBU))</f>
        <v>4376000</v>
      </c>
      <c r="HZ146" s="130"/>
      <c r="IB146" s="249">
        <f>HY146/HU146</f>
        <v>23654.054054054053</v>
      </c>
      <c r="IC146" s="144">
        <f>HY146-HU57-HU58-HU65-HU60</f>
        <v>3872000</v>
      </c>
      <c r="ID146" s="130"/>
      <c r="IE146" s="130"/>
      <c r="IF146" s="130"/>
      <c r="IH146" s="14" t="s">
        <v>527</v>
      </c>
    </row>
    <row r="147" spans="1:249">
      <c r="C147" s="356" t="s">
        <v>379</v>
      </c>
      <c r="D147" s="363">
        <f>SUMPRODUCT((RO="ADE")*(Ass=$D$146)*(Avancement&lt;&gt;"Patrimoine"))</f>
        <v>0</v>
      </c>
      <c r="E147" s="363">
        <f>SUMPRODUCT((RO=C147)*(Ass=$E$146)*(Avancement&lt;&gt;"patrimoine"))</f>
        <v>2</v>
      </c>
      <c r="F147" s="363">
        <f t="shared" ref="F147:F154" si="419">SUMPRODUCT((RO=C147)*(Ass=$F$146)*(Avancement&lt;&gt;"patrimoine"))</f>
        <v>2</v>
      </c>
      <c r="G147" s="363">
        <f t="shared" ref="G147:G154" si="420">SUMPRODUCT((RO=C147)*(Ass=$G$146)*(Avancement&lt;&gt;"patrimoine"))</f>
        <v>1</v>
      </c>
      <c r="H147" s="364">
        <f t="shared" ref="H147:H154" si="421">SUMPRODUCT((RO=C147)*(Ass=$H$146)*(Avancement&lt;&gt;"patrimoine"))</f>
        <v>0</v>
      </c>
      <c r="I147" s="363">
        <f t="shared" ref="I147:I154" si="422">SUMPRODUCT((RO=C147)*(Ass=$I$146)*(Avancement&lt;&gt;"patrimoine"))</f>
        <v>1</v>
      </c>
      <c r="J147" s="363">
        <f t="shared" ref="J147:J154" si="423">SUMPRODUCT((RO=C147)*(Ass=$J$146)*(Avancement&lt;&gt;"patrimoine"))</f>
        <v>0</v>
      </c>
      <c r="K147" s="363">
        <f t="shared" ref="K147:K154" si="424">SUMPRODUCT((RO=C147)*(Ass=$K$146)*(Avancement&lt;&gt;"patrimoine"))</f>
        <v>0</v>
      </c>
      <c r="P147" s="143"/>
      <c r="Q147" s="143" t="e">
        <f t="shared" si="418"/>
        <v>#N/A</v>
      </c>
      <c r="R147" s="143"/>
      <c r="AD147" s="142"/>
      <c r="AE147" s="32"/>
      <c r="AF147" s="32"/>
      <c r="AV147" s="14"/>
      <c r="AW147" s="14"/>
      <c r="BN147" s="179"/>
      <c r="BO147" s="179"/>
      <c r="BP147" s="179"/>
      <c r="BQ147" s="179"/>
      <c r="BR147" s="179"/>
      <c r="BS147" s="179"/>
      <c r="BT147" s="179"/>
      <c r="BU147" s="179"/>
      <c r="BV147" s="179"/>
      <c r="BW147" s="179"/>
      <c r="BX147" s="179"/>
      <c r="BY147" s="179"/>
      <c r="BZ147" s="179"/>
      <c r="CN147" s="178"/>
      <c r="CO147" s="178"/>
      <c r="CP147" s="178"/>
      <c r="CQ147" s="178"/>
      <c r="CR147" s="178"/>
      <c r="EV147" s="561"/>
      <c r="EW147" s="561"/>
      <c r="EX147" s="14"/>
      <c r="EY147" s="561"/>
      <c r="EZ147" s="561"/>
      <c r="FA147" s="561"/>
      <c r="HL147" s="148"/>
      <c r="HM147" s="149"/>
      <c r="HN147" s="149"/>
      <c r="HO147" s="149"/>
      <c r="HS147" s="587" t="s">
        <v>432</v>
      </c>
      <c r="HT147" s="130"/>
      <c r="HU147" s="14">
        <f>SUMPRODUCT((Prog=2017)*(Type="Rehab")*(Nlgts))</f>
        <v>192</v>
      </c>
      <c r="HV147" s="130"/>
      <c r="HW147" s="130"/>
      <c r="HX147" s="130"/>
      <c r="HY147" s="144">
        <f>SUMPRODUCT((Prog=2017)*(Type="Rehab")*(LBU))</f>
        <v>0</v>
      </c>
      <c r="HZ147" s="130"/>
      <c r="IB147" s="249">
        <f>HY147/HU147</f>
        <v>0</v>
      </c>
      <c r="IC147" s="14"/>
      <c r="ID147" s="130"/>
      <c r="IE147" s="130"/>
      <c r="IF147" s="130"/>
    </row>
    <row r="148" spans="1:249">
      <c r="C148" s="361" t="s">
        <v>146</v>
      </c>
      <c r="D148" s="364">
        <f t="shared" ref="D148:D154" si="425">SUMPRODUCT((RO=C148)*(Ass=$D$146)*(Avancement&lt;&gt;"patrimoine"))</f>
        <v>0</v>
      </c>
      <c r="E148" s="364">
        <f t="shared" ref="E148:E154" si="426">SUMPRODUCT((RO=C148)*(Ass=$E$146)*(Avancement&lt;&gt;"patrimoine"))</f>
        <v>0</v>
      </c>
      <c r="F148" s="364">
        <f t="shared" si="419"/>
        <v>0</v>
      </c>
      <c r="G148" s="364">
        <f t="shared" si="420"/>
        <v>0</v>
      </c>
      <c r="H148" s="364">
        <f t="shared" si="421"/>
        <v>0</v>
      </c>
      <c r="I148" s="364">
        <f t="shared" si="422"/>
        <v>1</v>
      </c>
      <c r="J148" s="364">
        <f t="shared" si="423"/>
        <v>0</v>
      </c>
      <c r="K148" s="364">
        <f t="shared" si="424"/>
        <v>0</v>
      </c>
      <c r="P148" s="143"/>
      <c r="Q148" s="143" t="e">
        <f t="shared" si="418"/>
        <v>#N/A</v>
      </c>
      <c r="R148" s="143"/>
      <c r="AD148" s="142"/>
      <c r="AE148" s="32"/>
      <c r="AF148" s="32"/>
      <c r="AV148" s="14"/>
      <c r="AW148" s="14"/>
      <c r="BN148" s="179"/>
      <c r="BO148" s="179"/>
      <c r="BP148" s="179"/>
      <c r="BQ148" s="179"/>
      <c r="BR148" s="179"/>
      <c r="BS148" s="179"/>
      <c r="BT148" s="179"/>
      <c r="BU148" s="179"/>
      <c r="BV148" s="179"/>
      <c r="BW148" s="179"/>
      <c r="BX148" s="179"/>
      <c r="BY148" s="179"/>
      <c r="BZ148" s="179"/>
      <c r="CN148" s="178"/>
      <c r="CO148" s="178"/>
      <c r="CP148" s="178"/>
      <c r="CQ148" s="178"/>
      <c r="CR148" s="178"/>
      <c r="EV148" s="561"/>
      <c r="EW148" s="561"/>
      <c r="EX148" s="14"/>
      <c r="EY148" s="561"/>
      <c r="EZ148" s="561"/>
      <c r="FA148" s="561"/>
      <c r="HL148" s="148"/>
      <c r="HM148" s="149"/>
      <c r="HN148" s="149"/>
      <c r="HO148" s="149"/>
      <c r="HS148" s="587"/>
      <c r="HT148" s="130"/>
      <c r="HV148" s="130"/>
      <c r="HW148" s="130"/>
      <c r="HX148" s="130"/>
      <c r="HY148" s="144"/>
      <c r="HZ148" s="130"/>
      <c r="IB148" s="249"/>
      <c r="IC148" s="14"/>
      <c r="ID148" s="130"/>
      <c r="IE148" s="130"/>
      <c r="IF148" s="130"/>
    </row>
    <row r="149" spans="1:249">
      <c r="C149" s="361" t="s">
        <v>317</v>
      </c>
      <c r="D149" s="364">
        <f t="shared" si="425"/>
        <v>2</v>
      </c>
      <c r="E149" s="364">
        <f t="shared" si="426"/>
        <v>1</v>
      </c>
      <c r="F149" s="364">
        <f t="shared" si="419"/>
        <v>0</v>
      </c>
      <c r="G149" s="364">
        <f t="shared" si="420"/>
        <v>0</v>
      </c>
      <c r="H149" s="364">
        <f t="shared" si="421"/>
        <v>0</v>
      </c>
      <c r="I149" s="364">
        <f t="shared" si="422"/>
        <v>0</v>
      </c>
      <c r="J149" s="364">
        <f t="shared" si="423"/>
        <v>2</v>
      </c>
      <c r="K149" s="364">
        <f t="shared" si="424"/>
        <v>1</v>
      </c>
      <c r="P149" s="143"/>
      <c r="Q149" s="143" t="e">
        <f t="shared" si="418"/>
        <v>#N/A</v>
      </c>
      <c r="R149" s="143"/>
      <c r="AD149" s="142"/>
      <c r="AE149" s="32"/>
      <c r="AF149" s="32"/>
      <c r="AV149" s="14"/>
      <c r="AW149" s="14"/>
      <c r="BN149" s="179"/>
      <c r="BO149" s="179"/>
      <c r="BP149" s="179"/>
      <c r="BQ149" s="179"/>
      <c r="BR149" s="179"/>
      <c r="BS149" s="179"/>
      <c r="BT149" s="179"/>
      <c r="BU149" s="179"/>
      <c r="BV149" s="179"/>
      <c r="BW149" s="179"/>
      <c r="BX149" s="179"/>
      <c r="BY149" s="179"/>
      <c r="BZ149" s="179"/>
      <c r="CN149" s="178"/>
      <c r="CO149" s="178"/>
      <c r="CP149" s="178"/>
      <c r="CQ149" s="178"/>
      <c r="CR149" s="178"/>
      <c r="EV149" s="561"/>
      <c r="EW149" s="561"/>
      <c r="EX149" s="14"/>
      <c r="EY149" s="561"/>
      <c r="EZ149" s="561"/>
      <c r="FA149" s="561"/>
      <c r="HL149" s="150"/>
      <c r="HM149" s="149"/>
      <c r="HN149" s="149"/>
      <c r="HO149" s="149"/>
      <c r="HP149" s="130"/>
      <c r="HQ149" s="130"/>
      <c r="HR149" s="130"/>
      <c r="HS149" s="587" t="s">
        <v>425</v>
      </c>
      <c r="HT149" s="130"/>
      <c r="HU149" s="14">
        <f>SUMPRODUCT((Prog=2017)*(Type="PLS")*(Nlgts))</f>
        <v>200</v>
      </c>
      <c r="HV149" s="130"/>
      <c r="HW149" s="130"/>
      <c r="HX149" s="130"/>
      <c r="HY149" s="144"/>
      <c r="HZ149" s="130"/>
      <c r="IB149" s="249">
        <f>HY149/HU149</f>
        <v>0</v>
      </c>
      <c r="IC149" s="14"/>
      <c r="ID149" s="130"/>
      <c r="IE149" s="130"/>
      <c r="IF149" s="130"/>
    </row>
    <row r="150" spans="1:249">
      <c r="C150" s="361" t="s">
        <v>30</v>
      </c>
      <c r="D150" s="364">
        <f t="shared" si="425"/>
        <v>0</v>
      </c>
      <c r="E150" s="364">
        <f t="shared" si="426"/>
        <v>1</v>
      </c>
      <c r="F150" s="364">
        <f t="shared" si="419"/>
        <v>1</v>
      </c>
      <c r="G150" s="364">
        <f t="shared" si="420"/>
        <v>0</v>
      </c>
      <c r="H150" s="364">
        <f t="shared" si="421"/>
        <v>0</v>
      </c>
      <c r="I150" s="364">
        <f t="shared" si="422"/>
        <v>0</v>
      </c>
      <c r="J150" s="364">
        <f t="shared" si="423"/>
        <v>1</v>
      </c>
      <c r="K150" s="364">
        <f t="shared" si="424"/>
        <v>3</v>
      </c>
      <c r="P150" s="143"/>
      <c r="Q150" s="143" t="e">
        <f t="shared" si="418"/>
        <v>#N/A</v>
      </c>
      <c r="R150" s="143"/>
      <c r="AD150" s="142"/>
      <c r="AE150" s="32"/>
      <c r="AF150" s="32"/>
      <c r="BE150" s="34"/>
      <c r="DR150" s="34"/>
      <c r="DX150" s="34"/>
      <c r="DY150" s="34"/>
      <c r="DZ150" s="34"/>
      <c r="EB150" s="230"/>
      <c r="EC150" s="34"/>
      <c r="EV150" s="561"/>
      <c r="EW150" s="561"/>
      <c r="EX150" s="14"/>
      <c r="EY150" s="561"/>
      <c r="EZ150" s="561"/>
      <c r="FA150" s="561"/>
      <c r="FB150" s="34"/>
      <c r="FC150" s="34"/>
      <c r="FD150" s="34"/>
      <c r="FE150" s="34"/>
      <c r="FF150" s="34"/>
      <c r="FG150" s="34"/>
      <c r="FH150" s="34"/>
      <c r="FI150" s="34"/>
      <c r="FJ150" s="34"/>
      <c r="FK150" s="34"/>
      <c r="FL150" s="339"/>
      <c r="FM150" s="34"/>
      <c r="FN150" s="34"/>
      <c r="FO150" s="34"/>
      <c r="FP150" s="34"/>
      <c r="GA150" s="34"/>
      <c r="GB150" s="34"/>
      <c r="GC150" s="34"/>
      <c r="GD150" s="34"/>
      <c r="GE150" s="34"/>
      <c r="GF150" s="34"/>
      <c r="GG150" s="34"/>
      <c r="GH150" s="34"/>
      <c r="GI150" s="34"/>
      <c r="GJ150" s="34"/>
      <c r="GK150" s="34"/>
      <c r="GL150" s="34"/>
      <c r="GM150" s="34"/>
      <c r="GN150" s="34"/>
      <c r="GO150" s="34"/>
      <c r="GP150" s="34"/>
      <c r="GQ150" s="34"/>
      <c r="GR150" s="34"/>
      <c r="GS150" s="34"/>
      <c r="GT150" s="34"/>
      <c r="GU150" s="34"/>
      <c r="HV150" s="14"/>
      <c r="HW150" s="14"/>
      <c r="HX150" s="14"/>
      <c r="HY150" s="14"/>
      <c r="HZ150" s="150"/>
      <c r="IA150" s="149"/>
      <c r="IB150" s="149"/>
      <c r="IC150" s="149"/>
      <c r="ID150" s="130"/>
      <c r="IE150" s="130"/>
      <c r="IF150" s="130"/>
      <c r="IG150" s="130"/>
      <c r="IH150" s="130"/>
      <c r="II150" s="130"/>
      <c r="IJ150" s="130"/>
      <c r="IK150" s="130"/>
      <c r="IL150" s="130"/>
      <c r="IM150" s="130"/>
      <c r="IN150" s="130"/>
      <c r="IO150" s="130"/>
    </row>
    <row r="151" spans="1:249">
      <c r="C151" s="361" t="s">
        <v>378</v>
      </c>
      <c r="D151" s="364">
        <f t="shared" si="425"/>
        <v>3</v>
      </c>
      <c r="E151" s="364">
        <f t="shared" si="426"/>
        <v>2</v>
      </c>
      <c r="F151" s="364">
        <f t="shared" si="419"/>
        <v>0</v>
      </c>
      <c r="G151" s="364">
        <f t="shared" si="420"/>
        <v>0</v>
      </c>
      <c r="H151" s="364">
        <f t="shared" si="421"/>
        <v>0</v>
      </c>
      <c r="I151" s="364">
        <f t="shared" si="422"/>
        <v>3</v>
      </c>
      <c r="J151" s="364">
        <f t="shared" si="423"/>
        <v>0</v>
      </c>
      <c r="K151" s="364">
        <f t="shared" si="424"/>
        <v>1</v>
      </c>
      <c r="EV151" s="561"/>
      <c r="EW151" s="561"/>
      <c r="EX151" s="14"/>
      <c r="EY151" s="561"/>
      <c r="EZ151" s="561"/>
      <c r="FA151" s="561"/>
      <c r="HV151" s="14"/>
      <c r="HW151" s="14"/>
      <c r="HX151" s="14"/>
      <c r="HY151" s="14"/>
      <c r="HZ151" s="150"/>
      <c r="IA151" s="149"/>
      <c r="IB151" s="149"/>
      <c r="IC151" s="149"/>
      <c r="ID151" s="130"/>
      <c r="IE151" s="130"/>
      <c r="IF151" s="130"/>
      <c r="IG151" s="130"/>
      <c r="IH151" s="130"/>
      <c r="II151" s="130"/>
      <c r="IJ151" s="130"/>
      <c r="IK151" s="130"/>
      <c r="IL151" s="130"/>
      <c r="IM151" s="130"/>
      <c r="IN151" s="130"/>
      <c r="IO151" s="130"/>
    </row>
    <row r="152" spans="1:249">
      <c r="C152" s="361" t="s">
        <v>374</v>
      </c>
      <c r="D152" s="364">
        <f t="shared" si="425"/>
        <v>3</v>
      </c>
      <c r="E152" s="364">
        <f t="shared" si="426"/>
        <v>0</v>
      </c>
      <c r="F152" s="364">
        <f t="shared" si="419"/>
        <v>0</v>
      </c>
      <c r="G152" s="364">
        <f t="shared" si="420"/>
        <v>1</v>
      </c>
      <c r="H152" s="364">
        <f t="shared" si="421"/>
        <v>0</v>
      </c>
      <c r="I152" s="364">
        <f t="shared" si="422"/>
        <v>0</v>
      </c>
      <c r="J152" s="364">
        <f t="shared" si="423"/>
        <v>0</v>
      </c>
      <c r="K152" s="364">
        <f t="shared" si="424"/>
        <v>1</v>
      </c>
      <c r="EV152" s="561"/>
      <c r="EW152" s="561"/>
      <c r="EX152" s="14"/>
      <c r="EY152" s="561"/>
      <c r="EZ152" s="561"/>
      <c r="FA152" s="561"/>
      <c r="HV152" s="14"/>
      <c r="HW152" s="14"/>
      <c r="HX152" s="14"/>
      <c r="HY152" s="14"/>
      <c r="HZ152" s="150"/>
      <c r="IA152" s="149"/>
      <c r="IB152" s="149"/>
      <c r="IC152" s="149"/>
      <c r="ID152" s="130"/>
      <c r="IE152" s="130"/>
      <c r="IF152" s="130"/>
      <c r="IG152" s="130"/>
      <c r="IH152" s="130"/>
      <c r="II152" s="130"/>
      <c r="IJ152" s="130"/>
      <c r="IK152" s="130"/>
      <c r="IL152" s="130"/>
      <c r="IM152" s="130"/>
      <c r="IN152" s="130"/>
      <c r="IO152" s="130"/>
    </row>
    <row r="153" spans="1:249" ht="15.75" thickBot="1">
      <c r="C153" s="361" t="s">
        <v>54</v>
      </c>
      <c r="D153" s="364">
        <f t="shared" si="425"/>
        <v>0</v>
      </c>
      <c r="E153" s="364">
        <f t="shared" si="426"/>
        <v>0</v>
      </c>
      <c r="F153" s="364">
        <f t="shared" si="419"/>
        <v>0</v>
      </c>
      <c r="G153" s="364">
        <f t="shared" si="420"/>
        <v>2</v>
      </c>
      <c r="H153" s="364">
        <f t="shared" si="421"/>
        <v>0</v>
      </c>
      <c r="I153" s="364">
        <f t="shared" si="422"/>
        <v>1</v>
      </c>
      <c r="J153" s="364">
        <f t="shared" si="423"/>
        <v>1</v>
      </c>
      <c r="K153" s="364">
        <f t="shared" si="424"/>
        <v>2</v>
      </c>
      <c r="P153" s="33">
        <v>2015</v>
      </c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V153" s="14"/>
      <c r="AW153" s="14"/>
      <c r="BL153" s="179"/>
      <c r="BM153" s="179"/>
      <c r="BN153" s="179"/>
      <c r="CN153" s="178"/>
      <c r="CO153" s="178"/>
      <c r="CP153" s="178"/>
      <c r="CQ153" s="178"/>
      <c r="CR153" s="178"/>
      <c r="EV153" s="561"/>
      <c r="EW153" s="561"/>
      <c r="EX153" s="14"/>
      <c r="EY153" s="561"/>
      <c r="EZ153" s="561"/>
      <c r="FA153" s="561"/>
      <c r="HI153" s="150"/>
      <c r="HJ153" s="149"/>
      <c r="HK153" s="149"/>
      <c r="HL153" s="149"/>
      <c r="HM153" s="149"/>
      <c r="HN153" s="130"/>
      <c r="HO153" s="130"/>
      <c r="HP153" s="130"/>
      <c r="HQ153" s="130"/>
      <c r="HR153" s="130"/>
      <c r="HS153" s="587"/>
      <c r="HT153" s="130"/>
      <c r="HU153" s="130"/>
      <c r="HV153" s="130"/>
      <c r="HW153" s="130"/>
      <c r="HX153" s="130"/>
      <c r="HY153" s="130"/>
      <c r="HZ153" s="130"/>
      <c r="IA153" s="130"/>
      <c r="IB153" s="130"/>
      <c r="IC153" s="130"/>
      <c r="ID153" s="130"/>
    </row>
    <row r="154" spans="1:249" ht="15.75" thickBot="1">
      <c r="C154" s="359" t="s">
        <v>433</v>
      </c>
      <c r="D154" s="363">
        <f t="shared" si="425"/>
        <v>1</v>
      </c>
      <c r="E154" s="363">
        <f t="shared" si="426"/>
        <v>1</v>
      </c>
      <c r="F154" s="363">
        <f t="shared" si="419"/>
        <v>0</v>
      </c>
      <c r="G154" s="363">
        <f t="shared" si="420"/>
        <v>1</v>
      </c>
      <c r="H154" s="364">
        <f t="shared" si="421"/>
        <v>9</v>
      </c>
      <c r="I154" s="363">
        <f t="shared" si="422"/>
        <v>0</v>
      </c>
      <c r="J154" s="363">
        <f t="shared" si="423"/>
        <v>0</v>
      </c>
      <c r="K154" s="363">
        <f t="shared" si="424"/>
        <v>1</v>
      </c>
      <c r="L154" s="312"/>
      <c r="M154" s="198"/>
      <c r="N154" s="198"/>
      <c r="O154" s="198"/>
      <c r="P154" s="152">
        <f>SUMPRODUCT((Notaire=A231)*(Prog=$P$153))</f>
        <v>1</v>
      </c>
      <c r="AA154" s="142"/>
      <c r="AB154" s="142"/>
      <c r="AC154" s="142"/>
      <c r="AV154" s="14"/>
      <c r="AW154" s="14"/>
      <c r="BL154" s="179"/>
      <c r="BM154" s="179"/>
      <c r="BN154" s="179"/>
      <c r="CN154" s="178"/>
      <c r="CO154" s="178"/>
      <c r="CP154" s="178"/>
      <c r="CQ154" s="178"/>
      <c r="CR154" s="178"/>
      <c r="EV154" s="561"/>
      <c r="EW154" s="561"/>
      <c r="EX154" s="14"/>
      <c r="EY154" s="561"/>
      <c r="EZ154" s="561"/>
      <c r="FA154" s="561"/>
      <c r="HI154" s="148"/>
      <c r="HJ154" s="149"/>
      <c r="HK154" s="149"/>
      <c r="HL154" s="149"/>
      <c r="HM154" s="149"/>
      <c r="HN154" s="130"/>
      <c r="HO154" s="130"/>
      <c r="HP154" s="130"/>
      <c r="HQ154" s="130"/>
      <c r="HR154" s="130"/>
      <c r="HS154" s="587"/>
      <c r="HT154" s="130"/>
      <c r="HU154" s="130"/>
      <c r="HV154" s="130"/>
      <c r="HW154" s="130"/>
      <c r="HX154" s="130"/>
      <c r="HY154" s="130"/>
      <c r="HZ154" s="130"/>
      <c r="IA154" s="130"/>
      <c r="IB154" s="130"/>
      <c r="IC154" s="130"/>
      <c r="ID154" s="130"/>
    </row>
    <row r="155" spans="1:249" ht="15.75" thickBot="1">
      <c r="A155" s="264" t="s">
        <v>835</v>
      </c>
      <c r="B155" s="264"/>
      <c r="C155" s="264">
        <f>SUBTOTAL(9,D155:K155)</f>
        <v>52</v>
      </c>
      <c r="D155" s="360">
        <f t="shared" ref="D155:K155" si="427">SUM(D147:D154)</f>
        <v>9</v>
      </c>
      <c r="E155" s="360">
        <f t="shared" si="427"/>
        <v>7</v>
      </c>
      <c r="F155" s="360">
        <f t="shared" si="427"/>
        <v>3</v>
      </c>
      <c r="G155" s="360">
        <f t="shared" si="427"/>
        <v>5</v>
      </c>
      <c r="H155" s="360">
        <f t="shared" si="427"/>
        <v>9</v>
      </c>
      <c r="I155" s="360">
        <f t="shared" si="427"/>
        <v>6</v>
      </c>
      <c r="J155" s="360">
        <f t="shared" si="427"/>
        <v>4</v>
      </c>
      <c r="K155" s="360">
        <f t="shared" si="427"/>
        <v>9</v>
      </c>
      <c r="L155" s="312"/>
      <c r="M155" s="198"/>
      <c r="N155" s="198"/>
      <c r="O155" s="198"/>
      <c r="P155" s="153">
        <f>SUMPRODUCT((Notaire=A232)*(Prog=$P$153))</f>
        <v>0</v>
      </c>
      <c r="AA155" s="142"/>
      <c r="AB155" s="142"/>
      <c r="AC155" s="142"/>
      <c r="AV155" s="14"/>
      <c r="AW155" s="14"/>
      <c r="BL155" s="179"/>
      <c r="BM155" s="179"/>
      <c r="BN155" s="179"/>
      <c r="CN155" s="178"/>
      <c r="CO155" s="178"/>
      <c r="CP155" s="178"/>
      <c r="CQ155" s="178"/>
      <c r="CR155" s="178"/>
      <c r="EV155" s="561"/>
      <c r="EW155" s="561"/>
      <c r="EX155" s="14"/>
      <c r="EY155" s="561"/>
      <c r="EZ155" s="561"/>
      <c r="FA155" s="561"/>
      <c r="HI155" s="150"/>
      <c r="HJ155" s="149"/>
      <c r="HK155" s="149"/>
      <c r="HL155" s="149"/>
      <c r="HM155" s="149"/>
      <c r="HN155" s="130"/>
      <c r="HO155" s="130"/>
      <c r="HP155" s="130"/>
      <c r="HQ155" s="130"/>
      <c r="HR155" s="130"/>
      <c r="HS155" s="587"/>
      <c r="HT155" s="130"/>
      <c r="HU155" s="130"/>
      <c r="HV155" s="130"/>
      <c r="HW155" s="130"/>
      <c r="HX155" s="130"/>
      <c r="HY155" s="130"/>
      <c r="HZ155" s="130"/>
      <c r="IA155" s="130"/>
      <c r="IB155" s="130"/>
      <c r="IC155" s="130"/>
      <c r="ID155" s="130"/>
    </row>
    <row r="156" spans="1:249" ht="15.75" thickBot="1">
      <c r="A156" s="264" t="s">
        <v>557</v>
      </c>
      <c r="B156" s="264"/>
      <c r="C156" s="264">
        <f>SUBTOTAL(9,D156:K156)</f>
        <v>4</v>
      </c>
      <c r="D156" s="362">
        <v>1</v>
      </c>
      <c r="E156" s="264">
        <v>1</v>
      </c>
      <c r="F156" s="264"/>
      <c r="G156" s="264"/>
      <c r="H156" s="264"/>
      <c r="I156" s="264">
        <v>2</v>
      </c>
      <c r="J156" s="264"/>
      <c r="K156" s="264"/>
      <c r="L156" s="312"/>
      <c r="M156" s="198"/>
      <c r="N156" s="198"/>
      <c r="O156" s="198"/>
      <c r="P156" s="153">
        <f>SUMPRODUCT((Notaire=A233)*(Prog=$P$153))</f>
        <v>3</v>
      </c>
      <c r="AA156" s="142"/>
      <c r="AB156" s="142"/>
      <c r="AC156" s="142"/>
      <c r="AV156" s="14"/>
      <c r="AW156" s="14"/>
      <c r="BL156" s="179"/>
      <c r="BM156" s="179"/>
      <c r="BN156" s="179"/>
      <c r="CN156" s="178"/>
      <c r="CO156" s="178"/>
      <c r="CP156" s="178"/>
      <c r="CQ156" s="178"/>
      <c r="CR156" s="178"/>
      <c r="EV156" s="561"/>
      <c r="EW156" s="561"/>
      <c r="EX156" s="14"/>
      <c r="EY156" s="561"/>
      <c r="EZ156" s="561"/>
      <c r="FA156" s="561"/>
      <c r="HI156" s="148"/>
      <c r="HJ156" s="149"/>
      <c r="HK156" s="149"/>
      <c r="HL156" s="149"/>
      <c r="HM156" s="149"/>
      <c r="HN156" s="130"/>
      <c r="HO156" s="130"/>
      <c r="HP156" s="130"/>
      <c r="HQ156" s="130"/>
      <c r="HR156" s="130"/>
      <c r="HS156" s="587"/>
      <c r="HT156" s="130"/>
      <c r="HU156" s="130"/>
      <c r="HV156" s="130"/>
      <c r="HW156" s="130"/>
      <c r="HX156" s="130"/>
      <c r="HY156" s="130"/>
      <c r="HZ156" s="130"/>
      <c r="IA156" s="130"/>
      <c r="IB156" s="130"/>
      <c r="IC156" s="130"/>
      <c r="ID156" s="130"/>
    </row>
    <row r="157" spans="1:249" ht="15.75" thickBot="1">
      <c r="A157" s="357" t="s">
        <v>115</v>
      </c>
      <c r="B157" s="357"/>
      <c r="C157" s="357">
        <f>SUBTOTAL(9,D157:K157)</f>
        <v>56</v>
      </c>
      <c r="D157" s="360">
        <f>D155+D156</f>
        <v>10</v>
      </c>
      <c r="E157" s="357">
        <f t="shared" ref="E157:K157" si="428">E155+E156</f>
        <v>8</v>
      </c>
      <c r="F157" s="357">
        <f t="shared" si="428"/>
        <v>3</v>
      </c>
      <c r="G157" s="357">
        <f t="shared" si="428"/>
        <v>5</v>
      </c>
      <c r="H157" s="357">
        <f t="shared" si="428"/>
        <v>9</v>
      </c>
      <c r="I157" s="357">
        <f t="shared" si="428"/>
        <v>8</v>
      </c>
      <c r="J157" s="357">
        <f t="shared" si="428"/>
        <v>4</v>
      </c>
      <c r="K157" s="357">
        <f t="shared" si="428"/>
        <v>9</v>
      </c>
      <c r="L157" s="312"/>
      <c r="M157" s="198"/>
      <c r="N157" s="198"/>
      <c r="O157" s="198"/>
      <c r="P157" s="153">
        <f>SUMPRODUCT((Notaire=A234)*(Prog=$P$153))</f>
        <v>0</v>
      </c>
      <c r="AA157" s="142"/>
      <c r="AB157" s="142"/>
      <c r="AC157" s="142"/>
      <c r="AV157" s="14"/>
      <c r="AW157" s="14"/>
      <c r="BL157" s="179"/>
      <c r="BM157" s="179"/>
      <c r="BN157" s="179"/>
      <c r="CN157" s="178"/>
      <c r="CO157" s="178"/>
      <c r="CP157" s="178"/>
      <c r="CQ157" s="178"/>
      <c r="CR157" s="178"/>
      <c r="EV157" s="561"/>
      <c r="EW157" s="561"/>
      <c r="EX157" s="14"/>
      <c r="EY157" s="561"/>
      <c r="EZ157" s="561"/>
      <c r="FA157" s="561"/>
      <c r="HI157" s="130"/>
      <c r="HJ157" s="130"/>
      <c r="HK157" s="130"/>
      <c r="HL157" s="130"/>
      <c r="HM157" s="130"/>
      <c r="HN157" s="130"/>
      <c r="HO157" s="130"/>
      <c r="HP157" s="130"/>
      <c r="HQ157" s="130"/>
      <c r="HR157" s="130"/>
      <c r="HS157" s="587"/>
      <c r="HT157" s="130"/>
      <c r="HU157" s="130"/>
      <c r="HV157" s="130"/>
      <c r="HW157" s="130"/>
      <c r="HX157" s="130"/>
      <c r="HY157" s="130"/>
      <c r="HZ157" s="130"/>
      <c r="IA157" s="130"/>
      <c r="IB157" s="130"/>
      <c r="IC157" s="130"/>
      <c r="ID157" s="130"/>
    </row>
    <row r="158" spans="1:249">
      <c r="A158" s="843" t="s">
        <v>836</v>
      </c>
      <c r="D158" s="14">
        <v>1</v>
      </c>
      <c r="E158" s="14">
        <v>1</v>
      </c>
      <c r="F158" s="14">
        <v>1</v>
      </c>
      <c r="G158" s="14">
        <v>1</v>
      </c>
      <c r="H158" s="14">
        <v>0</v>
      </c>
      <c r="I158" s="14">
        <v>3</v>
      </c>
      <c r="J158" s="14">
        <v>1</v>
      </c>
      <c r="K158" s="14">
        <v>1</v>
      </c>
      <c r="L158" s="312"/>
      <c r="M158" s="198"/>
      <c r="N158" s="198"/>
      <c r="O158" s="198"/>
      <c r="P158" s="153">
        <f>SUMPRODUCT((Notaire=A235)*(Prog=$P$153))</f>
        <v>2</v>
      </c>
      <c r="AA158" s="142"/>
      <c r="AB158" s="142"/>
      <c r="AC158" s="142"/>
      <c r="EV158" s="561"/>
      <c r="EW158" s="561"/>
      <c r="EX158" s="14"/>
      <c r="EY158" s="561"/>
      <c r="EZ158" s="561"/>
      <c r="FA158" s="561"/>
      <c r="HV158" s="14"/>
      <c r="HW158" s="14"/>
      <c r="HX158" s="14"/>
      <c r="HY158" s="14"/>
      <c r="HZ158" s="14"/>
      <c r="IA158" s="14"/>
      <c r="IB158" s="14"/>
      <c r="IC158" s="14"/>
    </row>
    <row r="159" spans="1:249">
      <c r="L159" s="312"/>
      <c r="M159" s="198"/>
      <c r="N159" s="198"/>
      <c r="O159" s="198"/>
      <c r="P159" s="153"/>
      <c r="AA159" s="142"/>
      <c r="AB159" s="142"/>
      <c r="AC159" s="142"/>
      <c r="EV159" s="561"/>
      <c r="EW159" s="561"/>
      <c r="EX159" s="14"/>
      <c r="EY159" s="561"/>
      <c r="EZ159" s="561"/>
      <c r="FA159" s="561"/>
      <c r="HV159" s="14"/>
      <c r="HW159" s="14"/>
      <c r="HX159" s="14"/>
      <c r="HY159" s="14"/>
      <c r="HZ159" s="14"/>
      <c r="IA159" s="14"/>
      <c r="IB159" s="14"/>
      <c r="IC159" s="14"/>
    </row>
    <row r="160" spans="1:249">
      <c r="L160" s="312"/>
      <c r="M160" s="198"/>
      <c r="N160" s="198"/>
      <c r="O160" s="198"/>
      <c r="P160" s="153">
        <f t="shared" ref="P160" si="429">SUMPRODUCT((Notaire=A236)*(Prog=$P$153))</f>
        <v>0</v>
      </c>
      <c r="AA160" s="142"/>
      <c r="AB160" s="142"/>
      <c r="AC160" s="142"/>
      <c r="EV160" s="561"/>
      <c r="EW160" s="561"/>
      <c r="EX160" s="14"/>
      <c r="EY160" s="561"/>
      <c r="EZ160" s="561"/>
      <c r="FA160" s="561"/>
      <c r="HV160" s="14"/>
      <c r="HW160" s="14"/>
      <c r="HX160" s="14"/>
      <c r="HY160" s="14"/>
      <c r="HZ160" s="14"/>
      <c r="IA160" s="14"/>
      <c r="IB160" s="14"/>
      <c r="IC160" s="14"/>
    </row>
    <row r="161" spans="3:237">
      <c r="C161" s="263"/>
      <c r="D161" s="768" t="s">
        <v>272</v>
      </c>
      <c r="E161" s="768" t="s">
        <v>10</v>
      </c>
      <c r="F161" s="768" t="s">
        <v>384</v>
      </c>
      <c r="P161" s="33">
        <f>SUM(P154:P160)</f>
        <v>6</v>
      </c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>
        <f>SUM(E231:E236)</f>
        <v>10</v>
      </c>
      <c r="AE161" s="33">
        <f>SUM(F231:F236)</f>
        <v>6</v>
      </c>
      <c r="AF161" s="33"/>
      <c r="EV161" s="561"/>
      <c r="EW161" s="561"/>
      <c r="EX161" s="14"/>
      <c r="EY161" s="561"/>
      <c r="EZ161" s="561"/>
      <c r="FA161" s="561"/>
      <c r="HV161" s="14"/>
      <c r="HW161" s="14"/>
      <c r="HX161" s="14"/>
      <c r="HY161" s="14"/>
      <c r="HZ161" s="14"/>
      <c r="IA161" s="14"/>
      <c r="IB161" s="14"/>
      <c r="IC161" s="14"/>
    </row>
    <row r="162" spans="3:237">
      <c r="C162" s="266" t="s">
        <v>364</v>
      </c>
      <c r="D162" s="265" t="s">
        <v>383</v>
      </c>
      <c r="E162" s="265" t="s">
        <v>146</v>
      </c>
      <c r="F162" s="265" t="s">
        <v>181</v>
      </c>
      <c r="AQ162" s="142"/>
      <c r="AR162" s="32"/>
      <c r="AV162" s="14"/>
      <c r="AW162" s="14"/>
      <c r="CF162" s="179"/>
      <c r="CG162" s="179"/>
      <c r="CH162" s="179"/>
      <c r="CI162" s="179"/>
      <c r="CJ162" s="179"/>
      <c r="CK162" s="179"/>
      <c r="CL162" s="179"/>
      <c r="CN162" s="178"/>
      <c r="CO162" s="178"/>
      <c r="CP162" s="178"/>
      <c r="CQ162" s="178"/>
      <c r="CR162" s="178"/>
      <c r="EV162" s="561"/>
      <c r="EW162" s="561"/>
      <c r="EX162" s="14"/>
      <c r="EY162" s="561"/>
      <c r="EZ162" s="561"/>
      <c r="FA162" s="561"/>
      <c r="HV162" s="14"/>
      <c r="HW162" s="14"/>
      <c r="HX162" s="14"/>
      <c r="HY162" s="14"/>
      <c r="HZ162" s="14"/>
      <c r="IA162" s="14"/>
      <c r="IB162" s="14"/>
      <c r="IC162" s="14"/>
    </row>
    <row r="163" spans="3:237">
      <c r="C163" s="266" t="s">
        <v>363</v>
      </c>
      <c r="D163" s="265" t="s">
        <v>385</v>
      </c>
      <c r="E163" s="265" t="s">
        <v>146</v>
      </c>
      <c r="F163" s="265" t="s">
        <v>610</v>
      </c>
      <c r="AQ163" s="142"/>
      <c r="AR163" s="32"/>
      <c r="AV163" s="14"/>
      <c r="AW163" s="14"/>
      <c r="CF163" s="179"/>
      <c r="CG163" s="179"/>
      <c r="CH163" s="179"/>
      <c r="CI163" s="179"/>
      <c r="CJ163" s="179"/>
      <c r="CK163" s="179"/>
      <c r="CL163" s="179"/>
      <c r="CN163" s="178"/>
      <c r="CO163" s="178"/>
      <c r="CP163" s="178"/>
      <c r="CQ163" s="178"/>
      <c r="CR163" s="178"/>
      <c r="EV163" s="561"/>
      <c r="EW163" s="561"/>
      <c r="EX163" s="14"/>
      <c r="EY163" s="561"/>
      <c r="EZ163" s="561"/>
      <c r="FA163" s="561"/>
      <c r="HV163" s="14"/>
      <c r="HW163" s="14"/>
      <c r="HX163" s="14"/>
      <c r="HY163" s="14"/>
      <c r="HZ163" s="14"/>
      <c r="IA163" s="14"/>
      <c r="IB163" s="14"/>
      <c r="IC163" s="14"/>
    </row>
    <row r="164" spans="3:237">
      <c r="C164" s="266" t="s">
        <v>580</v>
      </c>
      <c r="D164" s="265" t="s">
        <v>243</v>
      </c>
      <c r="E164" s="265" t="s">
        <v>146</v>
      </c>
      <c r="F164" s="265"/>
      <c r="AQ164" s="142"/>
      <c r="AR164" s="32"/>
      <c r="AV164" s="14"/>
      <c r="AW164" s="14"/>
      <c r="CF164" s="179"/>
      <c r="CG164" s="179"/>
      <c r="CH164" s="179"/>
      <c r="CI164" s="179"/>
      <c r="CJ164" s="179"/>
      <c r="CK164" s="179"/>
      <c r="CL164" s="179"/>
      <c r="CN164" s="178"/>
      <c r="CO164" s="178"/>
      <c r="CP164" s="178"/>
      <c r="CQ164" s="178"/>
      <c r="CR164" s="178"/>
      <c r="EV164" s="561"/>
      <c r="EW164" s="561"/>
      <c r="EX164" s="14"/>
      <c r="EY164" s="561"/>
      <c r="EZ164" s="561"/>
      <c r="FA164" s="561"/>
      <c r="HV164" s="14"/>
      <c r="HW164" s="14"/>
      <c r="HX164" s="14"/>
      <c r="HY164" s="14"/>
      <c r="HZ164" s="14"/>
      <c r="IA164" s="14"/>
      <c r="IB164" s="14"/>
      <c r="IC164" s="14"/>
    </row>
    <row r="165" spans="3:237">
      <c r="C165" s="267" t="s">
        <v>833</v>
      </c>
      <c r="D165" s="265" t="s">
        <v>386</v>
      </c>
      <c r="E165" s="265" t="s">
        <v>146</v>
      </c>
      <c r="F165" s="265" t="s">
        <v>181</v>
      </c>
      <c r="AQ165" s="142"/>
      <c r="AR165" s="32"/>
      <c r="AV165" s="14"/>
      <c r="AW165" s="14"/>
      <c r="CF165" s="179"/>
      <c r="CG165" s="179"/>
      <c r="CH165" s="179"/>
      <c r="CI165" s="179"/>
      <c r="CJ165" s="179"/>
      <c r="CK165" s="179"/>
      <c r="CL165" s="179"/>
      <c r="CN165" s="178"/>
      <c r="CO165" s="178"/>
      <c r="CP165" s="178"/>
      <c r="CQ165" s="178"/>
      <c r="CR165" s="178"/>
      <c r="EV165" s="561"/>
      <c r="EW165" s="561"/>
      <c r="EX165" s="14"/>
      <c r="EY165" s="561"/>
      <c r="EZ165" s="561"/>
      <c r="FA165" s="561"/>
      <c r="HV165" s="14"/>
      <c r="HW165" s="14"/>
      <c r="HX165" s="14"/>
      <c r="HY165" s="14"/>
      <c r="HZ165" s="14"/>
      <c r="IA165" s="14"/>
      <c r="IB165" s="14"/>
      <c r="IC165" s="14"/>
    </row>
    <row r="166" spans="3:237">
      <c r="C166" s="267" t="s">
        <v>834</v>
      </c>
      <c r="D166" s="265" t="s">
        <v>386</v>
      </c>
      <c r="E166" s="265" t="s">
        <v>378</v>
      </c>
      <c r="F166" s="265" t="s">
        <v>610</v>
      </c>
      <c r="AQ166" s="142"/>
      <c r="AR166" s="32"/>
      <c r="AV166" s="14"/>
      <c r="AW166" s="14"/>
      <c r="CF166" s="179"/>
      <c r="CG166" s="179"/>
      <c r="CH166" s="179"/>
      <c r="CI166" s="179"/>
      <c r="CJ166" s="179"/>
      <c r="CK166" s="179"/>
      <c r="CL166" s="179"/>
      <c r="CN166" s="178"/>
      <c r="CO166" s="178"/>
      <c r="CP166" s="178"/>
      <c r="CQ166" s="178"/>
      <c r="CR166" s="178"/>
      <c r="EV166" s="561"/>
      <c r="EW166" s="561"/>
      <c r="EX166" s="14"/>
      <c r="EY166" s="561"/>
      <c r="EZ166" s="561"/>
      <c r="FA166" s="561"/>
      <c r="HV166" s="14"/>
      <c r="HW166" s="14"/>
      <c r="HX166" s="14"/>
      <c r="HY166" s="14"/>
      <c r="HZ166" s="14"/>
      <c r="IA166" s="14"/>
      <c r="IB166" s="14"/>
      <c r="IC166" s="14"/>
    </row>
    <row r="167" spans="3:237">
      <c r="AQ167" s="142"/>
      <c r="AR167" s="32"/>
      <c r="AV167" s="14"/>
      <c r="AW167" s="14"/>
      <c r="CF167" s="179"/>
      <c r="CG167" s="179"/>
      <c r="CH167" s="179"/>
      <c r="CI167" s="179"/>
      <c r="CJ167" s="179"/>
      <c r="CK167" s="179"/>
      <c r="CL167" s="179"/>
      <c r="CN167" s="178"/>
      <c r="CO167" s="178"/>
      <c r="CP167" s="178"/>
      <c r="CQ167" s="178"/>
      <c r="CR167" s="178"/>
      <c r="EV167" s="561"/>
      <c r="EW167" s="561"/>
      <c r="EX167" s="14"/>
      <c r="EY167" s="561"/>
      <c r="EZ167" s="561"/>
      <c r="FA167" s="561"/>
      <c r="HV167" s="14"/>
      <c r="HW167" s="14"/>
      <c r="HX167" s="14"/>
      <c r="HY167" s="14"/>
      <c r="HZ167" s="14"/>
      <c r="IA167" s="14"/>
      <c r="IB167" s="14"/>
      <c r="IC167" s="14"/>
    </row>
    <row r="168" spans="3:237">
      <c r="AQ168" s="142"/>
      <c r="AR168" s="32"/>
      <c r="AV168" s="14"/>
      <c r="AW168" s="14"/>
      <c r="CF168" s="179"/>
      <c r="CG168" s="179"/>
      <c r="CH168" s="179"/>
      <c r="CI168" s="179"/>
      <c r="CJ168" s="179"/>
      <c r="CK168" s="179"/>
      <c r="CL168" s="179"/>
      <c r="CN168" s="178"/>
      <c r="CO168" s="178"/>
      <c r="CP168" s="178"/>
      <c r="CQ168" s="178"/>
      <c r="CR168" s="178"/>
      <c r="EV168" s="561"/>
      <c r="EW168" s="561"/>
      <c r="EX168" s="14"/>
      <c r="EY168" s="561"/>
      <c r="EZ168" s="561"/>
      <c r="FA168" s="561"/>
      <c r="HV168" s="14"/>
      <c r="HW168" s="14"/>
      <c r="HX168" s="14"/>
      <c r="HY168" s="14"/>
      <c r="HZ168" s="14"/>
      <c r="IA168" s="14"/>
      <c r="IB168" s="14"/>
      <c r="IC168" s="14"/>
    </row>
    <row r="169" spans="3:237" ht="29.25" customHeight="1">
      <c r="I169" s="319"/>
      <c r="J169" s="319"/>
      <c r="AQ169" s="142"/>
      <c r="AR169" s="32"/>
      <c r="AV169" s="14"/>
      <c r="AW169" s="14"/>
      <c r="CF169" s="179"/>
      <c r="CG169" s="179"/>
      <c r="CH169" s="179"/>
      <c r="CI169" s="179"/>
      <c r="CJ169" s="179"/>
      <c r="CK169" s="179"/>
      <c r="CL169" s="179"/>
      <c r="CN169" s="178"/>
      <c r="CO169" s="178"/>
      <c r="CP169" s="178"/>
      <c r="CQ169" s="178"/>
      <c r="CR169" s="178"/>
      <c r="EV169" s="561"/>
      <c r="EW169" s="561"/>
      <c r="EX169" s="14"/>
      <c r="EY169" s="561"/>
      <c r="EZ169" s="561"/>
      <c r="FA169" s="561"/>
      <c r="HV169" s="14"/>
      <c r="HW169" s="14"/>
      <c r="HX169" s="14"/>
      <c r="HY169" s="14"/>
      <c r="HZ169" s="14"/>
      <c r="IA169" s="14"/>
      <c r="IB169" s="14"/>
      <c r="IC169" s="14"/>
    </row>
    <row r="170" spans="3:237" ht="30.75" customHeight="1">
      <c r="AQ170" s="142"/>
      <c r="AR170" s="32"/>
      <c r="AV170" s="14"/>
      <c r="AW170" s="14"/>
      <c r="CF170" s="179"/>
      <c r="CG170" s="179"/>
      <c r="CH170" s="179"/>
      <c r="CI170" s="179"/>
      <c r="CJ170" s="179"/>
      <c r="CK170" s="179"/>
      <c r="CL170" s="179"/>
      <c r="CN170" s="178"/>
      <c r="CO170" s="178"/>
      <c r="CP170" s="178"/>
      <c r="CQ170" s="178"/>
      <c r="CR170" s="178"/>
      <c r="EV170" s="561"/>
      <c r="EW170" s="561"/>
      <c r="EX170" s="14"/>
      <c r="EY170" s="561"/>
      <c r="EZ170" s="561"/>
      <c r="FA170" s="561"/>
      <c r="HV170" s="14"/>
      <c r="HW170" s="14"/>
      <c r="HX170" s="14"/>
      <c r="HY170" s="14"/>
      <c r="HZ170" s="14"/>
      <c r="IA170" s="14"/>
      <c r="IB170" s="14"/>
      <c r="IC170" s="14"/>
    </row>
    <row r="171" spans="3:237" ht="19.5" thickBot="1">
      <c r="D171" s="397" t="s">
        <v>561</v>
      </c>
      <c r="E171" s="397"/>
      <c r="F171" s="397"/>
      <c r="G171" s="397"/>
      <c r="H171" s="397"/>
      <c r="I171" s="397"/>
      <c r="J171" s="397"/>
      <c r="K171" s="397"/>
      <c r="L171" s="397"/>
      <c r="M171" s="397"/>
      <c r="N171" s="397"/>
      <c r="O171" s="397"/>
      <c r="AQ171" s="142"/>
      <c r="AR171" s="32"/>
      <c r="AV171" s="14"/>
      <c r="AW171" s="14"/>
      <c r="CF171" s="179"/>
      <c r="CG171" s="179"/>
      <c r="CH171" s="179"/>
      <c r="CI171" s="179"/>
      <c r="CJ171" s="179"/>
      <c r="CK171" s="179"/>
      <c r="CL171" s="179"/>
      <c r="CN171" s="178"/>
      <c r="CO171" s="178"/>
      <c r="CP171" s="178"/>
      <c r="CQ171" s="178"/>
      <c r="CR171" s="178"/>
      <c r="EV171" s="561"/>
      <c r="EW171" s="561"/>
      <c r="EX171" s="14"/>
      <c r="EY171" s="561"/>
      <c r="EZ171" s="561"/>
      <c r="FA171" s="561"/>
      <c r="HV171" s="14"/>
      <c r="HW171" s="14"/>
      <c r="HX171" s="14"/>
      <c r="HY171" s="14"/>
      <c r="HZ171" s="14"/>
      <c r="IA171" s="14"/>
      <c r="IB171" s="14"/>
      <c r="IC171" s="14"/>
    </row>
    <row r="172" spans="3:237" ht="16.5" thickBot="1">
      <c r="D172" s="909" t="s">
        <v>558</v>
      </c>
      <c r="E172" s="910"/>
      <c r="F172" s="919" t="s">
        <v>559</v>
      </c>
      <c r="G172" s="920"/>
      <c r="H172" s="917" t="s">
        <v>259</v>
      </c>
      <c r="I172" s="918"/>
      <c r="J172" s="915" t="s">
        <v>258</v>
      </c>
      <c r="K172" s="916"/>
      <c r="L172" s="913" t="s">
        <v>172</v>
      </c>
      <c r="M172" s="914"/>
      <c r="N172" s="911" t="s">
        <v>560</v>
      </c>
      <c r="O172" s="912"/>
      <c r="AQ172" s="142"/>
      <c r="AR172" s="32"/>
      <c r="AV172" s="14"/>
      <c r="AW172" s="14"/>
      <c r="CF172" s="179"/>
      <c r="CG172" s="179"/>
      <c r="CH172" s="179"/>
      <c r="CI172" s="179"/>
      <c r="CJ172" s="179"/>
      <c r="CK172" s="179"/>
      <c r="CL172" s="179"/>
      <c r="CN172" s="178"/>
      <c r="CO172" s="178"/>
      <c r="CP172" s="178"/>
      <c r="CQ172" s="178"/>
      <c r="CR172" s="178"/>
      <c r="EV172" s="561"/>
      <c r="EW172" s="561"/>
      <c r="EX172" s="14"/>
      <c r="EY172" s="561"/>
      <c r="EZ172" s="561"/>
      <c r="FA172" s="561"/>
      <c r="HV172" s="14"/>
      <c r="HW172" s="14"/>
      <c r="HX172" s="14"/>
      <c r="HY172" s="14"/>
      <c r="HZ172" s="14"/>
      <c r="IA172" s="14"/>
      <c r="IB172" s="14"/>
      <c r="IC172" s="14"/>
    </row>
    <row r="173" spans="3:237">
      <c r="C173" s="381" t="s">
        <v>181</v>
      </c>
      <c r="D173" s="365">
        <f t="shared" ref="D173:D180" si="430">SUMPRODUCT((Ass=C173)*((Avancement="Faisa")+(Avancement="ESQ")+(Avancement="APS")+(Avancement="PC")+(Avancement="APD")))</f>
        <v>1</v>
      </c>
      <c r="E173" s="369">
        <f>D173/$D$181</f>
        <v>8.3333333333333329E-2</v>
      </c>
      <c r="F173" s="365">
        <f t="shared" ref="F173:F180" si="431">SUMPRODUCT((Ass=C173)*((Avancement="PRO")+(Avancement="DCE")+(Avancement="AO")))</f>
        <v>4</v>
      </c>
      <c r="G173" s="369">
        <f>F173/$F$181</f>
        <v>0.36363636363636365</v>
      </c>
      <c r="H173" s="365">
        <f>SUMPRODUCT((Ass=C173)*((Avancement="OS")))</f>
        <v>0</v>
      </c>
      <c r="I173" s="369" t="e">
        <f>H173/$H$181</f>
        <v>#DIV/0!</v>
      </c>
      <c r="J173" s="365">
        <f>SUMPRODUCT((Ass=C173)*((Avancement="Tvx")+(Avancement="Réception")))-1</f>
        <v>1</v>
      </c>
      <c r="K173" s="369">
        <f>J173/$J$181</f>
        <v>7.6923076923076927E-2</v>
      </c>
      <c r="L173" s="365">
        <f t="shared" ref="L173:L180" si="432">SUMPRODUCT((Ass=C173)*((Avancement="GPA")))</f>
        <v>2</v>
      </c>
      <c r="M173" s="369">
        <f>L173/$L$181</f>
        <v>0.5</v>
      </c>
      <c r="N173" s="365">
        <f t="shared" ref="N173:N180" si="433">SUMPRODUCT((Ass=C173)*((Avancement="clôture défisc")))</f>
        <v>0</v>
      </c>
      <c r="O173" s="369" t="e">
        <f>N173/$N$181</f>
        <v>#DIV/0!</v>
      </c>
      <c r="P173" s="381">
        <f>D173+F173+H173+J173+L173+N173</f>
        <v>8</v>
      </c>
      <c r="Q173" s="142">
        <f>P173-D155</f>
        <v>-1</v>
      </c>
      <c r="AQ173" s="142"/>
      <c r="AR173" s="32"/>
      <c r="AV173" s="14"/>
      <c r="AW173" s="14"/>
      <c r="CF173" s="179"/>
      <c r="CG173" s="179"/>
      <c r="CH173" s="179"/>
      <c r="CI173" s="179"/>
      <c r="CJ173" s="179"/>
      <c r="CK173" s="179"/>
      <c r="CL173" s="179"/>
      <c r="CN173" s="178"/>
      <c r="CO173" s="178"/>
      <c r="CP173" s="178"/>
      <c r="CQ173" s="178"/>
      <c r="CR173" s="178"/>
      <c r="EV173" s="561"/>
      <c r="EW173" s="561"/>
      <c r="EX173" s="14"/>
      <c r="EY173" s="561"/>
      <c r="EZ173" s="561"/>
      <c r="FA173" s="561"/>
      <c r="HV173" s="14"/>
      <c r="HW173" s="14"/>
      <c r="HX173" s="14"/>
      <c r="HY173" s="14"/>
      <c r="HZ173" s="14"/>
      <c r="IA173" s="14"/>
      <c r="IB173" s="14"/>
      <c r="IC173" s="14"/>
    </row>
    <row r="174" spans="3:237">
      <c r="C174" s="382" t="s">
        <v>282</v>
      </c>
      <c r="D174" s="367">
        <f t="shared" si="430"/>
        <v>0</v>
      </c>
      <c r="E174" s="370">
        <f t="shared" ref="E174:E180" si="434">D174/$D$181</f>
        <v>0</v>
      </c>
      <c r="F174" s="367">
        <f t="shared" si="431"/>
        <v>0</v>
      </c>
      <c r="G174" s="370">
        <f t="shared" ref="G174:G180" si="435">F174/$F$181</f>
        <v>0</v>
      </c>
      <c r="H174" s="367">
        <f t="shared" ref="H174:H180" si="436">SUMPRODUCT((Ass=C174)*((Avancement="OS")))</f>
        <v>0</v>
      </c>
      <c r="I174" s="370" t="e">
        <f t="shared" ref="I174:I180" si="437">H174/$H$181</f>
        <v>#DIV/0!</v>
      </c>
      <c r="J174" s="367">
        <f t="shared" ref="J174:J180" si="438">SUMPRODUCT((Ass=C174)*((Avancement="Tvx")+(Avancement="Réception")))</f>
        <v>0</v>
      </c>
      <c r="K174" s="370">
        <f t="shared" ref="K174:K180" si="439">J174/$J$181</f>
        <v>0</v>
      </c>
      <c r="L174" s="367">
        <f t="shared" si="432"/>
        <v>0</v>
      </c>
      <c r="M174" s="370">
        <f t="shared" ref="M174:M180" si="440">L174/$L$181</f>
        <v>0</v>
      </c>
      <c r="N174" s="367">
        <f t="shared" si="433"/>
        <v>0</v>
      </c>
      <c r="O174" s="370" t="e">
        <f t="shared" ref="O174:O180" si="441">N174/$N$181</f>
        <v>#DIV/0!</v>
      </c>
      <c r="P174" s="382">
        <f>D174+F174+H174+J174+L174+N174</f>
        <v>0</v>
      </c>
      <c r="Q174" s="142">
        <f>P174-E155</f>
        <v>-7</v>
      </c>
      <c r="AQ174" s="142"/>
      <c r="AR174" s="32"/>
      <c r="AV174" s="14"/>
      <c r="AW174" s="14"/>
      <c r="CF174" s="179"/>
      <c r="CG174" s="179"/>
      <c r="CH174" s="179"/>
      <c r="CI174" s="179"/>
      <c r="CJ174" s="179"/>
      <c r="CK174" s="179"/>
      <c r="CL174" s="179"/>
      <c r="CN174" s="178"/>
      <c r="CO174" s="178"/>
      <c r="CP174" s="178"/>
      <c r="CQ174" s="178"/>
      <c r="CR174" s="178"/>
      <c r="EV174" s="561"/>
      <c r="EW174" s="561"/>
      <c r="EX174" s="14"/>
      <c r="EY174" s="561"/>
      <c r="EZ174" s="561"/>
      <c r="FA174" s="561"/>
      <c r="HV174" s="14"/>
      <c r="HW174" s="14"/>
      <c r="HX174" s="14"/>
      <c r="HY174" s="14"/>
      <c r="HZ174" s="14"/>
      <c r="IA174" s="14"/>
      <c r="IB174" s="14"/>
      <c r="IC174" s="14"/>
    </row>
    <row r="175" spans="3:237">
      <c r="C175" s="382" t="s">
        <v>643</v>
      </c>
      <c r="D175" s="367">
        <f t="shared" si="430"/>
        <v>1</v>
      </c>
      <c r="E175" s="370">
        <f t="shared" si="434"/>
        <v>8.3333333333333329E-2</v>
      </c>
      <c r="F175" s="367">
        <f t="shared" si="431"/>
        <v>1</v>
      </c>
      <c r="G175" s="370">
        <f t="shared" si="435"/>
        <v>9.0909090909090912E-2</v>
      </c>
      <c r="H175" s="367">
        <f t="shared" si="436"/>
        <v>0</v>
      </c>
      <c r="I175" s="370" t="e">
        <f t="shared" si="437"/>
        <v>#DIV/0!</v>
      </c>
      <c r="J175" s="367">
        <f t="shared" si="438"/>
        <v>2</v>
      </c>
      <c r="K175" s="370">
        <f t="shared" si="439"/>
        <v>0.15384615384615385</v>
      </c>
      <c r="L175" s="367">
        <f t="shared" si="432"/>
        <v>0</v>
      </c>
      <c r="M175" s="370">
        <f t="shared" si="440"/>
        <v>0</v>
      </c>
      <c r="N175" s="367">
        <f t="shared" si="433"/>
        <v>0</v>
      </c>
      <c r="O175" s="370" t="e">
        <f t="shared" si="441"/>
        <v>#DIV/0!</v>
      </c>
      <c r="P175" s="382">
        <f t="shared" ref="P175:P180" si="442">D175+F175+H175+J175+L175+N175</f>
        <v>4</v>
      </c>
      <c r="Q175" s="142">
        <f>P175-F155</f>
        <v>1</v>
      </c>
      <c r="EV175" s="561"/>
      <c r="EW175" s="561"/>
      <c r="EX175" s="14"/>
      <c r="EY175" s="561"/>
      <c r="EZ175" s="561"/>
      <c r="FA175" s="561"/>
      <c r="HV175" s="14"/>
      <c r="HW175" s="14"/>
      <c r="HX175" s="14"/>
      <c r="HY175" s="14"/>
      <c r="HZ175" s="14"/>
      <c r="IA175" s="14"/>
      <c r="IB175" s="14"/>
      <c r="IC175" s="14"/>
    </row>
    <row r="176" spans="3:237">
      <c r="C176" s="382" t="s">
        <v>410</v>
      </c>
      <c r="D176" s="367">
        <f t="shared" si="430"/>
        <v>0</v>
      </c>
      <c r="E176" s="370">
        <f t="shared" si="434"/>
        <v>0</v>
      </c>
      <c r="F176" s="367">
        <f t="shared" si="431"/>
        <v>0</v>
      </c>
      <c r="G176" s="370">
        <f t="shared" si="435"/>
        <v>0</v>
      </c>
      <c r="H176" s="367">
        <f t="shared" si="436"/>
        <v>0</v>
      </c>
      <c r="I176" s="370" t="e">
        <f t="shared" si="437"/>
        <v>#DIV/0!</v>
      </c>
      <c r="J176" s="367">
        <f t="shared" si="438"/>
        <v>0</v>
      </c>
      <c r="K176" s="370">
        <f t="shared" si="439"/>
        <v>0</v>
      </c>
      <c r="L176" s="367">
        <f t="shared" si="432"/>
        <v>0</v>
      </c>
      <c r="M176" s="370">
        <f t="shared" si="440"/>
        <v>0</v>
      </c>
      <c r="N176" s="367">
        <f t="shared" si="433"/>
        <v>0</v>
      </c>
      <c r="O176" s="370" t="e">
        <f t="shared" si="441"/>
        <v>#DIV/0!</v>
      </c>
      <c r="P176" s="382">
        <f t="shared" si="442"/>
        <v>0</v>
      </c>
      <c r="Q176" s="142">
        <f>P176-G155</f>
        <v>-5</v>
      </c>
      <c r="EV176" s="561"/>
      <c r="EW176" s="561"/>
      <c r="EX176" s="14"/>
      <c r="EY176" s="561"/>
      <c r="EZ176" s="561"/>
      <c r="FA176" s="561"/>
      <c r="HV176" s="14"/>
      <c r="HW176" s="14"/>
      <c r="HX176" s="14"/>
      <c r="HY176" s="14"/>
      <c r="HZ176" s="14"/>
      <c r="IA176" s="14"/>
      <c r="IB176" s="14"/>
      <c r="IC176" s="14"/>
    </row>
    <row r="177" spans="3:237">
      <c r="C177" s="382" t="s">
        <v>180</v>
      </c>
      <c r="D177" s="367">
        <f t="shared" si="430"/>
        <v>6</v>
      </c>
      <c r="E177" s="370">
        <f t="shared" si="434"/>
        <v>0.5</v>
      </c>
      <c r="F177" s="367">
        <f t="shared" si="431"/>
        <v>2</v>
      </c>
      <c r="G177" s="370">
        <f t="shared" si="435"/>
        <v>0.18181818181818182</v>
      </c>
      <c r="H177" s="367">
        <f t="shared" si="436"/>
        <v>0</v>
      </c>
      <c r="I177" s="370" t="e">
        <f t="shared" si="437"/>
        <v>#DIV/0!</v>
      </c>
      <c r="J177" s="367">
        <f t="shared" si="438"/>
        <v>1</v>
      </c>
      <c r="K177" s="370">
        <f t="shared" si="439"/>
        <v>7.6923076923076927E-2</v>
      </c>
      <c r="L177" s="367">
        <f t="shared" si="432"/>
        <v>0</v>
      </c>
      <c r="M177" s="370">
        <f t="shared" si="440"/>
        <v>0</v>
      </c>
      <c r="N177" s="367">
        <f t="shared" si="433"/>
        <v>0</v>
      </c>
      <c r="O177" s="370" t="e">
        <f t="shared" si="441"/>
        <v>#DIV/0!</v>
      </c>
      <c r="P177" s="382">
        <f t="shared" si="442"/>
        <v>9</v>
      </c>
      <c r="Q177" s="142">
        <f>P177-H155</f>
        <v>0</v>
      </c>
      <c r="EV177" s="561"/>
      <c r="EW177" s="561"/>
      <c r="EX177" s="14"/>
      <c r="EY177" s="561"/>
      <c r="EZ177" s="561"/>
      <c r="FA177" s="561"/>
      <c r="HV177" s="14"/>
      <c r="HW177" s="14"/>
      <c r="HX177" s="14"/>
      <c r="HY177" s="14"/>
      <c r="HZ177" s="14"/>
      <c r="IA177" s="14"/>
      <c r="IB177" s="14"/>
      <c r="IC177" s="14"/>
    </row>
    <row r="178" spans="3:237">
      <c r="C178" s="382" t="s">
        <v>610</v>
      </c>
      <c r="D178" s="367">
        <f t="shared" si="430"/>
        <v>2</v>
      </c>
      <c r="E178" s="370">
        <f t="shared" si="434"/>
        <v>0.16666666666666666</v>
      </c>
      <c r="F178" s="367">
        <f t="shared" si="431"/>
        <v>1</v>
      </c>
      <c r="G178" s="370">
        <f t="shared" si="435"/>
        <v>9.0909090909090912E-2</v>
      </c>
      <c r="H178" s="367">
        <f t="shared" si="436"/>
        <v>0</v>
      </c>
      <c r="I178" s="370" t="e">
        <f t="shared" si="437"/>
        <v>#DIV/0!</v>
      </c>
      <c r="J178" s="367">
        <f t="shared" si="438"/>
        <v>2</v>
      </c>
      <c r="K178" s="370">
        <f t="shared" si="439"/>
        <v>0.15384615384615385</v>
      </c>
      <c r="L178" s="367">
        <f t="shared" si="432"/>
        <v>1</v>
      </c>
      <c r="M178" s="370">
        <f t="shared" si="440"/>
        <v>0.25</v>
      </c>
      <c r="N178" s="367">
        <f t="shared" si="433"/>
        <v>0</v>
      </c>
      <c r="O178" s="370" t="e">
        <f t="shared" si="441"/>
        <v>#DIV/0!</v>
      </c>
      <c r="P178" s="382">
        <f t="shared" si="442"/>
        <v>6</v>
      </c>
      <c r="Q178" s="142">
        <f>P178-I155</f>
        <v>0</v>
      </c>
      <c r="EV178" s="561"/>
      <c r="EW178" s="561"/>
      <c r="EX178" s="14"/>
      <c r="EY178" s="561"/>
      <c r="EZ178" s="561"/>
      <c r="FA178" s="561"/>
      <c r="HV178" s="14"/>
      <c r="HW178" s="14"/>
      <c r="HX178" s="14"/>
      <c r="HY178" s="14"/>
      <c r="HZ178" s="14"/>
      <c r="IA178" s="14"/>
      <c r="IB178" s="14"/>
      <c r="IC178" s="14"/>
    </row>
    <row r="179" spans="3:237">
      <c r="C179" s="382" t="s">
        <v>179</v>
      </c>
      <c r="D179" s="367">
        <f t="shared" si="430"/>
        <v>1</v>
      </c>
      <c r="E179" s="370">
        <f t="shared" si="434"/>
        <v>8.3333333333333329E-2</v>
      </c>
      <c r="F179" s="367">
        <f t="shared" si="431"/>
        <v>1</v>
      </c>
      <c r="G179" s="370">
        <f t="shared" si="435"/>
        <v>9.0909090909090912E-2</v>
      </c>
      <c r="H179" s="367">
        <f t="shared" si="436"/>
        <v>0</v>
      </c>
      <c r="I179" s="370" t="e">
        <f t="shared" si="437"/>
        <v>#DIV/0!</v>
      </c>
      <c r="J179" s="367">
        <f t="shared" si="438"/>
        <v>1</v>
      </c>
      <c r="K179" s="370">
        <f t="shared" si="439"/>
        <v>7.6923076923076927E-2</v>
      </c>
      <c r="L179" s="367">
        <f t="shared" si="432"/>
        <v>1</v>
      </c>
      <c r="M179" s="370">
        <f t="shared" si="440"/>
        <v>0.25</v>
      </c>
      <c r="N179" s="367">
        <f t="shared" si="433"/>
        <v>0</v>
      </c>
      <c r="O179" s="370" t="e">
        <f t="shared" si="441"/>
        <v>#DIV/0!</v>
      </c>
      <c r="P179" s="382">
        <f t="shared" si="442"/>
        <v>4</v>
      </c>
      <c r="Q179" s="142">
        <f>P179-J155</f>
        <v>0</v>
      </c>
      <c r="EV179" s="561"/>
      <c r="EW179" s="561"/>
      <c r="EX179" s="14"/>
      <c r="EY179" s="561"/>
      <c r="EZ179" s="561"/>
      <c r="FA179" s="561"/>
      <c r="HV179" s="14"/>
      <c r="HW179" s="14"/>
      <c r="HX179" s="14"/>
      <c r="HY179" s="14"/>
      <c r="HZ179" s="14"/>
      <c r="IA179" s="14"/>
      <c r="IB179" s="14"/>
      <c r="IC179" s="14"/>
    </row>
    <row r="180" spans="3:237" ht="15.75" thickBot="1">
      <c r="C180" s="383" t="s">
        <v>463</v>
      </c>
      <c r="D180" s="366">
        <f t="shared" si="430"/>
        <v>1</v>
      </c>
      <c r="E180" s="371">
        <f t="shared" si="434"/>
        <v>8.3333333333333329E-2</v>
      </c>
      <c r="F180" s="366">
        <f t="shared" si="431"/>
        <v>2</v>
      </c>
      <c r="G180" s="371">
        <f t="shared" si="435"/>
        <v>0.18181818181818182</v>
      </c>
      <c r="H180" s="366">
        <f t="shared" si="436"/>
        <v>0</v>
      </c>
      <c r="I180" s="371" t="e">
        <f t="shared" si="437"/>
        <v>#DIV/0!</v>
      </c>
      <c r="J180" s="366">
        <f t="shared" si="438"/>
        <v>6</v>
      </c>
      <c r="K180" s="371">
        <f t="shared" si="439"/>
        <v>0.46153846153846156</v>
      </c>
      <c r="L180" s="366">
        <f t="shared" si="432"/>
        <v>0</v>
      </c>
      <c r="M180" s="371">
        <f t="shared" si="440"/>
        <v>0</v>
      </c>
      <c r="N180" s="366">
        <f t="shared" si="433"/>
        <v>0</v>
      </c>
      <c r="O180" s="371" t="e">
        <f t="shared" si="441"/>
        <v>#DIV/0!</v>
      </c>
      <c r="P180" s="383">
        <f t="shared" si="442"/>
        <v>9</v>
      </c>
      <c r="Q180" s="142">
        <f>P180-K155</f>
        <v>0</v>
      </c>
      <c r="EV180" s="561"/>
      <c r="EW180" s="561"/>
      <c r="EX180" s="14"/>
      <c r="EY180" s="561"/>
      <c r="EZ180" s="561"/>
      <c r="FA180" s="561"/>
      <c r="HV180" s="14"/>
      <c r="HW180" s="14"/>
      <c r="HX180" s="14"/>
      <c r="HY180" s="14"/>
      <c r="HZ180" s="14"/>
      <c r="IA180" s="14"/>
      <c r="IB180" s="14"/>
      <c r="IC180" s="14"/>
    </row>
    <row r="181" spans="3:237" ht="15.75" thickBot="1">
      <c r="D181" s="372">
        <f t="shared" ref="D181:I181" si="443">SUM(D173:D180)</f>
        <v>12</v>
      </c>
      <c r="E181" s="373">
        <f t="shared" si="443"/>
        <v>1</v>
      </c>
      <c r="F181" s="372">
        <f t="shared" si="443"/>
        <v>11</v>
      </c>
      <c r="G181" s="375">
        <f t="shared" si="443"/>
        <v>1.0000000000000002</v>
      </c>
      <c r="H181" s="372">
        <f t="shared" si="443"/>
        <v>0</v>
      </c>
      <c r="I181" s="375" t="e">
        <f t="shared" si="443"/>
        <v>#DIV/0!</v>
      </c>
      <c r="J181" s="374">
        <f>SUBTOTAL(9,J173:J180)</f>
        <v>13</v>
      </c>
      <c r="K181" s="378">
        <f>SUBTOTAL(9,K173:K180)</f>
        <v>1</v>
      </c>
      <c r="L181" s="368">
        <f>SUM(L173:L180)</f>
        <v>4</v>
      </c>
      <c r="M181" s="379">
        <f>SUM(M173:M180)</f>
        <v>1</v>
      </c>
      <c r="N181" s="368">
        <f>SUM(N173:N180)</f>
        <v>0</v>
      </c>
      <c r="O181" s="380" t="e">
        <f>SUM(O173:O180)</f>
        <v>#DIV/0!</v>
      </c>
      <c r="P181" s="33">
        <f>SUBTOTAL(9,P173:P180)</f>
        <v>40</v>
      </c>
      <c r="EV181" s="561"/>
      <c r="EW181" s="561"/>
      <c r="EX181" s="14"/>
      <c r="EY181" s="561"/>
      <c r="EZ181" s="561"/>
      <c r="FA181" s="561"/>
      <c r="HV181" s="14"/>
      <c r="HW181" s="14"/>
      <c r="HX181" s="14"/>
      <c r="HY181" s="14"/>
      <c r="HZ181" s="14"/>
      <c r="IA181" s="14"/>
      <c r="IB181" s="14"/>
      <c r="IC181" s="14"/>
    </row>
    <row r="182" spans="3:237">
      <c r="EV182" s="561"/>
      <c r="EW182" s="561"/>
      <c r="EX182" s="14"/>
      <c r="EY182" s="561"/>
      <c r="EZ182" s="561"/>
      <c r="FA182" s="561"/>
      <c r="HV182" s="14"/>
      <c r="HW182" s="14"/>
      <c r="HX182" s="14"/>
      <c r="HY182" s="14"/>
      <c r="HZ182" s="14"/>
      <c r="IA182" s="14"/>
      <c r="IB182" s="14"/>
      <c r="IC182" s="14"/>
    </row>
    <row r="183" spans="3:237">
      <c r="EV183" s="561"/>
      <c r="EW183" s="561"/>
      <c r="EX183" s="14"/>
      <c r="EY183" s="561"/>
      <c r="EZ183" s="561"/>
      <c r="FA183" s="561"/>
      <c r="HV183" s="14"/>
      <c r="HW183" s="14"/>
      <c r="HX183" s="14"/>
      <c r="HY183" s="14"/>
      <c r="HZ183" s="14"/>
      <c r="IA183" s="14"/>
      <c r="IB183" s="14"/>
      <c r="IC183" s="14"/>
    </row>
    <row r="184" spans="3:237">
      <c r="EV184" s="561"/>
      <c r="EW184" s="561"/>
      <c r="EX184" s="14"/>
      <c r="EY184" s="561"/>
      <c r="EZ184" s="561"/>
      <c r="FA184" s="561"/>
      <c r="HV184" s="14"/>
      <c r="HW184" s="14"/>
      <c r="HX184" s="14"/>
      <c r="HY184" s="14"/>
      <c r="HZ184" s="14"/>
      <c r="IA184" s="14"/>
      <c r="IB184" s="14"/>
      <c r="IC184" s="14"/>
    </row>
    <row r="185" spans="3:237">
      <c r="EV185" s="561"/>
      <c r="EW185" s="561"/>
      <c r="EX185" s="14"/>
      <c r="EY185" s="561"/>
      <c r="EZ185" s="561"/>
      <c r="FA185" s="561"/>
      <c r="HV185" s="14"/>
      <c r="HW185" s="14"/>
      <c r="HX185" s="14"/>
      <c r="HY185" s="14"/>
      <c r="HZ185" s="14"/>
      <c r="IA185" s="14"/>
      <c r="IB185" s="14"/>
      <c r="IC185" s="14"/>
    </row>
    <row r="186" spans="3:237">
      <c r="EV186" s="561"/>
      <c r="EW186" s="561"/>
      <c r="EX186" s="14"/>
      <c r="EY186" s="561"/>
      <c r="EZ186" s="561"/>
      <c r="FA186" s="561"/>
      <c r="HV186" s="14"/>
      <c r="HW186" s="14"/>
      <c r="HX186" s="14"/>
      <c r="HY186" s="14"/>
      <c r="HZ186" s="14"/>
      <c r="IA186" s="14"/>
      <c r="IB186" s="14"/>
      <c r="IC186" s="14"/>
    </row>
    <row r="187" spans="3:237">
      <c r="EV187" s="561"/>
      <c r="EW187" s="561"/>
      <c r="EX187" s="14"/>
      <c r="EY187" s="561"/>
      <c r="EZ187" s="561"/>
      <c r="FA187" s="561"/>
      <c r="HV187" s="14"/>
      <c r="HW187" s="14"/>
      <c r="HX187" s="14"/>
      <c r="HY187" s="14"/>
      <c r="HZ187" s="14"/>
      <c r="IA187" s="14"/>
      <c r="IB187" s="14"/>
      <c r="IC187" s="14"/>
    </row>
    <row r="188" spans="3:237">
      <c r="EV188" s="561"/>
      <c r="EW188" s="561"/>
      <c r="EX188" s="14"/>
      <c r="EY188" s="561"/>
      <c r="EZ188" s="561"/>
      <c r="FA188" s="561"/>
      <c r="HV188" s="14"/>
      <c r="HW188" s="14"/>
      <c r="HX188" s="14"/>
      <c r="HY188" s="14"/>
      <c r="HZ188" s="14"/>
      <c r="IA188" s="14"/>
      <c r="IB188" s="14"/>
      <c r="IC188" s="14"/>
    </row>
    <row r="189" spans="3:237">
      <c r="EV189" s="561"/>
      <c r="EW189" s="561"/>
      <c r="EX189" s="14"/>
      <c r="EY189" s="561"/>
      <c r="EZ189" s="561"/>
      <c r="FA189" s="561"/>
      <c r="HV189" s="14"/>
      <c r="HW189" s="14"/>
      <c r="HX189" s="14"/>
      <c r="HY189" s="14"/>
      <c r="HZ189" s="14"/>
      <c r="IA189" s="14"/>
      <c r="IB189" s="14"/>
      <c r="IC189" s="14"/>
    </row>
    <row r="190" spans="3:237">
      <c r="EV190" s="561"/>
      <c r="EW190" s="561"/>
      <c r="EX190" s="14"/>
      <c r="EY190" s="561"/>
      <c r="EZ190" s="561"/>
      <c r="FA190" s="561"/>
      <c r="HV190" s="14"/>
      <c r="HW190" s="14"/>
      <c r="HX190" s="14"/>
      <c r="HY190" s="14"/>
      <c r="HZ190" s="14"/>
      <c r="IA190" s="14"/>
      <c r="IB190" s="14"/>
      <c r="IC190" s="14"/>
    </row>
    <row r="191" spans="3:237">
      <c r="EV191" s="561"/>
      <c r="EW191" s="561"/>
      <c r="EX191" s="14"/>
      <c r="EY191" s="561"/>
      <c r="EZ191" s="561"/>
      <c r="FA191" s="561"/>
      <c r="HV191" s="14"/>
      <c r="HW191" s="14"/>
      <c r="HX191" s="14"/>
      <c r="HY191" s="14"/>
      <c r="HZ191" s="14"/>
      <c r="IA191" s="14"/>
      <c r="IB191" s="14"/>
      <c r="IC191" s="14"/>
    </row>
    <row r="192" spans="3:237">
      <c r="EV192" s="561"/>
      <c r="EW192" s="561"/>
      <c r="EX192" s="14"/>
      <c r="EY192" s="561"/>
      <c r="EZ192" s="561"/>
      <c r="FA192" s="561"/>
      <c r="HV192" s="14"/>
      <c r="HW192" s="14"/>
      <c r="HX192" s="14"/>
      <c r="HY192" s="14"/>
      <c r="HZ192" s="14"/>
      <c r="IA192" s="14"/>
      <c r="IB192" s="14"/>
      <c r="IC192" s="14"/>
    </row>
    <row r="193" spans="152:237">
      <c r="EV193" s="561"/>
      <c r="EW193" s="561"/>
      <c r="EX193" s="14"/>
      <c r="EY193" s="561"/>
      <c r="EZ193" s="561"/>
      <c r="FA193" s="561"/>
      <c r="HV193" s="14"/>
      <c r="HW193" s="14"/>
      <c r="HX193" s="14"/>
      <c r="HY193" s="14"/>
      <c r="HZ193" s="14"/>
      <c r="IA193" s="14"/>
      <c r="IB193" s="14"/>
      <c r="IC193" s="14"/>
    </row>
    <row r="194" spans="152:237">
      <c r="EV194" s="561"/>
      <c r="EW194" s="561"/>
      <c r="EX194" s="14"/>
      <c r="EY194" s="561"/>
      <c r="EZ194" s="561"/>
      <c r="FA194" s="561"/>
      <c r="HV194" s="14"/>
      <c r="HW194" s="14"/>
      <c r="HX194" s="14"/>
      <c r="HY194" s="14"/>
      <c r="HZ194" s="14"/>
      <c r="IA194" s="14"/>
      <c r="IB194" s="14"/>
      <c r="IC194" s="14"/>
    </row>
    <row r="195" spans="152:237">
      <c r="EV195" s="561"/>
      <c r="EW195" s="561"/>
      <c r="EX195" s="14"/>
      <c r="EY195" s="561"/>
      <c r="EZ195" s="561"/>
      <c r="FA195" s="561"/>
      <c r="HV195" s="14"/>
      <c r="HW195" s="14"/>
      <c r="HX195" s="14"/>
      <c r="HY195" s="14"/>
      <c r="HZ195" s="14"/>
      <c r="IA195" s="14"/>
      <c r="IB195" s="14"/>
      <c r="IC195" s="14"/>
    </row>
    <row r="196" spans="152:237">
      <c r="EV196" s="561"/>
      <c r="EW196" s="561"/>
      <c r="EX196" s="14"/>
      <c r="EY196" s="561"/>
      <c r="EZ196" s="561"/>
      <c r="FA196" s="561"/>
      <c r="HV196" s="14"/>
      <c r="HW196" s="14"/>
      <c r="HX196" s="14"/>
      <c r="HY196" s="14"/>
      <c r="HZ196" s="14"/>
      <c r="IA196" s="14"/>
      <c r="IB196" s="14"/>
      <c r="IC196" s="14"/>
    </row>
    <row r="197" spans="152:237">
      <c r="EV197" s="561"/>
      <c r="EW197" s="561"/>
      <c r="EX197" s="14"/>
      <c r="EY197" s="561"/>
      <c r="EZ197" s="561"/>
      <c r="FA197" s="561"/>
      <c r="HV197" s="14"/>
      <c r="HW197" s="14"/>
      <c r="HX197" s="14"/>
      <c r="HY197" s="14"/>
      <c r="HZ197" s="14"/>
      <c r="IA197" s="14"/>
      <c r="IB197" s="14"/>
      <c r="IC197" s="14"/>
    </row>
    <row r="198" spans="152:237">
      <c r="EV198" s="561"/>
      <c r="EW198" s="561"/>
      <c r="EX198" s="14"/>
      <c r="EY198" s="561"/>
      <c r="EZ198" s="561"/>
      <c r="FA198" s="561"/>
      <c r="HV198" s="14"/>
      <c r="HW198" s="14"/>
      <c r="HX198" s="14"/>
      <c r="HY198" s="14"/>
      <c r="HZ198" s="14"/>
      <c r="IA198" s="14"/>
      <c r="IB198" s="14"/>
      <c r="IC198" s="14"/>
    </row>
    <row r="199" spans="152:237">
      <c r="EV199" s="561"/>
      <c r="EW199" s="561"/>
      <c r="EX199" s="14"/>
      <c r="EY199" s="561"/>
      <c r="EZ199" s="561"/>
      <c r="FA199" s="561"/>
      <c r="HV199" s="14"/>
      <c r="HW199" s="14"/>
      <c r="HX199" s="14"/>
      <c r="HY199" s="14"/>
      <c r="HZ199" s="14"/>
      <c r="IA199" s="14"/>
      <c r="IB199" s="14"/>
      <c r="IC199" s="14"/>
    </row>
    <row r="200" spans="152:237">
      <c r="EV200" s="561"/>
      <c r="EW200" s="561"/>
      <c r="EX200" s="14"/>
      <c r="EY200" s="561"/>
      <c r="EZ200" s="561"/>
      <c r="FA200" s="561"/>
      <c r="HV200" s="14"/>
      <c r="HW200" s="14"/>
      <c r="HX200" s="14"/>
      <c r="HY200" s="14"/>
      <c r="HZ200" s="14"/>
      <c r="IA200" s="14"/>
      <c r="IB200" s="14"/>
      <c r="IC200" s="14"/>
    </row>
    <row r="201" spans="152:237">
      <c r="EV201" s="561"/>
      <c r="EW201" s="561"/>
      <c r="EX201" s="14"/>
      <c r="EY201" s="561"/>
      <c r="EZ201" s="561"/>
      <c r="FA201" s="561"/>
      <c r="HV201" s="14"/>
      <c r="HW201" s="14"/>
      <c r="HX201" s="14"/>
      <c r="HY201" s="14"/>
      <c r="HZ201" s="14"/>
      <c r="IA201" s="14"/>
      <c r="IB201" s="14"/>
      <c r="IC201" s="14"/>
    </row>
    <row r="202" spans="152:237">
      <c r="EV202" s="561"/>
      <c r="EW202" s="561"/>
      <c r="EX202" s="14"/>
      <c r="EY202" s="561"/>
      <c r="EZ202" s="561"/>
      <c r="FA202" s="561"/>
      <c r="HV202" s="14"/>
      <c r="HW202" s="14"/>
      <c r="HX202" s="14"/>
      <c r="HY202" s="14"/>
      <c r="HZ202" s="14"/>
      <c r="IA202" s="14"/>
      <c r="IB202" s="14"/>
      <c r="IC202" s="14"/>
    </row>
    <row r="203" spans="152:237">
      <c r="EV203" s="561"/>
      <c r="EW203" s="561"/>
      <c r="EX203" s="14"/>
      <c r="EY203" s="561"/>
      <c r="EZ203" s="561"/>
      <c r="FA203" s="561"/>
      <c r="HV203" s="14"/>
      <c r="HW203" s="14"/>
      <c r="HX203" s="14"/>
      <c r="HY203" s="14"/>
      <c r="HZ203" s="14"/>
      <c r="IA203" s="14"/>
      <c r="IB203" s="14"/>
      <c r="IC203" s="14"/>
    </row>
    <row r="204" spans="152:237">
      <c r="EV204" s="561"/>
      <c r="EW204" s="561"/>
      <c r="EX204" s="14"/>
      <c r="EY204" s="561"/>
      <c r="EZ204" s="561"/>
      <c r="FA204" s="561"/>
      <c r="HV204" s="14"/>
      <c r="HW204" s="14"/>
      <c r="HX204" s="14"/>
      <c r="HY204" s="14"/>
      <c r="HZ204" s="14"/>
      <c r="IA204" s="14"/>
      <c r="IB204" s="14"/>
      <c r="IC204" s="14"/>
    </row>
    <row r="205" spans="152:237">
      <c r="EV205" s="561"/>
      <c r="EW205" s="561"/>
      <c r="EX205" s="14"/>
      <c r="EY205" s="561"/>
      <c r="EZ205" s="561"/>
      <c r="FA205" s="561"/>
      <c r="HV205" s="14"/>
      <c r="HW205" s="14"/>
      <c r="HX205" s="14"/>
      <c r="HY205" s="14"/>
      <c r="HZ205" s="14"/>
      <c r="IA205" s="14"/>
      <c r="IB205" s="14"/>
      <c r="IC205" s="14"/>
    </row>
    <row r="206" spans="152:237">
      <c r="EV206" s="561"/>
      <c r="EW206" s="561"/>
      <c r="EX206" s="14"/>
      <c r="EY206" s="561"/>
      <c r="EZ206" s="561"/>
      <c r="FA206" s="561"/>
      <c r="HV206" s="14"/>
      <c r="HW206" s="14"/>
      <c r="HX206" s="14"/>
      <c r="HY206" s="14"/>
      <c r="HZ206" s="14"/>
      <c r="IA206" s="14"/>
      <c r="IB206" s="14"/>
      <c r="IC206" s="14"/>
    </row>
    <row r="207" spans="152:237">
      <c r="EV207" s="561"/>
      <c r="EW207" s="561"/>
      <c r="EX207" s="14"/>
      <c r="EY207" s="561"/>
      <c r="EZ207" s="561"/>
      <c r="FA207" s="561"/>
      <c r="HV207" s="14"/>
      <c r="HW207" s="14"/>
      <c r="HX207" s="14"/>
      <c r="HY207" s="14"/>
      <c r="HZ207" s="14"/>
      <c r="IA207" s="14"/>
      <c r="IB207" s="14"/>
      <c r="IC207" s="14"/>
    </row>
    <row r="208" spans="152:237">
      <c r="EV208" s="561"/>
      <c r="EW208" s="561"/>
      <c r="EX208" s="14"/>
      <c r="EY208" s="561"/>
      <c r="EZ208" s="561"/>
      <c r="FA208" s="561"/>
      <c r="HV208" s="14"/>
      <c r="HW208" s="14"/>
      <c r="HX208" s="14"/>
      <c r="HY208" s="14"/>
      <c r="HZ208" s="14"/>
      <c r="IA208" s="14"/>
      <c r="IB208" s="14"/>
      <c r="IC208" s="14"/>
    </row>
    <row r="209" spans="1:286">
      <c r="EV209" s="561"/>
      <c r="EW209" s="561"/>
      <c r="EX209" s="14"/>
      <c r="EY209" s="561"/>
      <c r="EZ209" s="561"/>
      <c r="FA209" s="561"/>
      <c r="HV209" s="14"/>
      <c r="HW209" s="14"/>
      <c r="HX209" s="14"/>
      <c r="HY209" s="14"/>
      <c r="HZ209" s="14"/>
      <c r="IA209" s="14"/>
      <c r="IB209" s="14"/>
      <c r="IC209" s="14"/>
    </row>
    <row r="210" spans="1:286" s="43" customFormat="1">
      <c r="A210" s="843"/>
      <c r="B210" s="843"/>
      <c r="C210" s="14"/>
      <c r="D210" s="14"/>
      <c r="E210" s="14"/>
      <c r="F210" s="14"/>
      <c r="G210" s="14"/>
      <c r="H210" s="14"/>
      <c r="I210" s="14"/>
      <c r="J210" s="14"/>
      <c r="K210" s="14"/>
      <c r="L210" s="311"/>
      <c r="M210" s="197"/>
      <c r="N210" s="197"/>
      <c r="O210" s="197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739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2"/>
      <c r="AW210" s="32"/>
      <c r="AX210" s="14"/>
      <c r="AY210" s="14"/>
      <c r="AZ210" s="14"/>
      <c r="BA210" s="14"/>
      <c r="BB210" s="14"/>
      <c r="BC210" s="14"/>
      <c r="BD210" s="14"/>
      <c r="BE210" s="14"/>
      <c r="BF210" s="178"/>
      <c r="BG210" s="178"/>
      <c r="BH210" s="178"/>
      <c r="BI210" s="178"/>
      <c r="BJ210" s="178"/>
      <c r="BK210" s="178"/>
      <c r="BL210" s="178"/>
      <c r="BM210" s="178"/>
      <c r="BN210" s="178"/>
      <c r="BO210" s="178"/>
      <c r="BP210" s="178"/>
      <c r="BQ210" s="178"/>
      <c r="BR210" s="178"/>
      <c r="BS210" s="178"/>
      <c r="BT210" s="178"/>
      <c r="BU210" s="178"/>
      <c r="BV210" s="178"/>
      <c r="BW210" s="178"/>
      <c r="BX210" s="178"/>
      <c r="BY210" s="178"/>
      <c r="BZ210" s="178"/>
      <c r="CA210" s="178"/>
      <c r="CB210" s="178"/>
      <c r="CC210" s="178"/>
      <c r="CD210" s="178"/>
      <c r="CE210" s="178"/>
      <c r="CF210" s="178"/>
      <c r="CG210" s="178"/>
      <c r="CH210" s="178"/>
      <c r="CI210" s="178"/>
      <c r="CJ210" s="178"/>
      <c r="CK210" s="178"/>
      <c r="CL210" s="178"/>
      <c r="CM210" s="178"/>
      <c r="CN210" s="179"/>
      <c r="CO210" s="179"/>
      <c r="CP210" s="179"/>
      <c r="CQ210" s="179"/>
      <c r="CR210" s="179"/>
      <c r="CS210" s="178"/>
      <c r="CT210" s="222"/>
      <c r="CU210" s="222"/>
      <c r="CV210" s="178"/>
      <c r="CW210" s="178"/>
      <c r="CX210" s="178"/>
      <c r="CY210" s="178"/>
      <c r="CZ210" s="178"/>
      <c r="DA210" s="595"/>
      <c r="DB210" s="14"/>
      <c r="DC210" s="561"/>
      <c r="DD210" s="561"/>
      <c r="DE210" s="33"/>
      <c r="DF210" s="14"/>
      <c r="DG210" s="561"/>
      <c r="DH210" s="14"/>
      <c r="DI210" s="561"/>
      <c r="DJ210" s="14"/>
      <c r="DK210" s="14"/>
      <c r="DL210" s="14"/>
      <c r="DM210" s="14"/>
      <c r="DN210" s="14"/>
      <c r="DO210" s="561"/>
      <c r="DP210" s="561"/>
      <c r="DQ210" s="14"/>
      <c r="DR210" s="14"/>
      <c r="DS210" s="561"/>
      <c r="DT210" s="561"/>
      <c r="DU210" s="561"/>
      <c r="DV210" s="14"/>
      <c r="DW210" s="561"/>
      <c r="DX210" s="14"/>
      <c r="DY210" s="14"/>
      <c r="DZ210" s="14"/>
      <c r="EA210" s="14"/>
      <c r="EB210" s="229"/>
      <c r="EC210" s="14"/>
      <c r="ED210" s="561"/>
      <c r="EE210" s="561"/>
      <c r="EF210" s="33"/>
      <c r="EG210" s="561"/>
      <c r="EH210" s="561"/>
      <c r="EI210" s="14"/>
      <c r="EJ210" s="561"/>
      <c r="EK210" s="561"/>
      <c r="EL210" s="14"/>
      <c r="EM210" s="561"/>
      <c r="EN210" s="561"/>
      <c r="EO210" s="14"/>
      <c r="EP210" s="561"/>
      <c r="EQ210" s="561"/>
      <c r="ER210" s="14"/>
      <c r="ES210" s="561"/>
      <c r="ET210" s="561"/>
      <c r="EU210" s="14"/>
      <c r="EV210" s="561"/>
      <c r="EW210" s="561"/>
      <c r="EX210" s="14"/>
      <c r="EY210" s="561"/>
      <c r="EZ210" s="561"/>
      <c r="FA210" s="561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338"/>
      <c r="FM210" s="14"/>
      <c r="FN210" s="14"/>
      <c r="FO210" s="14"/>
      <c r="FP210" s="14"/>
      <c r="FQ210" s="586"/>
      <c r="FR210" s="586"/>
      <c r="FS210" s="586"/>
      <c r="FT210" s="586"/>
      <c r="FU210" s="586"/>
      <c r="FV210" s="586"/>
      <c r="FX210" s="579"/>
      <c r="FY210" s="579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4"/>
      <c r="GO210" s="14"/>
      <c r="GP210" s="14"/>
      <c r="GQ210" s="14"/>
      <c r="GR210" s="14"/>
      <c r="GS210" s="14"/>
      <c r="GT210" s="14"/>
      <c r="GU210" s="14"/>
      <c r="GV210" s="178"/>
      <c r="GW210" s="609"/>
      <c r="GX210" s="14"/>
      <c r="GY210" s="14"/>
      <c r="GZ210" s="14"/>
      <c r="HA210" s="14"/>
      <c r="HB210" s="14"/>
      <c r="HC210" s="14"/>
      <c r="HD210" s="14"/>
      <c r="HE210" s="14"/>
      <c r="HF210" s="14"/>
      <c r="HG210" s="14"/>
      <c r="HH210" s="14"/>
      <c r="HI210" s="14"/>
      <c r="HJ210" s="14"/>
      <c r="HK210" s="14"/>
      <c r="HL210" s="14"/>
      <c r="HM210" s="14"/>
      <c r="HN210" s="14"/>
      <c r="HO210" s="14"/>
      <c r="HP210" s="14"/>
      <c r="HQ210" s="14"/>
      <c r="HR210" s="14"/>
      <c r="HS210" s="634"/>
      <c r="HT210" s="14"/>
      <c r="HU210" s="14"/>
      <c r="HV210" s="14"/>
      <c r="HW210" s="14"/>
      <c r="HX210" s="14"/>
      <c r="HY210" s="14"/>
      <c r="HZ210" s="14"/>
      <c r="IA210" s="14"/>
      <c r="IB210" s="14"/>
      <c r="IC210" s="14"/>
      <c r="ID210" s="14"/>
      <c r="IE210" s="14"/>
      <c r="IF210" s="14"/>
      <c r="IG210" s="14"/>
      <c r="IH210" s="14"/>
      <c r="II210" s="14"/>
      <c r="IJ210" s="14"/>
      <c r="IK210" s="14"/>
      <c r="IL210" s="14"/>
      <c r="IM210" s="14"/>
      <c r="IN210" s="14"/>
      <c r="IO210" s="14"/>
      <c r="IP210" s="14"/>
      <c r="IQ210" s="14"/>
      <c r="IR210" s="14"/>
      <c r="IS210" s="14"/>
      <c r="IT210" s="14"/>
      <c r="IU210" s="14"/>
      <c r="IV210" s="14"/>
      <c r="IW210" s="14"/>
      <c r="IX210" s="14"/>
      <c r="IY210" s="14"/>
      <c r="IZ210" s="14"/>
      <c r="JA210" s="14"/>
      <c r="JB210" s="14"/>
      <c r="JC210" s="14"/>
      <c r="JD210" s="14"/>
      <c r="JE210" s="14"/>
      <c r="JF210" s="14"/>
      <c r="JG210" s="14"/>
      <c r="JH210" s="14"/>
      <c r="JI210" s="14"/>
      <c r="JJ210" s="14"/>
      <c r="JK210" s="14"/>
      <c r="JL210" s="14"/>
      <c r="JM210" s="14"/>
      <c r="JN210" s="14"/>
      <c r="JO210" s="14"/>
      <c r="JP210" s="14"/>
      <c r="JQ210" s="14"/>
      <c r="JR210" s="14"/>
      <c r="JS210" s="14"/>
      <c r="JT210" s="14"/>
      <c r="JU210" s="14"/>
      <c r="JV210" s="14"/>
      <c r="JW210" s="14"/>
      <c r="JX210" s="14"/>
      <c r="JY210" s="14"/>
      <c r="JZ210" s="14"/>
    </row>
    <row r="211" spans="1:286" s="43" customFormat="1">
      <c r="A211" s="843"/>
      <c r="B211" s="843"/>
      <c r="C211" s="14"/>
      <c r="D211" s="14"/>
      <c r="E211" s="14"/>
      <c r="F211" s="14"/>
      <c r="G211" s="14"/>
      <c r="H211" s="14"/>
      <c r="I211" s="14"/>
      <c r="J211" s="14"/>
      <c r="K211" s="14"/>
      <c r="L211" s="311"/>
      <c r="M211" s="197"/>
      <c r="N211" s="197"/>
      <c r="O211" s="197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739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2"/>
      <c r="AW211" s="32"/>
      <c r="AX211" s="14"/>
      <c r="AY211" s="14"/>
      <c r="AZ211" s="14"/>
      <c r="BA211" s="14"/>
      <c r="BB211" s="14"/>
      <c r="BC211" s="14"/>
      <c r="BD211" s="14"/>
      <c r="BE211" s="14"/>
      <c r="BF211" s="178"/>
      <c r="BG211" s="178"/>
      <c r="BH211" s="178"/>
      <c r="BI211" s="178"/>
      <c r="BJ211" s="178"/>
      <c r="BK211" s="178"/>
      <c r="BL211" s="178"/>
      <c r="BM211" s="178"/>
      <c r="BN211" s="178"/>
      <c r="BO211" s="178"/>
      <c r="BP211" s="178"/>
      <c r="BQ211" s="178"/>
      <c r="BR211" s="178"/>
      <c r="BS211" s="178"/>
      <c r="BT211" s="178"/>
      <c r="BU211" s="178"/>
      <c r="BV211" s="178"/>
      <c r="BW211" s="178"/>
      <c r="BX211" s="178"/>
      <c r="BY211" s="178"/>
      <c r="BZ211" s="178"/>
      <c r="CA211" s="178"/>
      <c r="CB211" s="178"/>
      <c r="CC211" s="178"/>
      <c r="CD211" s="178"/>
      <c r="CE211" s="178"/>
      <c r="CF211" s="178"/>
      <c r="CG211" s="178"/>
      <c r="CH211" s="178"/>
      <c r="CI211" s="178"/>
      <c r="CJ211" s="178"/>
      <c r="CK211" s="178"/>
      <c r="CL211" s="178"/>
      <c r="CM211" s="178"/>
      <c r="CN211" s="179"/>
      <c r="CO211" s="179"/>
      <c r="CP211" s="179"/>
      <c r="CQ211" s="179"/>
      <c r="CR211" s="179"/>
      <c r="CS211" s="178"/>
      <c r="CT211" s="222"/>
      <c r="CU211" s="222"/>
      <c r="CV211" s="178"/>
      <c r="CW211" s="178"/>
      <c r="CX211" s="178"/>
      <c r="CY211" s="178"/>
      <c r="CZ211" s="178"/>
      <c r="DA211" s="595"/>
      <c r="DB211" s="14"/>
      <c r="DC211" s="561"/>
      <c r="DD211" s="561"/>
      <c r="DE211" s="33"/>
      <c r="DF211" s="14"/>
      <c r="DG211" s="561"/>
      <c r="DH211" s="14"/>
      <c r="DI211" s="561"/>
      <c r="DJ211" s="14"/>
      <c r="DK211" s="14"/>
      <c r="DL211" s="14"/>
      <c r="DM211" s="14"/>
      <c r="DN211" s="14"/>
      <c r="DO211" s="561"/>
      <c r="DP211" s="561"/>
      <c r="DQ211" s="14"/>
      <c r="DR211" s="14"/>
      <c r="DS211" s="561"/>
      <c r="DT211" s="561"/>
      <c r="DU211" s="561"/>
      <c r="DV211" s="14"/>
      <c r="DW211" s="561"/>
      <c r="DX211" s="14"/>
      <c r="DY211" s="14"/>
      <c r="DZ211" s="14"/>
      <c r="EA211" s="14"/>
      <c r="EB211" s="229"/>
      <c r="EC211" s="14"/>
      <c r="ED211" s="561"/>
      <c r="EE211" s="561"/>
      <c r="EF211" s="33"/>
      <c r="EG211" s="561"/>
      <c r="EH211" s="561"/>
      <c r="EI211" s="14"/>
      <c r="EJ211" s="561"/>
      <c r="EK211" s="561"/>
      <c r="EL211" s="14"/>
      <c r="EM211" s="561"/>
      <c r="EN211" s="561"/>
      <c r="EO211" s="14"/>
      <c r="EP211" s="561"/>
      <c r="EQ211" s="561"/>
      <c r="ER211" s="14"/>
      <c r="ES211" s="561"/>
      <c r="ET211" s="561"/>
      <c r="EU211" s="14"/>
      <c r="EV211" s="561"/>
      <c r="EW211" s="561"/>
      <c r="EX211" s="14"/>
      <c r="EY211" s="561"/>
      <c r="EZ211" s="561"/>
      <c r="FA211" s="561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338"/>
      <c r="FM211" s="14"/>
      <c r="FN211" s="14"/>
      <c r="FO211" s="14"/>
      <c r="FP211" s="14"/>
      <c r="FQ211" s="586"/>
      <c r="FR211" s="586"/>
      <c r="FS211" s="586"/>
      <c r="FT211" s="586"/>
      <c r="FU211" s="586"/>
      <c r="FV211" s="586"/>
      <c r="FX211" s="579"/>
      <c r="FY211" s="579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4"/>
      <c r="GO211" s="14"/>
      <c r="GP211" s="14"/>
      <c r="GQ211" s="14"/>
      <c r="GR211" s="14"/>
      <c r="GS211" s="14"/>
      <c r="GT211" s="14"/>
      <c r="GU211" s="14"/>
      <c r="GV211" s="178"/>
      <c r="GW211" s="609"/>
      <c r="GX211" s="14"/>
      <c r="GY211" s="14"/>
      <c r="GZ211" s="14"/>
      <c r="HA211" s="14"/>
      <c r="HB211" s="14"/>
      <c r="HC211" s="14"/>
      <c r="HD211" s="14"/>
      <c r="HE211" s="14"/>
      <c r="HF211" s="14"/>
      <c r="HG211" s="14"/>
      <c r="HH211" s="14"/>
      <c r="HI211" s="14"/>
      <c r="HJ211" s="14"/>
      <c r="HK211" s="14"/>
      <c r="HL211" s="14"/>
      <c r="HM211" s="14"/>
      <c r="HN211" s="14"/>
      <c r="HO211" s="14"/>
      <c r="HP211" s="14"/>
      <c r="HQ211" s="14"/>
      <c r="HR211" s="14"/>
      <c r="HS211" s="634"/>
      <c r="HT211" s="14"/>
      <c r="HU211" s="14"/>
      <c r="HV211" s="14"/>
      <c r="HW211" s="14"/>
      <c r="HX211" s="14"/>
      <c r="HY211" s="14"/>
      <c r="HZ211" s="14"/>
      <c r="IA211" s="14"/>
      <c r="IB211" s="14"/>
      <c r="IC211" s="14"/>
      <c r="ID211" s="14"/>
      <c r="IE211" s="14"/>
      <c r="IF211" s="14"/>
      <c r="IG211" s="14"/>
      <c r="IH211" s="14"/>
      <c r="II211" s="14"/>
      <c r="IJ211" s="14"/>
      <c r="IK211" s="14"/>
      <c r="IL211" s="14"/>
      <c r="IM211" s="14"/>
      <c r="IN211" s="14"/>
      <c r="IO211" s="14"/>
      <c r="IP211" s="14"/>
      <c r="IQ211" s="14"/>
      <c r="IR211" s="14"/>
      <c r="IS211" s="14"/>
      <c r="IT211" s="14"/>
      <c r="IU211" s="14"/>
      <c r="IV211" s="14"/>
      <c r="IW211" s="14"/>
      <c r="IX211" s="14"/>
      <c r="IY211" s="14"/>
      <c r="IZ211" s="14"/>
      <c r="JA211" s="14"/>
      <c r="JB211" s="14"/>
      <c r="JC211" s="14"/>
      <c r="JD211" s="14"/>
      <c r="JE211" s="14"/>
      <c r="JF211" s="14"/>
      <c r="JG211" s="14"/>
      <c r="JH211" s="14"/>
      <c r="JI211" s="14"/>
      <c r="JJ211" s="14"/>
      <c r="JK211" s="14"/>
      <c r="JL211" s="14"/>
      <c r="JM211" s="14"/>
      <c r="JN211" s="14"/>
      <c r="JO211" s="14"/>
      <c r="JP211" s="14"/>
      <c r="JQ211" s="14"/>
      <c r="JR211" s="14"/>
      <c r="JS211" s="14"/>
      <c r="JT211" s="14"/>
      <c r="JU211" s="14"/>
      <c r="JV211" s="14"/>
      <c r="JW211" s="14"/>
      <c r="JX211" s="14"/>
      <c r="JY211" s="14"/>
      <c r="JZ211" s="14"/>
    </row>
    <row r="212" spans="1:286" s="43" customFormat="1">
      <c r="A212" s="843"/>
      <c r="B212" s="843"/>
      <c r="C212" s="14"/>
      <c r="D212" s="14"/>
      <c r="E212" s="14"/>
      <c r="F212" s="14"/>
      <c r="G212" s="14"/>
      <c r="H212" s="14"/>
      <c r="I212" s="14"/>
      <c r="J212" s="14"/>
      <c r="K212" s="14"/>
      <c r="L212" s="311"/>
      <c r="M212" s="197"/>
      <c r="N212" s="197"/>
      <c r="O212" s="197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739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2"/>
      <c r="AW212" s="32"/>
      <c r="AX212" s="14"/>
      <c r="AY212" s="14"/>
      <c r="AZ212" s="14"/>
      <c r="BA212" s="14"/>
      <c r="BB212" s="14"/>
      <c r="BC212" s="14"/>
      <c r="BD212" s="14"/>
      <c r="BE212" s="14"/>
      <c r="BF212" s="178"/>
      <c r="BG212" s="178"/>
      <c r="BH212" s="178"/>
      <c r="BI212" s="178"/>
      <c r="BJ212" s="178"/>
      <c r="BK212" s="178"/>
      <c r="BL212" s="178"/>
      <c r="BM212" s="178"/>
      <c r="BN212" s="178"/>
      <c r="BO212" s="178"/>
      <c r="BP212" s="178"/>
      <c r="BQ212" s="178"/>
      <c r="BR212" s="178"/>
      <c r="BS212" s="178"/>
      <c r="BT212" s="178"/>
      <c r="BU212" s="178"/>
      <c r="BV212" s="178"/>
      <c r="BW212" s="178"/>
      <c r="BX212" s="178"/>
      <c r="BY212" s="178"/>
      <c r="BZ212" s="178"/>
      <c r="CA212" s="178"/>
      <c r="CB212" s="178"/>
      <c r="CC212" s="178"/>
      <c r="CD212" s="178"/>
      <c r="CE212" s="178"/>
      <c r="CF212" s="178"/>
      <c r="CG212" s="178"/>
      <c r="CH212" s="178"/>
      <c r="CI212" s="178"/>
      <c r="CJ212" s="178"/>
      <c r="CK212" s="178"/>
      <c r="CL212" s="178"/>
      <c r="CM212" s="178"/>
      <c r="CN212" s="179"/>
      <c r="CO212" s="179"/>
      <c r="CP212" s="179"/>
      <c r="CQ212" s="179"/>
      <c r="CR212" s="179"/>
      <c r="CS212" s="178"/>
      <c r="CT212" s="222"/>
      <c r="CU212" s="222"/>
      <c r="CV212" s="178"/>
      <c r="CW212" s="178"/>
      <c r="CX212" s="178"/>
      <c r="CY212" s="178"/>
      <c r="CZ212" s="178"/>
      <c r="DA212" s="595"/>
      <c r="DB212" s="14"/>
      <c r="DC212" s="561"/>
      <c r="DD212" s="561"/>
      <c r="DE212" s="33"/>
      <c r="DF212" s="14"/>
      <c r="DG212" s="561"/>
      <c r="DH212" s="14"/>
      <c r="DI212" s="561"/>
      <c r="DJ212" s="14"/>
      <c r="DK212" s="14"/>
      <c r="DL212" s="14"/>
      <c r="DM212" s="14"/>
      <c r="DN212" s="14"/>
      <c r="DO212" s="561"/>
      <c r="DP212" s="561"/>
      <c r="DQ212" s="14"/>
      <c r="DR212" s="14"/>
      <c r="DS212" s="561"/>
      <c r="DT212" s="561"/>
      <c r="DU212" s="561"/>
      <c r="DV212" s="14"/>
      <c r="DW212" s="561"/>
      <c r="DX212" s="14"/>
      <c r="DY212" s="14"/>
      <c r="DZ212" s="14"/>
      <c r="EA212" s="14"/>
      <c r="EB212" s="229"/>
      <c r="EC212" s="14"/>
      <c r="ED212" s="561"/>
      <c r="EE212" s="561"/>
      <c r="EF212" s="33"/>
      <c r="EG212" s="561"/>
      <c r="EH212" s="561"/>
      <c r="EI212" s="14"/>
      <c r="EJ212" s="561"/>
      <c r="EK212" s="561"/>
      <c r="EL212" s="14"/>
      <c r="EM212" s="561"/>
      <c r="EN212" s="561"/>
      <c r="EO212" s="14"/>
      <c r="EP212" s="561"/>
      <c r="EQ212" s="561"/>
      <c r="ER212" s="14"/>
      <c r="ES212" s="561"/>
      <c r="ET212" s="561"/>
      <c r="EU212" s="14"/>
      <c r="EV212" s="561"/>
      <c r="EW212" s="561"/>
      <c r="EX212" s="14"/>
      <c r="EY212" s="561"/>
      <c r="EZ212" s="561"/>
      <c r="FA212" s="561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338"/>
      <c r="FM212" s="14"/>
      <c r="FN212" s="14"/>
      <c r="FO212" s="14"/>
      <c r="FP212" s="14"/>
      <c r="FQ212" s="586"/>
      <c r="FR212" s="586"/>
      <c r="FS212" s="586"/>
      <c r="FT212" s="586"/>
      <c r="FU212" s="586"/>
      <c r="FV212" s="586"/>
      <c r="FX212" s="579"/>
      <c r="FY212" s="579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4"/>
      <c r="GO212" s="14"/>
      <c r="GP212" s="14"/>
      <c r="GQ212" s="14"/>
      <c r="GR212" s="14"/>
      <c r="GS212" s="14"/>
      <c r="GT212" s="14"/>
      <c r="GU212" s="14"/>
      <c r="GV212" s="178"/>
      <c r="GW212" s="609"/>
      <c r="GX212" s="14"/>
      <c r="GY212" s="14"/>
      <c r="GZ212" s="14"/>
      <c r="HA212" s="14"/>
      <c r="HB212" s="14"/>
      <c r="HC212" s="14"/>
      <c r="HD212" s="14"/>
      <c r="HE212" s="14"/>
      <c r="HF212" s="14"/>
      <c r="HG212" s="14"/>
      <c r="HH212" s="14"/>
      <c r="HI212" s="14"/>
      <c r="HJ212" s="14"/>
      <c r="HK212" s="14"/>
      <c r="HL212" s="14"/>
      <c r="HM212" s="14"/>
      <c r="HN212" s="14"/>
      <c r="HO212" s="14"/>
      <c r="HP212" s="14"/>
      <c r="HQ212" s="14"/>
      <c r="HR212" s="14"/>
      <c r="HS212" s="634"/>
      <c r="HT212" s="14"/>
      <c r="HU212" s="14"/>
      <c r="HV212" s="14"/>
      <c r="HW212" s="14"/>
      <c r="HX212" s="14"/>
      <c r="HY212" s="14"/>
      <c r="HZ212" s="14"/>
      <c r="IA212" s="14"/>
      <c r="IB212" s="14"/>
      <c r="IC212" s="14"/>
      <c r="ID212" s="14"/>
      <c r="IE212" s="14"/>
      <c r="IF212" s="14"/>
      <c r="IG212" s="14"/>
      <c r="IH212" s="14"/>
      <c r="II212" s="14"/>
      <c r="IJ212" s="14"/>
      <c r="IK212" s="14"/>
      <c r="IL212" s="14"/>
      <c r="IM212" s="14"/>
      <c r="IN212" s="14"/>
      <c r="IO212" s="14"/>
      <c r="IP212" s="14"/>
      <c r="IQ212" s="14"/>
      <c r="IR212" s="14"/>
      <c r="IS212" s="14"/>
      <c r="IT212" s="14"/>
      <c r="IU212" s="14"/>
      <c r="IV212" s="14"/>
      <c r="IW212" s="14"/>
      <c r="IX212" s="14"/>
      <c r="IY212" s="14"/>
      <c r="IZ212" s="14"/>
      <c r="JA212" s="14"/>
      <c r="JB212" s="14"/>
      <c r="JC212" s="14"/>
      <c r="JD212" s="14"/>
      <c r="JE212" s="14"/>
      <c r="JF212" s="14"/>
      <c r="JG212" s="14"/>
      <c r="JH212" s="14"/>
      <c r="JI212" s="14"/>
      <c r="JJ212" s="14"/>
      <c r="JK212" s="14"/>
      <c r="JL212" s="14"/>
      <c r="JM212" s="14"/>
      <c r="JN212" s="14"/>
      <c r="JO212" s="14"/>
      <c r="JP212" s="14"/>
      <c r="JQ212" s="14"/>
      <c r="JR212" s="14"/>
      <c r="JS212" s="14"/>
      <c r="JT212" s="14"/>
      <c r="JU212" s="14"/>
      <c r="JV212" s="14"/>
      <c r="JW212" s="14"/>
      <c r="JX212" s="14"/>
      <c r="JY212" s="14"/>
      <c r="JZ212" s="14"/>
    </row>
    <row r="213" spans="1:286" s="43" customFormat="1">
      <c r="A213" s="843"/>
      <c r="B213" s="843"/>
      <c r="C213" s="14"/>
      <c r="D213" s="14"/>
      <c r="E213" s="14"/>
      <c r="F213" s="14"/>
      <c r="G213" s="14"/>
      <c r="H213" s="14"/>
      <c r="I213" s="14"/>
      <c r="J213" s="14"/>
      <c r="K213" s="14"/>
      <c r="L213" s="311"/>
      <c r="M213" s="197"/>
      <c r="N213" s="197"/>
      <c r="O213" s="197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739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2"/>
      <c r="AW213" s="32"/>
      <c r="AX213" s="14"/>
      <c r="AY213" s="14"/>
      <c r="AZ213" s="14"/>
      <c r="BA213" s="14"/>
      <c r="BB213" s="14"/>
      <c r="BC213" s="14"/>
      <c r="BD213" s="14"/>
      <c r="BE213" s="14"/>
      <c r="BF213" s="178"/>
      <c r="BG213" s="178"/>
      <c r="BH213" s="178"/>
      <c r="BI213" s="178"/>
      <c r="BJ213" s="178"/>
      <c r="BK213" s="178"/>
      <c r="BL213" s="178"/>
      <c r="BM213" s="178"/>
      <c r="BN213" s="178"/>
      <c r="BO213" s="178"/>
      <c r="BP213" s="178"/>
      <c r="BQ213" s="178"/>
      <c r="BR213" s="178"/>
      <c r="BS213" s="178"/>
      <c r="BT213" s="178"/>
      <c r="BU213" s="178"/>
      <c r="BV213" s="178"/>
      <c r="BW213" s="178"/>
      <c r="BX213" s="178"/>
      <c r="BY213" s="178"/>
      <c r="BZ213" s="178"/>
      <c r="CA213" s="178"/>
      <c r="CB213" s="178"/>
      <c r="CC213" s="178"/>
      <c r="CD213" s="178"/>
      <c r="CE213" s="178"/>
      <c r="CF213" s="178"/>
      <c r="CG213" s="178"/>
      <c r="CH213" s="178"/>
      <c r="CI213" s="178"/>
      <c r="CJ213" s="178"/>
      <c r="CK213" s="178"/>
      <c r="CL213" s="178"/>
      <c r="CM213" s="178"/>
      <c r="CN213" s="179"/>
      <c r="CO213" s="179"/>
      <c r="CP213" s="179"/>
      <c r="CQ213" s="179"/>
      <c r="CR213" s="179"/>
      <c r="CS213" s="178"/>
      <c r="CT213" s="222"/>
      <c r="CU213" s="222"/>
      <c r="CV213" s="178"/>
      <c r="CW213" s="178"/>
      <c r="CX213" s="178"/>
      <c r="CY213" s="178"/>
      <c r="CZ213" s="178"/>
      <c r="DA213" s="595"/>
      <c r="DB213" s="14"/>
      <c r="DC213" s="561"/>
      <c r="DD213" s="561"/>
      <c r="DE213" s="33"/>
      <c r="DF213" s="14"/>
      <c r="DG213" s="561"/>
      <c r="DH213" s="14"/>
      <c r="DI213" s="561"/>
      <c r="DJ213" s="14"/>
      <c r="DK213" s="14"/>
      <c r="DL213" s="14"/>
      <c r="DM213" s="14"/>
      <c r="DN213" s="14"/>
      <c r="DO213" s="561"/>
      <c r="DP213" s="561"/>
      <c r="DQ213" s="14"/>
      <c r="DR213" s="14"/>
      <c r="DS213" s="561"/>
      <c r="DT213" s="561"/>
      <c r="DU213" s="561"/>
      <c r="DV213" s="14"/>
      <c r="DW213" s="561"/>
      <c r="DX213" s="14"/>
      <c r="DY213" s="14"/>
      <c r="DZ213" s="14"/>
      <c r="EA213" s="14"/>
      <c r="EB213" s="229"/>
      <c r="EC213" s="14"/>
      <c r="ED213" s="561"/>
      <c r="EE213" s="561"/>
      <c r="EF213" s="33"/>
      <c r="EG213" s="561"/>
      <c r="EH213" s="561"/>
      <c r="EI213" s="14"/>
      <c r="EJ213" s="561"/>
      <c r="EK213" s="561"/>
      <c r="EL213" s="14"/>
      <c r="EM213" s="561"/>
      <c r="EN213" s="561"/>
      <c r="EO213" s="14"/>
      <c r="EP213" s="561"/>
      <c r="EQ213" s="561"/>
      <c r="ER213" s="14"/>
      <c r="ES213" s="561"/>
      <c r="ET213" s="561"/>
      <c r="EU213" s="14"/>
      <c r="EV213" s="561"/>
      <c r="EW213" s="561"/>
      <c r="EX213" s="14"/>
      <c r="EY213" s="561"/>
      <c r="EZ213" s="561"/>
      <c r="FA213" s="561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338"/>
      <c r="FM213" s="14"/>
      <c r="FN213" s="14"/>
      <c r="FO213" s="14"/>
      <c r="FP213" s="14"/>
      <c r="FQ213" s="586"/>
      <c r="FR213" s="586"/>
      <c r="FS213" s="586"/>
      <c r="FT213" s="586"/>
      <c r="FU213" s="586"/>
      <c r="FV213" s="586"/>
      <c r="FX213" s="579"/>
      <c r="FY213" s="579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4"/>
      <c r="GO213" s="14"/>
      <c r="GP213" s="14"/>
      <c r="GQ213" s="14"/>
      <c r="GR213" s="14"/>
      <c r="GS213" s="14"/>
      <c r="GT213" s="14"/>
      <c r="GU213" s="14"/>
      <c r="GV213" s="178"/>
      <c r="GW213" s="609"/>
      <c r="GX213" s="14"/>
      <c r="GY213" s="14"/>
      <c r="GZ213" s="14"/>
      <c r="HA213" s="14"/>
      <c r="HB213" s="14"/>
      <c r="HC213" s="14"/>
      <c r="HD213" s="14"/>
      <c r="HE213" s="14"/>
      <c r="HF213" s="14"/>
      <c r="HG213" s="14"/>
      <c r="HH213" s="14"/>
      <c r="HI213" s="14"/>
      <c r="HJ213" s="14"/>
      <c r="HK213" s="14"/>
      <c r="HL213" s="14"/>
      <c r="HM213" s="14"/>
      <c r="HN213" s="14"/>
      <c r="HO213" s="14"/>
      <c r="HP213" s="14"/>
      <c r="HQ213" s="14"/>
      <c r="HR213" s="14"/>
      <c r="HS213" s="634"/>
      <c r="HT213" s="14"/>
      <c r="HU213" s="14"/>
      <c r="HV213" s="14"/>
      <c r="HW213" s="14"/>
      <c r="HX213" s="14"/>
      <c r="HY213" s="14"/>
      <c r="HZ213" s="14"/>
      <c r="IA213" s="14"/>
      <c r="IB213" s="14"/>
      <c r="IC213" s="14"/>
      <c r="ID213" s="14"/>
      <c r="IE213" s="14"/>
      <c r="IF213" s="14"/>
      <c r="IG213" s="14"/>
      <c r="IH213" s="14"/>
      <c r="II213" s="14"/>
      <c r="IJ213" s="14"/>
      <c r="IK213" s="14"/>
      <c r="IL213" s="14"/>
      <c r="IM213" s="14"/>
      <c r="IN213" s="14"/>
      <c r="IO213" s="14"/>
      <c r="IP213" s="14"/>
      <c r="IQ213" s="14"/>
      <c r="IR213" s="14"/>
      <c r="IS213" s="14"/>
      <c r="IT213" s="14"/>
      <c r="IU213" s="14"/>
      <c r="IV213" s="14"/>
      <c r="IW213" s="14"/>
      <c r="IX213" s="14"/>
      <c r="IY213" s="14"/>
      <c r="IZ213" s="14"/>
      <c r="JA213" s="14"/>
      <c r="JB213" s="14"/>
      <c r="JC213" s="14"/>
      <c r="JD213" s="14"/>
      <c r="JE213" s="14"/>
      <c r="JF213" s="14"/>
      <c r="JG213" s="14"/>
      <c r="JH213" s="14"/>
      <c r="JI213" s="14"/>
      <c r="JJ213" s="14"/>
      <c r="JK213" s="14"/>
      <c r="JL213" s="14"/>
      <c r="JM213" s="14"/>
      <c r="JN213" s="14"/>
      <c r="JO213" s="14"/>
      <c r="JP213" s="14"/>
      <c r="JQ213" s="14"/>
      <c r="JR213" s="14"/>
      <c r="JS213" s="14"/>
      <c r="JT213" s="14"/>
      <c r="JU213" s="14"/>
      <c r="JV213" s="14"/>
      <c r="JW213" s="14"/>
      <c r="JX213" s="14"/>
      <c r="JY213" s="14"/>
      <c r="JZ213" s="14"/>
    </row>
    <row r="214" spans="1:286" s="43" customFormat="1">
      <c r="A214" s="843"/>
      <c r="B214" s="843"/>
      <c r="C214" s="14"/>
      <c r="D214" s="14"/>
      <c r="E214" s="14"/>
      <c r="F214" s="14"/>
      <c r="G214" s="14"/>
      <c r="H214" s="14"/>
      <c r="I214" s="14"/>
      <c r="J214" s="14"/>
      <c r="K214" s="14"/>
      <c r="L214" s="311"/>
      <c r="M214" s="197"/>
      <c r="N214" s="197"/>
      <c r="O214" s="197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739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2"/>
      <c r="AW214" s="32"/>
      <c r="AX214" s="14"/>
      <c r="AY214" s="14"/>
      <c r="AZ214" s="14"/>
      <c r="BA214" s="14"/>
      <c r="BB214" s="14"/>
      <c r="BC214" s="14"/>
      <c r="BD214" s="14"/>
      <c r="BE214" s="14"/>
      <c r="BF214" s="178"/>
      <c r="BG214" s="178"/>
      <c r="BH214" s="178"/>
      <c r="BI214" s="178"/>
      <c r="BJ214" s="178"/>
      <c r="BK214" s="178"/>
      <c r="BL214" s="178"/>
      <c r="BM214" s="178"/>
      <c r="BN214" s="178"/>
      <c r="BO214" s="178"/>
      <c r="BP214" s="178"/>
      <c r="BQ214" s="178"/>
      <c r="BR214" s="178"/>
      <c r="BS214" s="178"/>
      <c r="BT214" s="178"/>
      <c r="BU214" s="178"/>
      <c r="BV214" s="178"/>
      <c r="BW214" s="178"/>
      <c r="BX214" s="178"/>
      <c r="BY214" s="178"/>
      <c r="BZ214" s="178"/>
      <c r="CA214" s="178"/>
      <c r="CB214" s="178"/>
      <c r="CC214" s="178"/>
      <c r="CD214" s="178"/>
      <c r="CE214" s="178"/>
      <c r="CF214" s="178"/>
      <c r="CG214" s="178"/>
      <c r="CH214" s="178"/>
      <c r="CI214" s="178"/>
      <c r="CJ214" s="178"/>
      <c r="CK214" s="178"/>
      <c r="CL214" s="178"/>
      <c r="CM214" s="178"/>
      <c r="CN214" s="179"/>
      <c r="CO214" s="179"/>
      <c r="CP214" s="179"/>
      <c r="CQ214" s="179"/>
      <c r="CR214" s="179"/>
      <c r="CS214" s="178"/>
      <c r="CT214" s="222"/>
      <c r="CU214" s="222"/>
      <c r="CV214" s="178"/>
      <c r="CW214" s="178"/>
      <c r="CX214" s="178"/>
      <c r="CY214" s="178"/>
      <c r="CZ214" s="178"/>
      <c r="DA214" s="595"/>
      <c r="DB214" s="14"/>
      <c r="DC214" s="561"/>
      <c r="DD214" s="561"/>
      <c r="DE214" s="33"/>
      <c r="DF214" s="14"/>
      <c r="DG214" s="561"/>
      <c r="DH214" s="14"/>
      <c r="DI214" s="561"/>
      <c r="DJ214" s="14"/>
      <c r="DK214" s="14"/>
      <c r="DL214" s="14"/>
      <c r="DM214" s="14"/>
      <c r="DN214" s="14"/>
      <c r="DO214" s="561"/>
      <c r="DP214" s="561"/>
      <c r="DQ214" s="14"/>
      <c r="DR214" s="14"/>
      <c r="DS214" s="561"/>
      <c r="DT214" s="561"/>
      <c r="DU214" s="561"/>
      <c r="DV214" s="14"/>
      <c r="DW214" s="561"/>
      <c r="DX214" s="14"/>
      <c r="DY214" s="14"/>
      <c r="DZ214" s="14"/>
      <c r="EA214" s="14"/>
      <c r="EB214" s="229"/>
      <c r="EC214" s="14"/>
      <c r="ED214" s="561"/>
      <c r="EE214" s="561"/>
      <c r="EF214" s="33"/>
      <c r="EG214" s="561"/>
      <c r="EH214" s="561"/>
      <c r="EI214" s="14"/>
      <c r="EJ214" s="561"/>
      <c r="EK214" s="561"/>
      <c r="EL214" s="14"/>
      <c r="EM214" s="561"/>
      <c r="EN214" s="561"/>
      <c r="EO214" s="14"/>
      <c r="EP214" s="561"/>
      <c r="EQ214" s="561"/>
      <c r="ER214" s="14"/>
      <c r="ES214" s="561"/>
      <c r="ET214" s="561"/>
      <c r="EU214" s="14"/>
      <c r="EV214" s="561"/>
      <c r="EW214" s="561"/>
      <c r="EX214" s="14"/>
      <c r="EY214" s="561"/>
      <c r="EZ214" s="561"/>
      <c r="FA214" s="561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338"/>
      <c r="FM214" s="14"/>
      <c r="FN214" s="14"/>
      <c r="FO214" s="14"/>
      <c r="FP214" s="14"/>
      <c r="FQ214" s="586"/>
      <c r="FR214" s="586"/>
      <c r="FS214" s="586"/>
      <c r="FT214" s="586"/>
      <c r="FU214" s="586"/>
      <c r="FV214" s="586"/>
      <c r="FX214" s="579"/>
      <c r="FY214" s="579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4"/>
      <c r="GO214" s="14"/>
      <c r="GP214" s="14"/>
      <c r="GQ214" s="14"/>
      <c r="GR214" s="14"/>
      <c r="GS214" s="14"/>
      <c r="GT214" s="14"/>
      <c r="GU214" s="14"/>
      <c r="GV214" s="178"/>
      <c r="GW214" s="609"/>
      <c r="GX214" s="14"/>
      <c r="GY214" s="14"/>
      <c r="GZ214" s="14"/>
      <c r="HA214" s="14"/>
      <c r="HB214" s="14"/>
      <c r="HC214" s="14"/>
      <c r="HD214" s="14"/>
      <c r="HE214" s="14"/>
      <c r="HF214" s="14"/>
      <c r="HG214" s="14"/>
      <c r="HH214" s="14"/>
      <c r="HI214" s="14"/>
      <c r="HJ214" s="14"/>
      <c r="HK214" s="14"/>
      <c r="HL214" s="14"/>
      <c r="HM214" s="14"/>
      <c r="HN214" s="14"/>
      <c r="HO214" s="14"/>
      <c r="HP214" s="14"/>
      <c r="HQ214" s="14"/>
      <c r="HR214" s="14"/>
      <c r="HS214" s="634"/>
      <c r="HT214" s="14"/>
      <c r="HU214" s="14"/>
      <c r="HV214" s="14"/>
      <c r="HW214" s="14"/>
      <c r="HX214" s="14"/>
      <c r="HY214" s="14"/>
      <c r="HZ214" s="14"/>
      <c r="IA214" s="14"/>
      <c r="IB214" s="14"/>
      <c r="IC214" s="14"/>
      <c r="ID214" s="14"/>
      <c r="IE214" s="14"/>
      <c r="IF214" s="14"/>
      <c r="IG214" s="14"/>
      <c r="IH214" s="14"/>
      <c r="II214" s="14"/>
      <c r="IJ214" s="14"/>
      <c r="IK214" s="14"/>
      <c r="IL214" s="14"/>
      <c r="IM214" s="14"/>
      <c r="IN214" s="14"/>
      <c r="IO214" s="14"/>
      <c r="IP214" s="14"/>
      <c r="IQ214" s="14"/>
      <c r="IR214" s="14"/>
      <c r="IS214" s="14"/>
      <c r="IT214" s="14"/>
      <c r="IU214" s="14"/>
      <c r="IV214" s="14"/>
      <c r="IW214" s="14"/>
      <c r="IX214" s="14"/>
      <c r="IY214" s="14"/>
      <c r="IZ214" s="14"/>
      <c r="JA214" s="14"/>
      <c r="JB214" s="14"/>
      <c r="JC214" s="14"/>
      <c r="JD214" s="14"/>
      <c r="JE214" s="14"/>
      <c r="JF214" s="14"/>
      <c r="JG214" s="14"/>
      <c r="JH214" s="14"/>
      <c r="JI214" s="14"/>
      <c r="JJ214" s="14"/>
      <c r="JK214" s="14"/>
      <c r="JL214" s="14"/>
      <c r="JM214" s="14"/>
      <c r="JN214" s="14"/>
      <c r="JO214" s="14"/>
      <c r="JP214" s="14"/>
      <c r="JQ214" s="14"/>
      <c r="JR214" s="14"/>
      <c r="JS214" s="14"/>
      <c r="JT214" s="14"/>
      <c r="JU214" s="14"/>
      <c r="JV214" s="14"/>
      <c r="JW214" s="14"/>
      <c r="JX214" s="14"/>
      <c r="JY214" s="14"/>
      <c r="JZ214" s="14"/>
    </row>
    <row r="215" spans="1:286" s="43" customFormat="1">
      <c r="A215" s="843"/>
      <c r="B215" s="843"/>
      <c r="C215" s="14"/>
      <c r="D215" s="14"/>
      <c r="E215" s="14"/>
      <c r="F215" s="14"/>
      <c r="G215" s="14"/>
      <c r="H215" s="14"/>
      <c r="I215" s="14"/>
      <c r="J215" s="14"/>
      <c r="K215" s="14"/>
      <c r="L215" s="311"/>
      <c r="M215" s="197"/>
      <c r="N215" s="197"/>
      <c r="O215" s="197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739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2"/>
      <c r="AW215" s="32"/>
      <c r="AX215" s="14"/>
      <c r="AY215" s="14"/>
      <c r="AZ215" s="14"/>
      <c r="BA215" s="14"/>
      <c r="BB215" s="14"/>
      <c r="BC215" s="14"/>
      <c r="BD215" s="14"/>
      <c r="BE215" s="14"/>
      <c r="BF215" s="178"/>
      <c r="BG215" s="178"/>
      <c r="BH215" s="178"/>
      <c r="BI215" s="178"/>
      <c r="BJ215" s="178"/>
      <c r="BK215" s="178"/>
      <c r="BL215" s="178"/>
      <c r="BM215" s="178"/>
      <c r="BN215" s="178"/>
      <c r="BO215" s="178"/>
      <c r="BP215" s="178"/>
      <c r="BQ215" s="178"/>
      <c r="BR215" s="178"/>
      <c r="BS215" s="178"/>
      <c r="BT215" s="178"/>
      <c r="BU215" s="178"/>
      <c r="BV215" s="178"/>
      <c r="BW215" s="178"/>
      <c r="BX215" s="178"/>
      <c r="BY215" s="178"/>
      <c r="BZ215" s="178"/>
      <c r="CA215" s="178"/>
      <c r="CB215" s="178"/>
      <c r="CC215" s="178"/>
      <c r="CD215" s="178"/>
      <c r="CE215" s="178"/>
      <c r="CF215" s="178"/>
      <c r="CG215" s="178"/>
      <c r="CH215" s="178"/>
      <c r="CI215" s="178"/>
      <c r="CJ215" s="178"/>
      <c r="CK215" s="178"/>
      <c r="CL215" s="178"/>
      <c r="CM215" s="178"/>
      <c r="CN215" s="179"/>
      <c r="CO215" s="179"/>
      <c r="CP215" s="179"/>
      <c r="CQ215" s="179"/>
      <c r="CR215" s="179"/>
      <c r="CS215" s="178"/>
      <c r="CT215" s="222"/>
      <c r="CU215" s="222"/>
      <c r="CV215" s="178"/>
      <c r="CW215" s="178"/>
      <c r="CX215" s="178"/>
      <c r="CY215" s="178"/>
      <c r="CZ215" s="178"/>
      <c r="DA215" s="595"/>
      <c r="DB215" s="14"/>
      <c r="DC215" s="561"/>
      <c r="DD215" s="561"/>
      <c r="DE215" s="33"/>
      <c r="DF215" s="14"/>
      <c r="DG215" s="561"/>
      <c r="DH215" s="14"/>
      <c r="DI215" s="561"/>
      <c r="DJ215" s="14"/>
      <c r="DK215" s="14"/>
      <c r="DL215" s="14"/>
      <c r="DM215" s="14"/>
      <c r="DN215" s="14"/>
      <c r="DO215" s="561"/>
      <c r="DP215" s="561"/>
      <c r="DQ215" s="14"/>
      <c r="DR215" s="14"/>
      <c r="DS215" s="561"/>
      <c r="DT215" s="561"/>
      <c r="DU215" s="561"/>
      <c r="DV215" s="14"/>
      <c r="DW215" s="561"/>
      <c r="DX215" s="14"/>
      <c r="DY215" s="14"/>
      <c r="DZ215" s="14"/>
      <c r="EA215" s="14"/>
      <c r="EB215" s="229"/>
      <c r="EC215" s="14"/>
      <c r="ED215" s="561"/>
      <c r="EE215" s="561"/>
      <c r="EF215" s="33"/>
      <c r="EG215" s="561"/>
      <c r="EH215" s="561"/>
      <c r="EI215" s="14"/>
      <c r="EJ215" s="561"/>
      <c r="EK215" s="561"/>
      <c r="EL215" s="14"/>
      <c r="EM215" s="561"/>
      <c r="EN215" s="561"/>
      <c r="EO215" s="14"/>
      <c r="EP215" s="561"/>
      <c r="EQ215" s="561"/>
      <c r="ER215" s="14"/>
      <c r="ES215" s="561"/>
      <c r="ET215" s="561"/>
      <c r="EU215" s="14"/>
      <c r="EV215" s="561"/>
      <c r="EW215" s="561"/>
      <c r="EX215" s="14"/>
      <c r="EY215" s="561"/>
      <c r="EZ215" s="561"/>
      <c r="FA215" s="561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338"/>
      <c r="FM215" s="14"/>
      <c r="FN215" s="14"/>
      <c r="FO215" s="14"/>
      <c r="FP215" s="14"/>
      <c r="FQ215" s="586"/>
      <c r="FR215" s="586"/>
      <c r="FS215" s="586"/>
      <c r="FT215" s="586"/>
      <c r="FU215" s="586"/>
      <c r="FV215" s="586"/>
      <c r="FX215" s="579"/>
      <c r="FY215" s="579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4"/>
      <c r="GO215" s="14"/>
      <c r="GP215" s="14"/>
      <c r="GQ215" s="14"/>
      <c r="GR215" s="14"/>
      <c r="GS215" s="14"/>
      <c r="GT215" s="14"/>
      <c r="GU215" s="14"/>
      <c r="GV215" s="178"/>
      <c r="GW215" s="609"/>
      <c r="GX215" s="14"/>
      <c r="GY215" s="14"/>
      <c r="GZ215" s="14"/>
      <c r="HA215" s="14"/>
      <c r="HB215" s="14"/>
      <c r="HC215" s="14"/>
      <c r="HD215" s="14"/>
      <c r="HE215" s="14"/>
      <c r="HF215" s="14"/>
      <c r="HG215" s="14"/>
      <c r="HH215" s="14"/>
      <c r="HI215" s="14"/>
      <c r="HJ215" s="14"/>
      <c r="HK215" s="14"/>
      <c r="HL215" s="14"/>
      <c r="HM215" s="14"/>
      <c r="HN215" s="14"/>
      <c r="HO215" s="14"/>
      <c r="HP215" s="14"/>
      <c r="HQ215" s="14"/>
      <c r="HR215" s="14"/>
      <c r="HS215" s="634"/>
      <c r="HT215" s="14"/>
      <c r="HU215" s="14"/>
      <c r="HV215" s="14"/>
      <c r="HW215" s="14"/>
      <c r="HX215" s="14"/>
      <c r="HY215" s="14"/>
      <c r="HZ215" s="14"/>
      <c r="IA215" s="14"/>
      <c r="IB215" s="14"/>
      <c r="IC215" s="14"/>
      <c r="ID215" s="14"/>
      <c r="IE215" s="14"/>
      <c r="IF215" s="14"/>
      <c r="IG215" s="14"/>
      <c r="IH215" s="14"/>
      <c r="II215" s="14"/>
      <c r="IJ215" s="14"/>
      <c r="IK215" s="14"/>
      <c r="IL215" s="14"/>
      <c r="IM215" s="14"/>
      <c r="IN215" s="14"/>
      <c r="IO215" s="14"/>
      <c r="IP215" s="14"/>
      <c r="IQ215" s="14"/>
      <c r="IR215" s="14"/>
      <c r="IS215" s="14"/>
      <c r="IT215" s="14"/>
      <c r="IU215" s="14"/>
      <c r="IV215" s="14"/>
      <c r="IW215" s="14"/>
      <c r="IX215" s="14"/>
      <c r="IY215" s="14"/>
      <c r="IZ215" s="14"/>
      <c r="JA215" s="14"/>
      <c r="JB215" s="14"/>
      <c r="JC215" s="14"/>
      <c r="JD215" s="14"/>
      <c r="JE215" s="14"/>
      <c r="JF215" s="14"/>
      <c r="JG215" s="14"/>
      <c r="JH215" s="14"/>
      <c r="JI215" s="14"/>
      <c r="JJ215" s="14"/>
      <c r="JK215" s="14"/>
      <c r="JL215" s="14"/>
      <c r="JM215" s="14"/>
      <c r="JN215" s="14"/>
      <c r="JO215" s="14"/>
      <c r="JP215" s="14"/>
      <c r="JQ215" s="14"/>
      <c r="JR215" s="14"/>
      <c r="JS215" s="14"/>
      <c r="JT215" s="14"/>
      <c r="JU215" s="14"/>
      <c r="JV215" s="14"/>
      <c r="JW215" s="14"/>
      <c r="JX215" s="14"/>
      <c r="JY215" s="14"/>
      <c r="JZ215" s="14"/>
    </row>
    <row r="216" spans="1:286" s="43" customFormat="1">
      <c r="A216" s="843"/>
      <c r="B216" s="843"/>
      <c r="C216" s="14"/>
      <c r="D216" s="14"/>
      <c r="E216" s="14"/>
      <c r="F216" s="14"/>
      <c r="G216" s="14"/>
      <c r="H216" s="14"/>
      <c r="I216" s="14"/>
      <c r="J216" s="14"/>
      <c r="K216" s="14"/>
      <c r="L216" s="311"/>
      <c r="M216" s="197"/>
      <c r="N216" s="197"/>
      <c r="O216" s="197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739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2"/>
      <c r="AW216" s="32"/>
      <c r="AX216" s="14"/>
      <c r="AY216" s="14"/>
      <c r="AZ216" s="14"/>
      <c r="BA216" s="14"/>
      <c r="BB216" s="14"/>
      <c r="BC216" s="14"/>
      <c r="BD216" s="14"/>
      <c r="BE216" s="14"/>
      <c r="BF216" s="178"/>
      <c r="BG216" s="178"/>
      <c r="BH216" s="178"/>
      <c r="BI216" s="178"/>
      <c r="BJ216" s="178"/>
      <c r="BK216" s="178"/>
      <c r="BL216" s="178"/>
      <c r="BM216" s="178"/>
      <c r="BN216" s="178"/>
      <c r="BO216" s="178"/>
      <c r="BP216" s="178"/>
      <c r="BQ216" s="178"/>
      <c r="BR216" s="178"/>
      <c r="BS216" s="178"/>
      <c r="BT216" s="178"/>
      <c r="BU216" s="178"/>
      <c r="BV216" s="178"/>
      <c r="BW216" s="178"/>
      <c r="BX216" s="178"/>
      <c r="BY216" s="178"/>
      <c r="BZ216" s="178"/>
      <c r="CA216" s="178"/>
      <c r="CB216" s="178"/>
      <c r="CC216" s="178"/>
      <c r="CD216" s="178"/>
      <c r="CE216" s="178"/>
      <c r="CF216" s="178"/>
      <c r="CG216" s="178"/>
      <c r="CH216" s="178"/>
      <c r="CI216" s="178"/>
      <c r="CJ216" s="178"/>
      <c r="CK216" s="178"/>
      <c r="CL216" s="178"/>
      <c r="CM216" s="178"/>
      <c r="CN216" s="179"/>
      <c r="CO216" s="179"/>
      <c r="CP216" s="179"/>
      <c r="CQ216" s="179"/>
      <c r="CR216" s="179"/>
      <c r="CS216" s="178"/>
      <c r="CT216" s="222"/>
      <c r="CU216" s="222"/>
      <c r="CV216" s="178"/>
      <c r="CW216" s="178"/>
      <c r="CX216" s="178"/>
      <c r="CY216" s="178"/>
      <c r="CZ216" s="178"/>
      <c r="DA216" s="595"/>
      <c r="DB216" s="14"/>
      <c r="DC216" s="561"/>
      <c r="DD216" s="561"/>
      <c r="DE216" s="33"/>
      <c r="DF216" s="14"/>
      <c r="DG216" s="561"/>
      <c r="DH216" s="14"/>
      <c r="DI216" s="561"/>
      <c r="DJ216" s="14"/>
      <c r="DK216" s="14"/>
      <c r="DL216" s="14"/>
      <c r="DM216" s="14"/>
      <c r="DN216" s="14"/>
      <c r="DO216" s="561"/>
      <c r="DP216" s="561"/>
      <c r="DQ216" s="14"/>
      <c r="DR216" s="14"/>
      <c r="DS216" s="561"/>
      <c r="DT216" s="561"/>
      <c r="DU216" s="561"/>
      <c r="DV216" s="14"/>
      <c r="DW216" s="561"/>
      <c r="DX216" s="14"/>
      <c r="DY216" s="14"/>
      <c r="DZ216" s="14"/>
      <c r="EA216" s="14"/>
      <c r="EB216" s="229"/>
      <c r="EC216" s="14"/>
      <c r="ED216" s="561"/>
      <c r="EE216" s="561"/>
      <c r="EF216" s="33"/>
      <c r="EG216" s="561"/>
      <c r="EH216" s="561"/>
      <c r="EI216" s="14"/>
      <c r="EJ216" s="561"/>
      <c r="EK216" s="561"/>
      <c r="EL216" s="14"/>
      <c r="EM216" s="561"/>
      <c r="EN216" s="561"/>
      <c r="EO216" s="14"/>
      <c r="EP216" s="561"/>
      <c r="EQ216" s="561"/>
      <c r="ER216" s="14"/>
      <c r="ES216" s="561"/>
      <c r="ET216" s="561"/>
      <c r="EU216" s="14"/>
      <c r="EV216" s="561"/>
      <c r="EW216" s="561"/>
      <c r="EX216" s="14"/>
      <c r="EY216" s="561"/>
      <c r="EZ216" s="561"/>
      <c r="FA216" s="561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338"/>
      <c r="FM216" s="14"/>
      <c r="FN216" s="14"/>
      <c r="FO216" s="14"/>
      <c r="FP216" s="14"/>
      <c r="FQ216" s="586"/>
      <c r="FR216" s="586"/>
      <c r="FS216" s="586"/>
      <c r="FT216" s="586"/>
      <c r="FU216" s="586"/>
      <c r="FV216" s="586"/>
      <c r="FX216" s="579"/>
      <c r="FY216" s="579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78"/>
      <c r="GW216" s="609"/>
      <c r="GX216" s="14"/>
      <c r="GY216" s="14"/>
      <c r="GZ216" s="14"/>
      <c r="HA216" s="14"/>
      <c r="HB216" s="14"/>
      <c r="HC216" s="14"/>
      <c r="HD216" s="14"/>
      <c r="HE216" s="14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634"/>
      <c r="HT216" s="14"/>
      <c r="HU216" s="14"/>
      <c r="HV216" s="14"/>
      <c r="HW216" s="14"/>
      <c r="HX216" s="14"/>
      <c r="HY216" s="14"/>
      <c r="HZ216" s="14"/>
      <c r="IA216" s="14"/>
      <c r="IB216" s="14"/>
      <c r="IC216" s="14"/>
      <c r="ID216" s="14"/>
      <c r="IE216" s="14"/>
      <c r="IF216" s="14"/>
      <c r="IG216" s="14"/>
      <c r="IH216" s="14"/>
      <c r="II216" s="14"/>
      <c r="IJ216" s="14"/>
      <c r="IK216" s="14"/>
      <c r="IL216" s="14"/>
      <c r="IM216" s="14"/>
      <c r="IN216" s="14"/>
      <c r="IO216" s="14"/>
      <c r="IP216" s="14"/>
      <c r="IQ216" s="14"/>
      <c r="IR216" s="14"/>
      <c r="IS216" s="14"/>
      <c r="IT216" s="14"/>
      <c r="IU216" s="14"/>
      <c r="IV216" s="14"/>
      <c r="IW216" s="14"/>
      <c r="IX216" s="14"/>
      <c r="IY216" s="14"/>
      <c r="IZ216" s="14"/>
      <c r="JA216" s="14"/>
      <c r="JB216" s="14"/>
      <c r="JC216" s="14"/>
      <c r="JD216" s="14"/>
      <c r="JE216" s="14"/>
      <c r="JF216" s="14"/>
      <c r="JG216" s="14"/>
      <c r="JH216" s="14"/>
      <c r="JI216" s="14"/>
      <c r="JJ216" s="14"/>
      <c r="JK216" s="14"/>
      <c r="JL216" s="14"/>
      <c r="JM216" s="14"/>
      <c r="JN216" s="14"/>
      <c r="JO216" s="14"/>
      <c r="JP216" s="14"/>
      <c r="JQ216" s="14"/>
      <c r="JR216" s="14"/>
      <c r="JS216" s="14"/>
      <c r="JT216" s="14"/>
      <c r="JU216" s="14"/>
      <c r="JV216" s="14"/>
      <c r="JW216" s="14"/>
      <c r="JX216" s="14"/>
      <c r="JY216" s="14"/>
      <c r="JZ216" s="14"/>
    </row>
    <row r="217" spans="1:286" s="43" customFormat="1">
      <c r="A217" s="845"/>
      <c r="B217" s="845"/>
      <c r="C217" s="147" t="s">
        <v>55</v>
      </c>
      <c r="D217" s="147" t="s">
        <v>56</v>
      </c>
      <c r="E217" s="14"/>
      <c r="F217" s="14"/>
      <c r="G217" s="14"/>
      <c r="H217" s="260"/>
      <c r="I217" s="32"/>
      <c r="J217" s="32"/>
      <c r="K217" s="32"/>
      <c r="L217" s="311"/>
      <c r="M217" s="197"/>
      <c r="N217" s="197"/>
      <c r="O217" s="197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739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2"/>
      <c r="AW217" s="32"/>
      <c r="AX217" s="14"/>
      <c r="AY217" s="14"/>
      <c r="AZ217" s="14"/>
      <c r="BA217" s="14"/>
      <c r="BB217" s="14"/>
      <c r="BC217" s="14"/>
      <c r="BD217" s="14"/>
      <c r="BE217" s="14"/>
      <c r="BF217" s="178"/>
      <c r="BG217" s="178"/>
      <c r="BH217" s="178"/>
      <c r="BI217" s="178"/>
      <c r="BJ217" s="178"/>
      <c r="BK217" s="178"/>
      <c r="BL217" s="178"/>
      <c r="BM217" s="178"/>
      <c r="BN217" s="178"/>
      <c r="BO217" s="178"/>
      <c r="BP217" s="178"/>
      <c r="BQ217" s="178"/>
      <c r="BR217" s="178"/>
      <c r="BS217" s="178"/>
      <c r="BT217" s="178"/>
      <c r="BU217" s="178"/>
      <c r="BV217" s="178"/>
      <c r="BW217" s="178"/>
      <c r="BX217" s="178"/>
      <c r="BY217" s="178"/>
      <c r="BZ217" s="178"/>
      <c r="CA217" s="178"/>
      <c r="CB217" s="178"/>
      <c r="CC217" s="178"/>
      <c r="CD217" s="178"/>
      <c r="CE217" s="178"/>
      <c r="CF217" s="178"/>
      <c r="CG217" s="178"/>
      <c r="CH217" s="178"/>
      <c r="CI217" s="178"/>
      <c r="CJ217" s="178"/>
      <c r="CK217" s="178"/>
      <c r="CL217" s="178"/>
      <c r="CM217" s="178"/>
      <c r="CN217" s="179"/>
      <c r="CO217" s="179"/>
      <c r="CP217" s="179"/>
      <c r="CQ217" s="179"/>
      <c r="CR217" s="179"/>
      <c r="CS217" s="178"/>
      <c r="CT217" s="222"/>
      <c r="CU217" s="222"/>
      <c r="CV217" s="178"/>
      <c r="CW217" s="178"/>
      <c r="CX217" s="178"/>
      <c r="CY217" s="178"/>
      <c r="CZ217" s="178"/>
      <c r="DA217" s="595"/>
      <c r="DB217" s="14"/>
      <c r="DC217" s="561"/>
      <c r="DD217" s="561"/>
      <c r="DE217" s="33"/>
      <c r="DF217" s="14"/>
      <c r="DG217" s="561"/>
      <c r="DH217" s="14"/>
      <c r="DI217" s="561"/>
      <c r="DJ217" s="14"/>
      <c r="DK217" s="14"/>
      <c r="DL217" s="14"/>
      <c r="DM217" s="14"/>
      <c r="DN217" s="14"/>
      <c r="DO217" s="561"/>
      <c r="DP217" s="561"/>
      <c r="DQ217" s="14"/>
      <c r="DR217" s="14"/>
      <c r="DS217" s="561"/>
      <c r="DT217" s="561"/>
      <c r="DU217" s="561"/>
      <c r="DV217" s="14"/>
      <c r="DW217" s="561"/>
      <c r="DX217" s="14"/>
      <c r="DY217" s="14"/>
      <c r="DZ217" s="14"/>
      <c r="EA217" s="14"/>
      <c r="EB217" s="229"/>
      <c r="EC217" s="14"/>
      <c r="ED217" s="561"/>
      <c r="EE217" s="561"/>
      <c r="EF217" s="33"/>
      <c r="EG217" s="561"/>
      <c r="EH217" s="561"/>
      <c r="EI217" s="14"/>
      <c r="EJ217" s="561"/>
      <c r="EK217" s="561"/>
      <c r="EL217" s="14"/>
      <c r="EM217" s="561"/>
      <c r="EN217" s="561"/>
      <c r="EO217" s="14"/>
      <c r="EP217" s="561"/>
      <c r="EQ217" s="561"/>
      <c r="ER217" s="14"/>
      <c r="ES217" s="561"/>
      <c r="ET217" s="561"/>
      <c r="EU217" s="14"/>
      <c r="EV217" s="561"/>
      <c r="EW217" s="561"/>
      <c r="EX217" s="14"/>
      <c r="EY217" s="561"/>
      <c r="EZ217" s="561"/>
      <c r="FA217" s="561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338"/>
      <c r="FM217" s="14"/>
      <c r="FN217" s="14"/>
      <c r="FO217" s="14"/>
      <c r="FP217" s="14"/>
      <c r="FQ217" s="586"/>
      <c r="FR217" s="586"/>
      <c r="FS217" s="586"/>
      <c r="FT217" s="586"/>
      <c r="FU217" s="586"/>
      <c r="FV217" s="586"/>
      <c r="FX217" s="579"/>
      <c r="FY217" s="579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4"/>
      <c r="GO217" s="14"/>
      <c r="GP217" s="14"/>
      <c r="GQ217" s="14"/>
      <c r="GR217" s="14"/>
      <c r="GS217" s="14"/>
      <c r="GT217" s="14"/>
      <c r="GU217" s="14"/>
      <c r="GV217" s="178"/>
      <c r="GW217" s="609"/>
      <c r="GX217" s="14"/>
      <c r="GY217" s="14"/>
      <c r="GZ217" s="14"/>
      <c r="HA217" s="14"/>
      <c r="HB217" s="14"/>
      <c r="HC217" s="14"/>
      <c r="HD217" s="14"/>
      <c r="HE217" s="14"/>
      <c r="HF217" s="14"/>
      <c r="HG217" s="14"/>
      <c r="HH217" s="14"/>
      <c r="HI217" s="14"/>
      <c r="HJ217" s="14"/>
      <c r="HK217" s="14"/>
      <c r="HL217" s="14"/>
      <c r="HM217" s="14"/>
      <c r="HN217" s="14"/>
      <c r="HO217" s="14"/>
      <c r="HP217" s="14"/>
      <c r="HQ217" s="14"/>
      <c r="HR217" s="14"/>
      <c r="HS217" s="634"/>
      <c r="HT217" s="14"/>
      <c r="HU217" s="14"/>
      <c r="HV217" s="14"/>
      <c r="HW217" s="14"/>
      <c r="HX217" s="14"/>
      <c r="HY217" s="14"/>
      <c r="HZ217" s="14"/>
      <c r="IA217" s="14"/>
      <c r="IB217" s="14"/>
      <c r="IC217" s="14"/>
      <c r="ID217" s="14"/>
      <c r="IE217" s="14"/>
      <c r="IF217" s="14"/>
      <c r="IG217" s="14"/>
      <c r="IH217" s="14"/>
      <c r="II217" s="14"/>
      <c r="IJ217" s="14"/>
      <c r="IK217" s="14"/>
      <c r="IL217" s="14"/>
      <c r="IM217" s="14"/>
      <c r="IN217" s="14"/>
      <c r="IO217" s="14"/>
      <c r="IP217" s="14"/>
      <c r="IQ217" s="14"/>
      <c r="IR217" s="14"/>
      <c r="IS217" s="14"/>
      <c r="IT217" s="14"/>
      <c r="IU217" s="14"/>
      <c r="IV217" s="14"/>
      <c r="IW217" s="14"/>
      <c r="IX217" s="14"/>
      <c r="IY217" s="14"/>
      <c r="IZ217" s="14"/>
      <c r="JA217" s="14"/>
      <c r="JB217" s="14"/>
      <c r="JC217" s="14"/>
      <c r="JD217" s="14"/>
      <c r="JE217" s="14"/>
      <c r="JF217" s="14"/>
      <c r="JG217" s="14"/>
      <c r="JH217" s="14"/>
      <c r="JI217" s="14"/>
      <c r="JJ217" s="14"/>
      <c r="JK217" s="14"/>
      <c r="JL217" s="14"/>
      <c r="JM217" s="14"/>
      <c r="JN217" s="14"/>
      <c r="JO217" s="14"/>
      <c r="JP217" s="14"/>
      <c r="JQ217" s="14"/>
      <c r="JR217" s="14"/>
      <c r="JS217" s="14"/>
      <c r="JT217" s="14"/>
      <c r="JU217" s="14"/>
      <c r="JV217" s="14"/>
      <c r="JW217" s="14"/>
      <c r="JX217" s="14"/>
      <c r="JY217" s="14"/>
      <c r="JZ217" s="14"/>
    </row>
    <row r="218" spans="1:286" s="43" customFormat="1">
      <c r="A218" s="845" t="s">
        <v>45</v>
      </c>
      <c r="B218" s="845"/>
      <c r="C218" s="14">
        <f>COUNTIF(Ville,"*Entre-Deux*")</f>
        <v>7</v>
      </c>
      <c r="D218" s="14">
        <f t="shared" ref="D218:D227" si="444">SUMPRODUCT((Ville=A218)*(Nlgts))</f>
        <v>179</v>
      </c>
      <c r="E218" s="14"/>
      <c r="F218" s="14"/>
      <c r="G218" s="14"/>
      <c r="H218" s="260"/>
      <c r="I218" s="32"/>
      <c r="J218" s="32"/>
      <c r="K218" s="32"/>
      <c r="L218" s="311"/>
      <c r="M218" s="197"/>
      <c r="N218" s="197"/>
      <c r="O218" s="197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739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2"/>
      <c r="AW218" s="32"/>
      <c r="AX218" s="14"/>
      <c r="AY218" s="14"/>
      <c r="AZ218" s="14"/>
      <c r="BA218" s="14"/>
      <c r="BB218" s="14"/>
      <c r="BC218" s="14"/>
      <c r="BD218" s="14"/>
      <c r="BE218" s="14"/>
      <c r="BF218" s="178"/>
      <c r="BG218" s="178"/>
      <c r="BH218" s="178"/>
      <c r="BI218" s="178"/>
      <c r="BJ218" s="178"/>
      <c r="BK218" s="178"/>
      <c r="BL218" s="178"/>
      <c r="BM218" s="178"/>
      <c r="BN218" s="178"/>
      <c r="BO218" s="178"/>
      <c r="BP218" s="178"/>
      <c r="BQ218" s="178"/>
      <c r="BR218" s="178"/>
      <c r="BS218" s="178"/>
      <c r="BT218" s="178"/>
      <c r="BU218" s="178"/>
      <c r="BV218" s="178"/>
      <c r="BW218" s="178"/>
      <c r="BX218" s="178"/>
      <c r="BY218" s="178"/>
      <c r="BZ218" s="178"/>
      <c r="CA218" s="178"/>
      <c r="CB218" s="178"/>
      <c r="CC218" s="178"/>
      <c r="CD218" s="178"/>
      <c r="CE218" s="178"/>
      <c r="CF218" s="178"/>
      <c r="CG218" s="178"/>
      <c r="CH218" s="178"/>
      <c r="CI218" s="178"/>
      <c r="CJ218" s="178"/>
      <c r="CK218" s="178"/>
      <c r="CL218" s="178"/>
      <c r="CM218" s="178"/>
      <c r="CN218" s="179"/>
      <c r="CO218" s="179"/>
      <c r="CP218" s="179"/>
      <c r="CQ218" s="179"/>
      <c r="CR218" s="179"/>
      <c r="CS218" s="178"/>
      <c r="CT218" s="222"/>
      <c r="CU218" s="222"/>
      <c r="CV218" s="178"/>
      <c r="CW218" s="178"/>
      <c r="CX218" s="178"/>
      <c r="CY218" s="178"/>
      <c r="CZ218" s="178"/>
      <c r="DA218" s="595"/>
      <c r="DB218" s="14"/>
      <c r="DC218" s="561"/>
      <c r="DD218" s="561"/>
      <c r="DE218" s="33"/>
      <c r="DF218" s="14"/>
      <c r="DG218" s="561"/>
      <c r="DH218" s="14"/>
      <c r="DI218" s="561"/>
      <c r="DJ218" s="14"/>
      <c r="DK218" s="14"/>
      <c r="DL218" s="14"/>
      <c r="DM218" s="14"/>
      <c r="DN218" s="14"/>
      <c r="DO218" s="561"/>
      <c r="DP218" s="561"/>
      <c r="DQ218" s="14"/>
      <c r="DR218" s="14"/>
      <c r="DS218" s="561"/>
      <c r="DT218" s="561"/>
      <c r="DU218" s="561"/>
      <c r="DV218" s="14"/>
      <c r="DW218" s="561"/>
      <c r="DX218" s="14"/>
      <c r="DY218" s="14"/>
      <c r="DZ218" s="14"/>
      <c r="EA218" s="14"/>
      <c r="EB218" s="229"/>
      <c r="EC218" s="14"/>
      <c r="ED218" s="561"/>
      <c r="EE218" s="561"/>
      <c r="EF218" s="33"/>
      <c r="EG218" s="561"/>
      <c r="EH218" s="561"/>
      <c r="EI218" s="14"/>
      <c r="EJ218" s="561"/>
      <c r="EK218" s="561"/>
      <c r="EL218" s="14"/>
      <c r="EM218" s="561"/>
      <c r="EN218" s="561"/>
      <c r="EO218" s="14"/>
      <c r="EP218" s="561"/>
      <c r="EQ218" s="561"/>
      <c r="ER218" s="14"/>
      <c r="ES218" s="561"/>
      <c r="ET218" s="561"/>
      <c r="EU218" s="14"/>
      <c r="EV218" s="561"/>
      <c r="EW218" s="561"/>
      <c r="EX218" s="14"/>
      <c r="EY218" s="561"/>
      <c r="EZ218" s="561"/>
      <c r="FA218" s="561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338"/>
      <c r="FM218" s="14"/>
      <c r="FN218" s="14"/>
      <c r="FO218" s="14"/>
      <c r="FP218" s="14"/>
      <c r="FQ218" s="586"/>
      <c r="FR218" s="586"/>
      <c r="FS218" s="586"/>
      <c r="FT218" s="586"/>
      <c r="FU218" s="586"/>
      <c r="FV218" s="586"/>
      <c r="FX218" s="579"/>
      <c r="FY218" s="579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4"/>
      <c r="GO218" s="14"/>
      <c r="GP218" s="14"/>
      <c r="GQ218" s="14"/>
      <c r="GR218" s="14"/>
      <c r="GS218" s="14"/>
      <c r="GT218" s="14"/>
      <c r="GU218" s="14"/>
      <c r="GV218" s="178"/>
      <c r="GW218" s="609"/>
      <c r="GX218" s="14"/>
      <c r="GY218" s="14"/>
      <c r="GZ218" s="14"/>
      <c r="HA218" s="14"/>
      <c r="HB218" s="14"/>
      <c r="HC218" s="14"/>
      <c r="HD218" s="14"/>
      <c r="HE218" s="14"/>
      <c r="HF218" s="14"/>
      <c r="HG218" s="14"/>
      <c r="HH218" s="14"/>
      <c r="HI218" s="14"/>
      <c r="HJ218" s="14"/>
      <c r="HK218" s="14"/>
      <c r="HL218" s="14"/>
      <c r="HM218" s="14"/>
      <c r="HN218" s="14"/>
      <c r="HO218" s="14"/>
      <c r="HP218" s="14"/>
      <c r="HQ218" s="14"/>
      <c r="HR218" s="14"/>
      <c r="HS218" s="634"/>
      <c r="HT218" s="14"/>
      <c r="HU218" s="14"/>
      <c r="HV218" s="14"/>
      <c r="HW218" s="14"/>
      <c r="HX218" s="14"/>
      <c r="HY218" s="14"/>
      <c r="HZ218" s="14"/>
      <c r="IA218" s="14"/>
      <c r="IB218" s="14"/>
      <c r="IC218" s="14"/>
      <c r="ID218" s="14"/>
      <c r="IE218" s="14"/>
      <c r="IF218" s="14"/>
      <c r="IG218" s="14"/>
      <c r="IH218" s="14"/>
      <c r="II218" s="14"/>
      <c r="IJ218" s="14"/>
      <c r="IK218" s="14"/>
      <c r="IL218" s="14"/>
      <c r="IM218" s="14"/>
      <c r="IN218" s="14"/>
      <c r="IO218" s="14"/>
      <c r="IP218" s="14"/>
      <c r="IQ218" s="14"/>
      <c r="IR218" s="14"/>
      <c r="IS218" s="14"/>
      <c r="IT218" s="14"/>
      <c r="IU218" s="14"/>
      <c r="IV218" s="14"/>
      <c r="IW218" s="14"/>
      <c r="IX218" s="14"/>
      <c r="IY218" s="14"/>
      <c r="IZ218" s="14"/>
      <c r="JA218" s="14"/>
      <c r="JB218" s="14"/>
      <c r="JC218" s="14"/>
      <c r="JD218" s="14"/>
      <c r="JE218" s="14"/>
      <c r="JF218" s="14"/>
      <c r="JG218" s="14"/>
      <c r="JH218" s="14"/>
      <c r="JI218" s="14"/>
      <c r="JJ218" s="14"/>
      <c r="JK218" s="14"/>
      <c r="JL218" s="14"/>
      <c r="JM218" s="14"/>
      <c r="JN218" s="14"/>
      <c r="JO218" s="14"/>
      <c r="JP218" s="14"/>
      <c r="JQ218" s="14"/>
      <c r="JR218" s="14"/>
      <c r="JS218" s="14"/>
      <c r="JT218" s="14"/>
      <c r="JU218" s="14"/>
      <c r="JV218" s="14"/>
      <c r="JW218" s="14"/>
      <c r="JX218" s="14"/>
      <c r="JY218" s="14"/>
      <c r="JZ218" s="14"/>
    </row>
    <row r="219" spans="1:286" s="43" customFormat="1">
      <c r="A219" s="845" t="s">
        <v>39</v>
      </c>
      <c r="B219" s="845"/>
      <c r="C219" s="14">
        <f>COUNTIF(Ville,"*Etang-Salé*")</f>
        <v>10</v>
      </c>
      <c r="D219" s="14">
        <f t="shared" si="444"/>
        <v>285</v>
      </c>
      <c r="E219" s="14"/>
      <c r="F219" s="14"/>
      <c r="G219" s="14"/>
      <c r="H219" s="14"/>
      <c r="I219" s="14"/>
      <c r="J219" s="14"/>
      <c r="K219" s="14"/>
      <c r="L219" s="311"/>
      <c r="M219" s="197"/>
      <c r="N219" s="197"/>
      <c r="O219" s="197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739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2"/>
      <c r="AW219" s="32"/>
      <c r="AX219" s="14"/>
      <c r="AY219" s="14"/>
      <c r="AZ219" s="14"/>
      <c r="BA219" s="14"/>
      <c r="BB219" s="14"/>
      <c r="BC219" s="14"/>
      <c r="BD219" s="14"/>
      <c r="BE219" s="14"/>
      <c r="BF219" s="178"/>
      <c r="BG219" s="178"/>
      <c r="BH219" s="178"/>
      <c r="BI219" s="178"/>
      <c r="BJ219" s="178"/>
      <c r="BK219" s="178"/>
      <c r="BL219" s="178"/>
      <c r="BM219" s="178"/>
      <c r="BN219" s="178"/>
      <c r="BO219" s="178"/>
      <c r="BP219" s="178"/>
      <c r="BQ219" s="178"/>
      <c r="BR219" s="178"/>
      <c r="BS219" s="178"/>
      <c r="BT219" s="178"/>
      <c r="BU219" s="178"/>
      <c r="BV219" s="178"/>
      <c r="BW219" s="178"/>
      <c r="BX219" s="178"/>
      <c r="BY219" s="178"/>
      <c r="BZ219" s="178"/>
      <c r="CA219" s="178"/>
      <c r="CB219" s="178"/>
      <c r="CC219" s="178"/>
      <c r="CD219" s="178"/>
      <c r="CE219" s="178"/>
      <c r="CF219" s="178"/>
      <c r="CG219" s="178"/>
      <c r="CH219" s="178"/>
      <c r="CI219" s="178"/>
      <c r="CJ219" s="178"/>
      <c r="CK219" s="178"/>
      <c r="CL219" s="178"/>
      <c r="CM219" s="178"/>
      <c r="CN219" s="179"/>
      <c r="CO219" s="179"/>
      <c r="CP219" s="179"/>
      <c r="CQ219" s="179"/>
      <c r="CR219" s="179"/>
      <c r="CS219" s="178"/>
      <c r="CT219" s="222"/>
      <c r="CU219" s="222"/>
      <c r="CV219" s="178"/>
      <c r="CW219" s="178"/>
      <c r="CX219" s="178"/>
      <c r="CY219" s="178"/>
      <c r="CZ219" s="178"/>
      <c r="DA219" s="595"/>
      <c r="DB219" s="14"/>
      <c r="DC219" s="561"/>
      <c r="DD219" s="561"/>
      <c r="DE219" s="33"/>
      <c r="DF219" s="14"/>
      <c r="DG219" s="561"/>
      <c r="DH219" s="14"/>
      <c r="DI219" s="561"/>
      <c r="DJ219" s="14"/>
      <c r="DK219" s="14"/>
      <c r="DL219" s="14"/>
      <c r="DM219" s="14"/>
      <c r="DN219" s="14"/>
      <c r="DO219" s="561"/>
      <c r="DP219" s="561"/>
      <c r="DQ219" s="14"/>
      <c r="DR219" s="14"/>
      <c r="DS219" s="561"/>
      <c r="DT219" s="561"/>
      <c r="DU219" s="561"/>
      <c r="DV219" s="14"/>
      <c r="DW219" s="561"/>
      <c r="DX219" s="14"/>
      <c r="DY219" s="14"/>
      <c r="DZ219" s="14"/>
      <c r="EA219" s="14"/>
      <c r="EB219" s="229"/>
      <c r="EC219" s="14"/>
      <c r="ED219" s="561"/>
      <c r="EE219" s="561"/>
      <c r="EF219" s="33"/>
      <c r="EG219" s="561"/>
      <c r="EH219" s="561"/>
      <c r="EI219" s="14"/>
      <c r="EJ219" s="561"/>
      <c r="EK219" s="561"/>
      <c r="EL219" s="14"/>
      <c r="EM219" s="561"/>
      <c r="EN219" s="561"/>
      <c r="EO219" s="14"/>
      <c r="EP219" s="561"/>
      <c r="EQ219" s="561"/>
      <c r="ER219" s="14"/>
      <c r="ES219" s="561"/>
      <c r="ET219" s="561"/>
      <c r="EU219" s="14"/>
      <c r="EV219" s="561"/>
      <c r="EW219" s="561"/>
      <c r="EX219" s="14"/>
      <c r="EY219" s="561"/>
      <c r="EZ219" s="561"/>
      <c r="FA219" s="561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338"/>
      <c r="FM219" s="14"/>
      <c r="FN219" s="14"/>
      <c r="FO219" s="14"/>
      <c r="FP219" s="14"/>
      <c r="FQ219" s="586"/>
      <c r="FR219" s="586"/>
      <c r="FS219" s="586"/>
      <c r="FT219" s="586"/>
      <c r="FU219" s="586"/>
      <c r="FV219" s="586"/>
      <c r="FX219" s="579"/>
      <c r="FY219" s="579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4"/>
      <c r="GO219" s="14"/>
      <c r="GP219" s="14"/>
      <c r="GQ219" s="14"/>
      <c r="GR219" s="14"/>
      <c r="GS219" s="14"/>
      <c r="GT219" s="14"/>
      <c r="GU219" s="14"/>
      <c r="GV219" s="178"/>
      <c r="GW219" s="609"/>
      <c r="GX219" s="14"/>
      <c r="GY219" s="14"/>
      <c r="GZ219" s="14"/>
      <c r="HA219" s="14"/>
      <c r="HB219" s="14"/>
      <c r="HC219" s="14"/>
      <c r="HD219" s="14"/>
      <c r="HE219" s="14"/>
      <c r="HF219" s="14"/>
      <c r="HG219" s="14"/>
      <c r="HH219" s="14"/>
      <c r="HI219" s="14"/>
      <c r="HJ219" s="14"/>
      <c r="HK219" s="14"/>
      <c r="HL219" s="14"/>
      <c r="HM219" s="14"/>
      <c r="HN219" s="14"/>
      <c r="HO219" s="14"/>
      <c r="HP219" s="14"/>
      <c r="HQ219" s="14"/>
      <c r="HR219" s="14"/>
      <c r="HS219" s="634"/>
      <c r="HT219" s="14"/>
      <c r="HU219" s="14"/>
      <c r="HV219" s="14"/>
      <c r="HW219" s="14"/>
      <c r="HX219" s="14"/>
      <c r="HY219" s="14"/>
      <c r="HZ219" s="14"/>
      <c r="IA219" s="14"/>
      <c r="IB219" s="14"/>
      <c r="IC219" s="14"/>
      <c r="ID219" s="14"/>
      <c r="IE219" s="14"/>
      <c r="IF219" s="14"/>
      <c r="IG219" s="14"/>
      <c r="IH219" s="14"/>
      <c r="II219" s="14"/>
      <c r="IJ219" s="14"/>
      <c r="IK219" s="14"/>
      <c r="IL219" s="14"/>
      <c r="IM219" s="14"/>
      <c r="IN219" s="14"/>
      <c r="IO219" s="14"/>
      <c r="IP219" s="14"/>
      <c r="IQ219" s="14"/>
      <c r="IR219" s="14"/>
      <c r="IS219" s="14"/>
      <c r="IT219" s="14"/>
      <c r="IU219" s="14"/>
      <c r="IV219" s="14"/>
      <c r="IW219" s="14"/>
      <c r="IX219" s="14"/>
      <c r="IY219" s="14"/>
      <c r="IZ219" s="14"/>
      <c r="JA219" s="14"/>
      <c r="JB219" s="14"/>
      <c r="JC219" s="14"/>
      <c r="JD219" s="14"/>
      <c r="JE219" s="14"/>
      <c r="JF219" s="14"/>
      <c r="JG219" s="14"/>
      <c r="JH219" s="14"/>
      <c r="JI219" s="14"/>
      <c r="JJ219" s="14"/>
      <c r="JK219" s="14"/>
      <c r="JL219" s="14"/>
      <c r="JM219" s="14"/>
      <c r="JN219" s="14"/>
      <c r="JO219" s="14"/>
      <c r="JP219" s="14"/>
      <c r="JQ219" s="14"/>
      <c r="JR219" s="14"/>
      <c r="JS219" s="14"/>
      <c r="JT219" s="14"/>
      <c r="JU219" s="14"/>
      <c r="JV219" s="14"/>
      <c r="JW219" s="14"/>
      <c r="JX219" s="14"/>
      <c r="JY219" s="14"/>
      <c r="JZ219" s="14"/>
    </row>
    <row r="220" spans="1:286" s="43" customFormat="1">
      <c r="A220" s="845" t="s">
        <v>77</v>
      </c>
      <c r="B220" s="845"/>
      <c r="C220" s="14">
        <f>COUNTIF(Ville,"*Petite-Ile*")</f>
        <v>5</v>
      </c>
      <c r="D220" s="14">
        <f t="shared" si="444"/>
        <v>107</v>
      </c>
      <c r="E220" s="14"/>
      <c r="F220" s="14"/>
      <c r="G220" s="14"/>
      <c r="H220" s="14"/>
      <c r="I220" s="14"/>
      <c r="J220" s="14"/>
      <c r="K220" s="14"/>
      <c r="L220" s="311"/>
      <c r="M220" s="197"/>
      <c r="N220" s="197"/>
      <c r="O220" s="197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739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2"/>
      <c r="AW220" s="32"/>
      <c r="AX220" s="14"/>
      <c r="AY220" s="14"/>
      <c r="AZ220" s="14"/>
      <c r="BA220" s="14"/>
      <c r="BB220" s="14"/>
      <c r="BC220" s="14"/>
      <c r="BD220" s="14"/>
      <c r="BE220" s="14"/>
      <c r="BF220" s="178"/>
      <c r="BG220" s="178"/>
      <c r="BH220" s="178"/>
      <c r="BI220" s="178"/>
      <c r="BJ220" s="178"/>
      <c r="BK220" s="178"/>
      <c r="BL220" s="178"/>
      <c r="BM220" s="178"/>
      <c r="BN220" s="178"/>
      <c r="BO220" s="178"/>
      <c r="BP220" s="178"/>
      <c r="BQ220" s="178"/>
      <c r="BR220" s="178"/>
      <c r="BS220" s="178"/>
      <c r="BT220" s="178"/>
      <c r="BU220" s="178"/>
      <c r="BV220" s="178"/>
      <c r="BW220" s="178"/>
      <c r="BX220" s="178"/>
      <c r="BY220" s="178"/>
      <c r="BZ220" s="178"/>
      <c r="CA220" s="178"/>
      <c r="CB220" s="178"/>
      <c r="CC220" s="178"/>
      <c r="CD220" s="178"/>
      <c r="CE220" s="178"/>
      <c r="CF220" s="178"/>
      <c r="CG220" s="178"/>
      <c r="CH220" s="178"/>
      <c r="CI220" s="178"/>
      <c r="CJ220" s="178"/>
      <c r="CK220" s="178"/>
      <c r="CL220" s="178"/>
      <c r="CM220" s="178"/>
      <c r="CN220" s="179"/>
      <c r="CO220" s="179"/>
      <c r="CP220" s="179"/>
      <c r="CQ220" s="179"/>
      <c r="CR220" s="179"/>
      <c r="CS220" s="178"/>
      <c r="CT220" s="222"/>
      <c r="CU220" s="222"/>
      <c r="CV220" s="178"/>
      <c r="CW220" s="178"/>
      <c r="CX220" s="178"/>
      <c r="CY220" s="178"/>
      <c r="CZ220" s="178"/>
      <c r="DA220" s="595"/>
      <c r="DB220" s="14"/>
      <c r="DC220" s="561"/>
      <c r="DD220" s="561"/>
      <c r="DE220" s="33"/>
      <c r="DF220" s="14"/>
      <c r="DG220" s="561"/>
      <c r="DH220" s="14"/>
      <c r="DI220" s="561"/>
      <c r="DJ220" s="14"/>
      <c r="DK220" s="14"/>
      <c r="DL220" s="14"/>
      <c r="DM220" s="14"/>
      <c r="DN220" s="14"/>
      <c r="DO220" s="561"/>
      <c r="DP220" s="561"/>
      <c r="DQ220" s="14"/>
      <c r="DR220" s="14"/>
      <c r="DS220" s="561"/>
      <c r="DT220" s="561"/>
      <c r="DU220" s="561"/>
      <c r="DV220" s="14"/>
      <c r="DW220" s="561"/>
      <c r="DX220" s="14"/>
      <c r="DY220" s="14"/>
      <c r="DZ220" s="14"/>
      <c r="EA220" s="14"/>
      <c r="EB220" s="229"/>
      <c r="EC220" s="14"/>
      <c r="ED220" s="561"/>
      <c r="EE220" s="561"/>
      <c r="EF220" s="33"/>
      <c r="EG220" s="561"/>
      <c r="EH220" s="561"/>
      <c r="EI220" s="14"/>
      <c r="EJ220" s="561"/>
      <c r="EK220" s="561"/>
      <c r="EL220" s="14"/>
      <c r="EM220" s="561"/>
      <c r="EN220" s="561"/>
      <c r="EO220" s="14"/>
      <c r="EP220" s="561"/>
      <c r="EQ220" s="561"/>
      <c r="ER220" s="14"/>
      <c r="ES220" s="561"/>
      <c r="ET220" s="561"/>
      <c r="EU220" s="14"/>
      <c r="EV220" s="561"/>
      <c r="EW220" s="561"/>
      <c r="EX220" s="14"/>
      <c r="EY220" s="561"/>
      <c r="EZ220" s="561"/>
      <c r="FA220" s="561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338"/>
      <c r="FM220" s="14"/>
      <c r="FN220" s="14"/>
      <c r="FO220" s="14"/>
      <c r="FP220" s="14"/>
      <c r="FQ220" s="586"/>
      <c r="FR220" s="586"/>
      <c r="FS220" s="586"/>
      <c r="FT220" s="586"/>
      <c r="FU220" s="586"/>
      <c r="FV220" s="586"/>
      <c r="FX220" s="579"/>
      <c r="FY220" s="579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4"/>
      <c r="GO220" s="14"/>
      <c r="GP220" s="14"/>
      <c r="GQ220" s="14"/>
      <c r="GR220" s="14"/>
      <c r="GS220" s="14"/>
      <c r="GT220" s="14"/>
      <c r="GU220" s="14"/>
      <c r="GV220" s="178"/>
      <c r="GW220" s="609"/>
      <c r="GX220" s="14"/>
      <c r="GY220" s="14"/>
      <c r="GZ220" s="14"/>
      <c r="HA220" s="14"/>
      <c r="HB220" s="14"/>
      <c r="HC220" s="14"/>
      <c r="HD220" s="14"/>
      <c r="HE220" s="14"/>
      <c r="HF220" s="14"/>
      <c r="HG220" s="14"/>
      <c r="HH220" s="14"/>
      <c r="HI220" s="14"/>
      <c r="HJ220" s="14"/>
      <c r="HK220" s="14"/>
      <c r="HL220" s="14"/>
      <c r="HM220" s="14"/>
      <c r="HN220" s="14"/>
      <c r="HO220" s="14"/>
      <c r="HP220" s="14"/>
      <c r="HQ220" s="14"/>
      <c r="HR220" s="14"/>
      <c r="HS220" s="634"/>
      <c r="HT220" s="14"/>
      <c r="HU220" s="14"/>
      <c r="HV220" s="14"/>
      <c r="HW220" s="14"/>
      <c r="HX220" s="14"/>
      <c r="HY220" s="14"/>
      <c r="HZ220" s="14"/>
      <c r="IA220" s="14"/>
      <c r="IB220" s="14"/>
      <c r="IC220" s="14"/>
      <c r="ID220" s="14"/>
      <c r="IE220" s="14"/>
      <c r="IF220" s="14"/>
      <c r="IG220" s="14"/>
      <c r="IH220" s="14"/>
      <c r="II220" s="14"/>
      <c r="IJ220" s="14"/>
      <c r="IK220" s="14"/>
      <c r="IL220" s="14"/>
      <c r="IM220" s="14"/>
      <c r="IN220" s="14"/>
      <c r="IO220" s="14"/>
      <c r="IP220" s="14"/>
      <c r="IQ220" s="14"/>
      <c r="IR220" s="14"/>
      <c r="IS220" s="14"/>
      <c r="IT220" s="14"/>
      <c r="IU220" s="14"/>
      <c r="IV220" s="14"/>
      <c r="IW220" s="14"/>
      <c r="IX220" s="14"/>
      <c r="IY220" s="14"/>
      <c r="IZ220" s="14"/>
      <c r="JA220" s="14"/>
      <c r="JB220" s="14"/>
      <c r="JC220" s="14"/>
      <c r="JD220" s="14"/>
      <c r="JE220" s="14"/>
      <c r="JF220" s="14"/>
      <c r="JG220" s="14"/>
      <c r="JH220" s="14"/>
      <c r="JI220" s="14"/>
      <c r="JJ220" s="14"/>
      <c r="JK220" s="14"/>
      <c r="JL220" s="14"/>
      <c r="JM220" s="14"/>
      <c r="JN220" s="14"/>
      <c r="JO220" s="14"/>
      <c r="JP220" s="14"/>
      <c r="JQ220" s="14"/>
      <c r="JR220" s="14"/>
      <c r="JS220" s="14"/>
      <c r="JT220" s="14"/>
      <c r="JU220" s="14"/>
      <c r="JV220" s="14"/>
      <c r="JW220" s="14"/>
      <c r="JX220" s="14"/>
      <c r="JY220" s="14"/>
      <c r="JZ220" s="14"/>
    </row>
    <row r="221" spans="1:286" s="43" customFormat="1">
      <c r="A221" s="845" t="s">
        <v>28</v>
      </c>
      <c r="B221" s="845"/>
      <c r="C221" s="14">
        <f>COUNTIF(Ville,"*St Joseph*")</f>
        <v>28</v>
      </c>
      <c r="D221" s="14">
        <f t="shared" si="444"/>
        <v>855</v>
      </c>
      <c r="E221" s="14"/>
      <c r="F221" s="14"/>
      <c r="G221" s="14"/>
      <c r="H221" s="14"/>
      <c r="I221" s="14"/>
      <c r="J221" s="14"/>
      <c r="K221" s="14"/>
      <c r="L221" s="311"/>
      <c r="M221" s="197"/>
      <c r="N221" s="197"/>
      <c r="O221" s="197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739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2"/>
      <c r="AW221" s="32"/>
      <c r="AX221" s="14"/>
      <c r="AY221" s="14"/>
      <c r="AZ221" s="14"/>
      <c r="BA221" s="14"/>
      <c r="BB221" s="14"/>
      <c r="BC221" s="14"/>
      <c r="BD221" s="14"/>
      <c r="BE221" s="14"/>
      <c r="BF221" s="178"/>
      <c r="BG221" s="178"/>
      <c r="BH221" s="178"/>
      <c r="BI221" s="178"/>
      <c r="BJ221" s="178"/>
      <c r="BK221" s="178"/>
      <c r="BL221" s="178"/>
      <c r="BM221" s="178"/>
      <c r="BN221" s="178"/>
      <c r="BO221" s="178"/>
      <c r="BP221" s="178"/>
      <c r="BQ221" s="178"/>
      <c r="BR221" s="178"/>
      <c r="BS221" s="178"/>
      <c r="BT221" s="178"/>
      <c r="BU221" s="178"/>
      <c r="BV221" s="178"/>
      <c r="BW221" s="178"/>
      <c r="BX221" s="178"/>
      <c r="BY221" s="178"/>
      <c r="BZ221" s="178"/>
      <c r="CA221" s="178"/>
      <c r="CB221" s="178"/>
      <c r="CC221" s="178"/>
      <c r="CD221" s="178"/>
      <c r="CE221" s="178"/>
      <c r="CF221" s="178"/>
      <c r="CG221" s="178"/>
      <c r="CH221" s="178"/>
      <c r="CI221" s="178"/>
      <c r="CJ221" s="178"/>
      <c r="CK221" s="178"/>
      <c r="CL221" s="178"/>
      <c r="CM221" s="178"/>
      <c r="CN221" s="179"/>
      <c r="CO221" s="179"/>
      <c r="CP221" s="179"/>
      <c r="CQ221" s="179"/>
      <c r="CR221" s="179"/>
      <c r="CS221" s="178"/>
      <c r="CT221" s="222"/>
      <c r="CU221" s="222"/>
      <c r="CV221" s="178"/>
      <c r="CW221" s="178"/>
      <c r="CX221" s="178"/>
      <c r="CY221" s="178"/>
      <c r="CZ221" s="178"/>
      <c r="DA221" s="595"/>
      <c r="DB221" s="14"/>
      <c r="DC221" s="561"/>
      <c r="DD221" s="561"/>
      <c r="DE221" s="33"/>
      <c r="DF221" s="14"/>
      <c r="DG221" s="561"/>
      <c r="DH221" s="14"/>
      <c r="DI221" s="561"/>
      <c r="DJ221" s="14"/>
      <c r="DK221" s="14"/>
      <c r="DL221" s="14"/>
      <c r="DM221" s="14"/>
      <c r="DN221" s="14"/>
      <c r="DO221" s="561"/>
      <c r="DP221" s="561"/>
      <c r="DQ221" s="14"/>
      <c r="DR221" s="14"/>
      <c r="DS221" s="561"/>
      <c r="DT221" s="561"/>
      <c r="DU221" s="561"/>
      <c r="DV221" s="14"/>
      <c r="DW221" s="561"/>
      <c r="DX221" s="14"/>
      <c r="DY221" s="14"/>
      <c r="DZ221" s="14"/>
      <c r="EA221" s="14"/>
      <c r="EB221" s="229"/>
      <c r="EC221" s="14"/>
      <c r="ED221" s="561"/>
      <c r="EE221" s="561"/>
      <c r="EF221" s="33"/>
      <c r="EG221" s="561"/>
      <c r="EH221" s="561"/>
      <c r="EI221" s="14"/>
      <c r="EJ221" s="561"/>
      <c r="EK221" s="561"/>
      <c r="EL221" s="14"/>
      <c r="EM221" s="561"/>
      <c r="EN221" s="561"/>
      <c r="EO221" s="14"/>
      <c r="EP221" s="561"/>
      <c r="EQ221" s="561"/>
      <c r="ER221" s="14"/>
      <c r="ES221" s="561"/>
      <c r="ET221" s="561"/>
      <c r="EU221" s="14"/>
      <c r="EV221" s="561"/>
      <c r="EW221" s="561"/>
      <c r="EX221" s="14"/>
      <c r="EY221" s="561"/>
      <c r="EZ221" s="561"/>
      <c r="FA221" s="561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338"/>
      <c r="FM221" s="14"/>
      <c r="FN221" s="14"/>
      <c r="FO221" s="14"/>
      <c r="FP221" s="14"/>
      <c r="FQ221" s="586"/>
      <c r="FR221" s="586"/>
      <c r="FS221" s="586"/>
      <c r="FT221" s="586"/>
      <c r="FU221" s="586"/>
      <c r="FV221" s="586"/>
      <c r="FX221" s="579"/>
      <c r="FY221" s="579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14"/>
      <c r="GM221" s="14"/>
      <c r="GN221" s="14"/>
      <c r="GO221" s="14"/>
      <c r="GP221" s="14"/>
      <c r="GQ221" s="14"/>
      <c r="GR221" s="14"/>
      <c r="GS221" s="14"/>
      <c r="GT221" s="14"/>
      <c r="GU221" s="14"/>
      <c r="GV221" s="178"/>
      <c r="GW221" s="609"/>
      <c r="GX221" s="14"/>
      <c r="GY221" s="14"/>
      <c r="GZ221" s="14"/>
      <c r="HA221" s="14"/>
      <c r="HB221" s="14"/>
      <c r="HC221" s="14"/>
      <c r="HD221" s="14"/>
      <c r="HE221" s="14"/>
      <c r="HF221" s="14"/>
      <c r="HG221" s="14"/>
      <c r="HH221" s="14"/>
      <c r="HI221" s="14"/>
      <c r="HJ221" s="14"/>
      <c r="HK221" s="14"/>
      <c r="HL221" s="14"/>
      <c r="HM221" s="14"/>
      <c r="HN221" s="14"/>
      <c r="HO221" s="14"/>
      <c r="HP221" s="14"/>
      <c r="HQ221" s="14"/>
      <c r="HR221" s="14"/>
      <c r="HS221" s="634"/>
      <c r="HT221" s="14"/>
      <c r="HU221" s="14"/>
      <c r="HV221" s="14"/>
      <c r="HW221" s="14"/>
      <c r="HX221" s="14"/>
      <c r="HY221" s="14"/>
      <c r="HZ221" s="14"/>
      <c r="IA221" s="14"/>
      <c r="IB221" s="14"/>
      <c r="IC221" s="14"/>
      <c r="ID221" s="14"/>
      <c r="IE221" s="14"/>
      <c r="IF221" s="14"/>
      <c r="IG221" s="14"/>
      <c r="IH221" s="14"/>
      <c r="II221" s="14"/>
      <c r="IJ221" s="14"/>
      <c r="IK221" s="14"/>
      <c r="IL221" s="14"/>
      <c r="IM221" s="14"/>
      <c r="IN221" s="14"/>
      <c r="IO221" s="14"/>
      <c r="IP221" s="14"/>
      <c r="IQ221" s="14"/>
      <c r="IR221" s="14"/>
      <c r="IS221" s="14"/>
      <c r="IT221" s="14"/>
      <c r="IU221" s="14"/>
      <c r="IV221" s="14"/>
      <c r="IW221" s="14"/>
      <c r="IX221" s="14"/>
      <c r="IY221" s="14"/>
      <c r="IZ221" s="14"/>
      <c r="JA221" s="14"/>
      <c r="JB221" s="14"/>
      <c r="JC221" s="14"/>
      <c r="JD221" s="14"/>
      <c r="JE221" s="14"/>
      <c r="JF221" s="14"/>
      <c r="JG221" s="14"/>
      <c r="JH221" s="14"/>
      <c r="JI221" s="14"/>
      <c r="JJ221" s="14"/>
      <c r="JK221" s="14"/>
      <c r="JL221" s="14"/>
      <c r="JM221" s="14"/>
      <c r="JN221" s="14"/>
      <c r="JO221" s="14"/>
      <c r="JP221" s="14"/>
      <c r="JQ221" s="14"/>
      <c r="JR221" s="14"/>
      <c r="JS221" s="14"/>
      <c r="JT221" s="14"/>
      <c r="JU221" s="14"/>
      <c r="JV221" s="14"/>
      <c r="JW221" s="14"/>
      <c r="JX221" s="14"/>
      <c r="JY221" s="14"/>
      <c r="JZ221" s="14"/>
    </row>
    <row r="222" spans="1:286" s="43" customFormat="1">
      <c r="A222" s="845" t="s">
        <v>34</v>
      </c>
      <c r="B222" s="845"/>
      <c r="C222" s="14">
        <f>COUNTIF(Ville,"*St Leu*")</f>
        <v>11</v>
      </c>
      <c r="D222" s="14">
        <f t="shared" si="444"/>
        <v>311</v>
      </c>
      <c r="E222" s="14"/>
      <c r="F222" s="14"/>
      <c r="G222" s="14"/>
      <c r="H222" s="14"/>
      <c r="I222" s="14"/>
      <c r="J222" s="14"/>
      <c r="K222" s="14"/>
      <c r="L222" s="311"/>
      <c r="M222" s="197"/>
      <c r="N222" s="197"/>
      <c r="O222" s="197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739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2"/>
      <c r="AW222" s="32"/>
      <c r="AX222" s="14"/>
      <c r="AY222" s="14"/>
      <c r="AZ222" s="14"/>
      <c r="BA222" s="14"/>
      <c r="BB222" s="14"/>
      <c r="BC222" s="14"/>
      <c r="BD222" s="14"/>
      <c r="BE222" s="14"/>
      <c r="BF222" s="178"/>
      <c r="BG222" s="178"/>
      <c r="BH222" s="178"/>
      <c r="BI222" s="178"/>
      <c r="BJ222" s="178"/>
      <c r="BK222" s="178"/>
      <c r="BL222" s="178"/>
      <c r="BM222" s="178"/>
      <c r="BN222" s="178"/>
      <c r="BO222" s="178"/>
      <c r="BP222" s="178"/>
      <c r="BQ222" s="178"/>
      <c r="BR222" s="178"/>
      <c r="BS222" s="178"/>
      <c r="BT222" s="178"/>
      <c r="BU222" s="178"/>
      <c r="BV222" s="178"/>
      <c r="BW222" s="178"/>
      <c r="BX222" s="178"/>
      <c r="BY222" s="178"/>
      <c r="BZ222" s="178"/>
      <c r="CA222" s="178"/>
      <c r="CB222" s="178"/>
      <c r="CC222" s="178"/>
      <c r="CD222" s="178"/>
      <c r="CE222" s="178"/>
      <c r="CF222" s="178"/>
      <c r="CG222" s="178"/>
      <c r="CH222" s="178"/>
      <c r="CI222" s="178"/>
      <c r="CJ222" s="178"/>
      <c r="CK222" s="178"/>
      <c r="CL222" s="178"/>
      <c r="CM222" s="178"/>
      <c r="CN222" s="179"/>
      <c r="CO222" s="179"/>
      <c r="CP222" s="179"/>
      <c r="CQ222" s="179"/>
      <c r="CR222" s="179"/>
      <c r="CS222" s="178"/>
      <c r="CT222" s="222"/>
      <c r="CU222" s="222"/>
      <c r="CV222" s="178"/>
      <c r="CW222" s="178"/>
      <c r="CX222" s="178"/>
      <c r="CY222" s="178"/>
      <c r="CZ222" s="178"/>
      <c r="DA222" s="595"/>
      <c r="DB222" s="14"/>
      <c r="DC222" s="561"/>
      <c r="DD222" s="561"/>
      <c r="DE222" s="33"/>
      <c r="DF222" s="14"/>
      <c r="DG222" s="561"/>
      <c r="DH222" s="14"/>
      <c r="DI222" s="561"/>
      <c r="DJ222" s="14"/>
      <c r="DK222" s="14"/>
      <c r="DL222" s="14"/>
      <c r="DM222" s="14"/>
      <c r="DN222" s="14"/>
      <c r="DO222" s="561"/>
      <c r="DP222" s="561"/>
      <c r="DQ222" s="14"/>
      <c r="DR222" s="14"/>
      <c r="DS222" s="561"/>
      <c r="DT222" s="561"/>
      <c r="DU222" s="561"/>
      <c r="DV222" s="14"/>
      <c r="DW222" s="561"/>
      <c r="DX222" s="14"/>
      <c r="DY222" s="14"/>
      <c r="DZ222" s="14"/>
      <c r="EA222" s="14"/>
      <c r="EB222" s="229"/>
      <c r="EC222" s="14"/>
      <c r="ED222" s="561"/>
      <c r="EE222" s="561"/>
      <c r="EF222" s="33"/>
      <c r="EG222" s="561"/>
      <c r="EH222" s="561"/>
      <c r="EI222" s="14"/>
      <c r="EJ222" s="561"/>
      <c r="EK222" s="561"/>
      <c r="EL222" s="14"/>
      <c r="EM222" s="561"/>
      <c r="EN222" s="561"/>
      <c r="EO222" s="14"/>
      <c r="EP222" s="561"/>
      <c r="EQ222" s="561"/>
      <c r="ER222" s="14"/>
      <c r="ES222" s="561"/>
      <c r="ET222" s="561"/>
      <c r="EU222" s="14"/>
      <c r="EV222" s="561"/>
      <c r="EW222" s="561"/>
      <c r="EX222" s="14"/>
      <c r="EY222" s="561"/>
      <c r="EZ222" s="561"/>
      <c r="FA222" s="561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338"/>
      <c r="FM222" s="14"/>
      <c r="FN222" s="14"/>
      <c r="FO222" s="14"/>
      <c r="FP222" s="14"/>
      <c r="FQ222" s="586"/>
      <c r="FR222" s="586"/>
      <c r="FS222" s="586"/>
      <c r="FT222" s="586"/>
      <c r="FU222" s="586"/>
      <c r="FV222" s="586"/>
      <c r="FX222" s="579"/>
      <c r="FY222" s="579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14"/>
      <c r="GM222" s="14"/>
      <c r="GN222" s="14"/>
      <c r="GO222" s="14"/>
      <c r="GP222" s="14"/>
      <c r="GQ222" s="14"/>
      <c r="GR222" s="14"/>
      <c r="GS222" s="14"/>
      <c r="GT222" s="14"/>
      <c r="GU222" s="14"/>
      <c r="GV222" s="178"/>
      <c r="GW222" s="609"/>
      <c r="GX222" s="14"/>
      <c r="GY222" s="14"/>
      <c r="GZ222" s="14"/>
      <c r="HA222" s="14"/>
      <c r="HB222" s="14"/>
      <c r="HC222" s="14"/>
      <c r="HD222" s="14"/>
      <c r="HE222" s="14"/>
      <c r="HF222" s="14"/>
      <c r="HG222" s="14"/>
      <c r="HH222" s="14"/>
      <c r="HI222" s="14"/>
      <c r="HJ222" s="14"/>
      <c r="HK222" s="14"/>
      <c r="HL222" s="14"/>
      <c r="HM222" s="14"/>
      <c r="HN222" s="14"/>
      <c r="HO222" s="14"/>
      <c r="HP222" s="14"/>
      <c r="HQ222" s="14"/>
      <c r="HR222" s="14"/>
      <c r="HS222" s="634"/>
      <c r="HT222" s="14"/>
      <c r="HU222" s="14"/>
      <c r="HV222" s="14"/>
      <c r="HW222" s="14"/>
      <c r="HX222" s="14"/>
      <c r="HY222" s="14"/>
      <c r="HZ222" s="14"/>
      <c r="IA222" s="14"/>
      <c r="IB222" s="14"/>
      <c r="IC222" s="14"/>
      <c r="ID222" s="14"/>
      <c r="IE222" s="14"/>
      <c r="IF222" s="14"/>
      <c r="IG222" s="14"/>
      <c r="IH222" s="14"/>
      <c r="II222" s="14"/>
      <c r="IJ222" s="14"/>
      <c r="IK222" s="14"/>
      <c r="IL222" s="14"/>
      <c r="IM222" s="14"/>
      <c r="IN222" s="14"/>
      <c r="IO222" s="14"/>
      <c r="IP222" s="14"/>
      <c r="IQ222" s="14"/>
      <c r="IR222" s="14"/>
      <c r="IS222" s="14"/>
      <c r="IT222" s="14"/>
      <c r="IU222" s="14"/>
      <c r="IV222" s="14"/>
      <c r="IW222" s="14"/>
      <c r="IX222" s="14"/>
      <c r="IY222" s="14"/>
      <c r="IZ222" s="14"/>
      <c r="JA222" s="14"/>
      <c r="JB222" s="14"/>
      <c r="JC222" s="14"/>
      <c r="JD222" s="14"/>
      <c r="JE222" s="14"/>
      <c r="JF222" s="14"/>
      <c r="JG222" s="14"/>
      <c r="JH222" s="14"/>
      <c r="JI222" s="14"/>
      <c r="JJ222" s="14"/>
      <c r="JK222" s="14"/>
      <c r="JL222" s="14"/>
      <c r="JM222" s="14"/>
      <c r="JN222" s="14"/>
      <c r="JO222" s="14"/>
      <c r="JP222" s="14"/>
      <c r="JQ222" s="14"/>
      <c r="JR222" s="14"/>
      <c r="JS222" s="14"/>
      <c r="JT222" s="14"/>
      <c r="JU222" s="14"/>
      <c r="JV222" s="14"/>
      <c r="JW222" s="14"/>
      <c r="JX222" s="14"/>
      <c r="JY222" s="14"/>
      <c r="JZ222" s="14"/>
    </row>
    <row r="223" spans="1:286" s="43" customFormat="1">
      <c r="A223" s="845" t="s">
        <v>47</v>
      </c>
      <c r="B223" s="845"/>
      <c r="C223" s="14">
        <f>COUNTIF(Ville,"*St Paul*")</f>
        <v>3</v>
      </c>
      <c r="D223" s="14">
        <f t="shared" si="444"/>
        <v>128</v>
      </c>
      <c r="E223" s="14"/>
      <c r="F223" s="14"/>
      <c r="G223" s="14"/>
      <c r="H223" s="14"/>
      <c r="I223" s="14"/>
      <c r="J223" s="14"/>
      <c r="K223" s="14"/>
      <c r="L223" s="311"/>
      <c r="M223" s="197"/>
      <c r="N223" s="197"/>
      <c r="O223" s="197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739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2"/>
      <c r="AW223" s="32"/>
      <c r="AX223" s="14"/>
      <c r="AY223" s="14"/>
      <c r="AZ223" s="14"/>
      <c r="BA223" s="14"/>
      <c r="BB223" s="14"/>
      <c r="BC223" s="14"/>
      <c r="BD223" s="14"/>
      <c r="BE223" s="14"/>
      <c r="BF223" s="178"/>
      <c r="BG223" s="178"/>
      <c r="BH223" s="178"/>
      <c r="BI223" s="178"/>
      <c r="BJ223" s="178"/>
      <c r="BK223" s="178"/>
      <c r="BL223" s="178"/>
      <c r="BM223" s="178"/>
      <c r="BN223" s="178"/>
      <c r="BO223" s="178"/>
      <c r="BP223" s="178"/>
      <c r="BQ223" s="178"/>
      <c r="BR223" s="178"/>
      <c r="BS223" s="178"/>
      <c r="BT223" s="178"/>
      <c r="BU223" s="178"/>
      <c r="BV223" s="178"/>
      <c r="BW223" s="178"/>
      <c r="BX223" s="178"/>
      <c r="BY223" s="178"/>
      <c r="BZ223" s="178"/>
      <c r="CA223" s="178"/>
      <c r="CB223" s="178"/>
      <c r="CC223" s="178"/>
      <c r="CD223" s="178"/>
      <c r="CE223" s="178"/>
      <c r="CF223" s="178"/>
      <c r="CG223" s="178"/>
      <c r="CH223" s="178"/>
      <c r="CI223" s="178"/>
      <c r="CJ223" s="178"/>
      <c r="CK223" s="178"/>
      <c r="CL223" s="178"/>
      <c r="CM223" s="178"/>
      <c r="CN223" s="179"/>
      <c r="CO223" s="179"/>
      <c r="CP223" s="179"/>
      <c r="CQ223" s="179"/>
      <c r="CR223" s="179"/>
      <c r="CS223" s="178"/>
      <c r="CT223" s="222"/>
      <c r="CU223" s="222"/>
      <c r="CV223" s="178"/>
      <c r="CW223" s="178"/>
      <c r="CX223" s="178"/>
      <c r="CY223" s="178"/>
      <c r="CZ223" s="178"/>
      <c r="DA223" s="595"/>
      <c r="DB223" s="14"/>
      <c r="DC223" s="561"/>
      <c r="DD223" s="561"/>
      <c r="DE223" s="33"/>
      <c r="DF223" s="14"/>
      <c r="DG223" s="561"/>
      <c r="DH223" s="14"/>
      <c r="DI223" s="561"/>
      <c r="DJ223" s="14"/>
      <c r="DK223" s="14"/>
      <c r="DL223" s="14"/>
      <c r="DM223" s="14"/>
      <c r="DN223" s="14"/>
      <c r="DO223" s="561"/>
      <c r="DP223" s="561"/>
      <c r="DQ223" s="14"/>
      <c r="DR223" s="14"/>
      <c r="DS223" s="561"/>
      <c r="DT223" s="561"/>
      <c r="DU223" s="561"/>
      <c r="DV223" s="14"/>
      <c r="DW223" s="561"/>
      <c r="DX223" s="14"/>
      <c r="DY223" s="14"/>
      <c r="DZ223" s="14"/>
      <c r="EA223" s="14"/>
      <c r="EB223" s="229"/>
      <c r="EC223" s="14"/>
      <c r="ED223" s="561"/>
      <c r="EE223" s="561"/>
      <c r="EF223" s="33"/>
      <c r="EG223" s="561"/>
      <c r="EH223" s="561"/>
      <c r="EI223" s="14"/>
      <c r="EJ223" s="561"/>
      <c r="EK223" s="561"/>
      <c r="EL223" s="14"/>
      <c r="EM223" s="561"/>
      <c r="EN223" s="561"/>
      <c r="EO223" s="14"/>
      <c r="EP223" s="561"/>
      <c r="EQ223" s="561"/>
      <c r="ER223" s="14"/>
      <c r="ES223" s="561"/>
      <c r="ET223" s="561"/>
      <c r="EU223" s="14"/>
      <c r="EV223" s="561"/>
      <c r="EW223" s="561"/>
      <c r="EX223" s="14"/>
      <c r="EY223" s="561"/>
      <c r="EZ223" s="561"/>
      <c r="FA223" s="561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338"/>
      <c r="FM223" s="14"/>
      <c r="FN223" s="14"/>
      <c r="FO223" s="14"/>
      <c r="FP223" s="14"/>
      <c r="FQ223" s="586"/>
      <c r="FR223" s="586"/>
      <c r="FS223" s="586"/>
      <c r="FT223" s="586"/>
      <c r="FU223" s="586"/>
      <c r="FV223" s="586"/>
      <c r="FX223" s="579"/>
      <c r="FY223" s="579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14"/>
      <c r="GM223" s="14"/>
      <c r="GN223" s="14"/>
      <c r="GO223" s="14"/>
      <c r="GP223" s="14"/>
      <c r="GQ223" s="14"/>
      <c r="GR223" s="14"/>
      <c r="GS223" s="14"/>
      <c r="GT223" s="14"/>
      <c r="GU223" s="14"/>
      <c r="GV223" s="178"/>
      <c r="GW223" s="609"/>
      <c r="GX223" s="14"/>
      <c r="GY223" s="14"/>
      <c r="GZ223" s="14"/>
      <c r="HA223" s="14"/>
      <c r="HB223" s="14"/>
      <c r="HC223" s="14"/>
      <c r="HD223" s="14"/>
      <c r="HE223" s="14"/>
      <c r="HF223" s="14"/>
      <c r="HG223" s="14"/>
      <c r="HH223" s="14"/>
      <c r="HI223" s="14"/>
      <c r="HJ223" s="14"/>
      <c r="HK223" s="14"/>
      <c r="HL223" s="14"/>
      <c r="HM223" s="14"/>
      <c r="HN223" s="14"/>
      <c r="HO223" s="14"/>
      <c r="HP223" s="14"/>
      <c r="HQ223" s="14"/>
      <c r="HR223" s="14"/>
      <c r="HS223" s="634"/>
      <c r="HT223" s="14"/>
      <c r="HU223" s="14"/>
      <c r="HV223" s="14"/>
      <c r="HW223" s="14"/>
      <c r="HX223" s="14"/>
      <c r="HY223" s="14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4"/>
      <c r="IL223" s="14"/>
      <c r="IM223" s="14"/>
      <c r="IN223" s="14"/>
      <c r="IO223" s="14"/>
      <c r="IP223" s="14"/>
      <c r="IQ223" s="14"/>
      <c r="IR223" s="14"/>
      <c r="IS223" s="14"/>
      <c r="IT223" s="14"/>
      <c r="IU223" s="14"/>
      <c r="IV223" s="14"/>
      <c r="IW223" s="14"/>
      <c r="IX223" s="14"/>
      <c r="IY223" s="14"/>
      <c r="IZ223" s="14"/>
      <c r="JA223" s="14"/>
      <c r="JB223" s="14"/>
      <c r="JC223" s="14"/>
      <c r="JD223" s="14"/>
      <c r="JE223" s="14"/>
      <c r="JF223" s="14"/>
      <c r="JG223" s="14"/>
      <c r="JH223" s="14"/>
      <c r="JI223" s="14"/>
      <c r="JJ223" s="14"/>
      <c r="JK223" s="14"/>
      <c r="JL223" s="14"/>
      <c r="JM223" s="14"/>
      <c r="JN223" s="14"/>
      <c r="JO223" s="14"/>
      <c r="JP223" s="14"/>
      <c r="JQ223" s="14"/>
      <c r="JR223" s="14"/>
      <c r="JS223" s="14"/>
      <c r="JT223" s="14"/>
      <c r="JU223" s="14"/>
      <c r="JV223" s="14"/>
      <c r="JW223" s="14"/>
      <c r="JX223" s="14"/>
      <c r="JY223" s="14"/>
      <c r="JZ223" s="14"/>
    </row>
    <row r="224" spans="1:286" s="43" customFormat="1">
      <c r="A224" s="845" t="s">
        <v>31</v>
      </c>
      <c r="B224" s="845"/>
      <c r="C224" s="14">
        <f>COUNTIF(Ville,"*St Philippe*")</f>
        <v>2</v>
      </c>
      <c r="D224" s="14">
        <f t="shared" si="444"/>
        <v>33</v>
      </c>
      <c r="E224" s="14"/>
      <c r="F224" s="14"/>
      <c r="G224" s="14"/>
      <c r="H224" s="14"/>
      <c r="I224" s="14"/>
      <c r="J224" s="14"/>
      <c r="K224" s="14"/>
      <c r="L224" s="311"/>
      <c r="M224" s="197"/>
      <c r="N224" s="197"/>
      <c r="O224" s="197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739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2"/>
      <c r="AW224" s="32"/>
      <c r="AX224" s="14"/>
      <c r="AY224" s="14"/>
      <c r="AZ224" s="14"/>
      <c r="BA224" s="14"/>
      <c r="BB224" s="14"/>
      <c r="BC224" s="14"/>
      <c r="BD224" s="14"/>
      <c r="BE224" s="14"/>
      <c r="BF224" s="178"/>
      <c r="BG224" s="178"/>
      <c r="BH224" s="178"/>
      <c r="BI224" s="178"/>
      <c r="BJ224" s="178"/>
      <c r="BK224" s="178"/>
      <c r="BL224" s="178"/>
      <c r="BM224" s="178"/>
      <c r="BN224" s="178"/>
      <c r="BO224" s="178"/>
      <c r="BP224" s="178"/>
      <c r="BQ224" s="178"/>
      <c r="BR224" s="178"/>
      <c r="BS224" s="178"/>
      <c r="BT224" s="178"/>
      <c r="BU224" s="178"/>
      <c r="BV224" s="178"/>
      <c r="BW224" s="178"/>
      <c r="BX224" s="178"/>
      <c r="BY224" s="178"/>
      <c r="BZ224" s="178"/>
      <c r="CA224" s="178"/>
      <c r="CB224" s="178"/>
      <c r="CC224" s="178"/>
      <c r="CD224" s="178"/>
      <c r="CE224" s="178"/>
      <c r="CF224" s="178"/>
      <c r="CG224" s="178"/>
      <c r="CH224" s="178"/>
      <c r="CI224" s="178"/>
      <c r="CJ224" s="178"/>
      <c r="CK224" s="178"/>
      <c r="CL224" s="178"/>
      <c r="CM224" s="178"/>
      <c r="CN224" s="179"/>
      <c r="CO224" s="179"/>
      <c r="CP224" s="179"/>
      <c r="CQ224" s="179"/>
      <c r="CR224" s="179"/>
      <c r="CS224" s="178"/>
      <c r="CT224" s="222"/>
      <c r="CU224" s="222"/>
      <c r="CV224" s="178"/>
      <c r="CW224" s="178"/>
      <c r="CX224" s="178"/>
      <c r="CY224" s="178"/>
      <c r="CZ224" s="178"/>
      <c r="DA224" s="595"/>
      <c r="DB224" s="14"/>
      <c r="DC224" s="561"/>
      <c r="DD224" s="561"/>
      <c r="DE224" s="33"/>
      <c r="DF224" s="14"/>
      <c r="DG224" s="561"/>
      <c r="DH224" s="14"/>
      <c r="DI224" s="561"/>
      <c r="DJ224" s="14"/>
      <c r="DK224" s="14"/>
      <c r="DL224" s="14"/>
      <c r="DM224" s="14"/>
      <c r="DN224" s="14"/>
      <c r="DO224" s="561"/>
      <c r="DP224" s="561"/>
      <c r="DQ224" s="14"/>
      <c r="DR224" s="14"/>
      <c r="DS224" s="561"/>
      <c r="DT224" s="561"/>
      <c r="DU224" s="561"/>
      <c r="DV224" s="14"/>
      <c r="DW224" s="561"/>
      <c r="DX224" s="14"/>
      <c r="DY224" s="14"/>
      <c r="DZ224" s="14"/>
      <c r="EA224" s="14"/>
      <c r="EB224" s="229"/>
      <c r="EC224" s="14"/>
      <c r="ED224" s="561"/>
      <c r="EE224" s="561"/>
      <c r="EF224" s="33"/>
      <c r="EG224" s="561"/>
      <c r="EH224" s="561"/>
      <c r="EI224" s="14"/>
      <c r="EJ224" s="561"/>
      <c r="EK224" s="561"/>
      <c r="EL224" s="14"/>
      <c r="EM224" s="561"/>
      <c r="EN224" s="561"/>
      <c r="EO224" s="14"/>
      <c r="EP224" s="561"/>
      <c r="EQ224" s="561"/>
      <c r="ER224" s="14"/>
      <c r="ES224" s="561"/>
      <c r="ET224" s="561"/>
      <c r="EU224" s="14"/>
      <c r="EV224" s="561"/>
      <c r="EW224" s="561"/>
      <c r="EX224" s="14"/>
      <c r="EY224" s="561"/>
      <c r="EZ224" s="561"/>
      <c r="FA224" s="561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338"/>
      <c r="FM224" s="14"/>
      <c r="FN224" s="14"/>
      <c r="FO224" s="14"/>
      <c r="FP224" s="14"/>
      <c r="FQ224" s="586"/>
      <c r="FR224" s="586"/>
      <c r="FS224" s="586"/>
      <c r="FT224" s="586"/>
      <c r="FU224" s="586"/>
      <c r="FV224" s="586"/>
      <c r="FX224" s="579"/>
      <c r="FY224" s="579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14"/>
      <c r="GM224" s="14"/>
      <c r="GN224" s="14"/>
      <c r="GO224" s="14"/>
      <c r="GP224" s="14"/>
      <c r="GQ224" s="14"/>
      <c r="GR224" s="14"/>
      <c r="GS224" s="14"/>
      <c r="GT224" s="14"/>
      <c r="GU224" s="14"/>
      <c r="GV224" s="178"/>
      <c r="GW224" s="609"/>
      <c r="GX224" s="14"/>
      <c r="GY224" s="14"/>
      <c r="GZ224" s="14"/>
      <c r="HA224" s="14"/>
      <c r="HB224" s="14"/>
      <c r="HC224" s="14"/>
      <c r="HD224" s="14"/>
      <c r="HE224" s="14"/>
      <c r="HF224" s="14"/>
      <c r="HG224" s="14"/>
      <c r="HH224" s="14"/>
      <c r="HI224" s="14"/>
      <c r="HJ224" s="14"/>
      <c r="HK224" s="14"/>
      <c r="HL224" s="14"/>
      <c r="HM224" s="14"/>
      <c r="HN224" s="14"/>
      <c r="HO224" s="14"/>
      <c r="HP224" s="14"/>
      <c r="HQ224" s="14"/>
      <c r="HR224" s="14"/>
      <c r="HS224" s="634"/>
      <c r="HT224" s="14"/>
      <c r="HU224" s="14"/>
      <c r="HV224" s="14"/>
      <c r="HW224" s="14"/>
      <c r="HX224" s="14"/>
      <c r="HY224" s="14"/>
      <c r="HZ224" s="14"/>
      <c r="IA224" s="14"/>
      <c r="IB224" s="14"/>
      <c r="IC224" s="14"/>
      <c r="ID224" s="14"/>
      <c r="IE224" s="14"/>
      <c r="IF224" s="14"/>
      <c r="IG224" s="14"/>
      <c r="IH224" s="14"/>
      <c r="II224" s="14"/>
      <c r="IJ224" s="14"/>
      <c r="IK224" s="14"/>
      <c r="IL224" s="14"/>
      <c r="IM224" s="14"/>
      <c r="IN224" s="14"/>
      <c r="IO224" s="14"/>
      <c r="IP224" s="14"/>
      <c r="IQ224" s="14"/>
      <c r="IR224" s="14"/>
      <c r="IS224" s="14"/>
      <c r="IT224" s="14"/>
      <c r="IU224" s="14"/>
      <c r="IV224" s="14"/>
      <c r="IW224" s="14"/>
      <c r="IX224" s="14"/>
      <c r="IY224" s="14"/>
      <c r="IZ224" s="14"/>
      <c r="JA224" s="14"/>
      <c r="JB224" s="14"/>
      <c r="JC224" s="14"/>
      <c r="JD224" s="14"/>
      <c r="JE224" s="14"/>
      <c r="JF224" s="14"/>
      <c r="JG224" s="14"/>
      <c r="JH224" s="14"/>
      <c r="JI224" s="14"/>
      <c r="JJ224" s="14"/>
      <c r="JK224" s="14"/>
      <c r="JL224" s="14"/>
      <c r="JM224" s="14"/>
      <c r="JN224" s="14"/>
      <c r="JO224" s="14"/>
      <c r="JP224" s="14"/>
      <c r="JQ224" s="14"/>
      <c r="JR224" s="14"/>
      <c r="JS224" s="14"/>
      <c r="JT224" s="14"/>
      <c r="JU224" s="14"/>
      <c r="JV224" s="14"/>
      <c r="JW224" s="14"/>
      <c r="JX224" s="14"/>
      <c r="JY224" s="14"/>
      <c r="JZ224" s="14"/>
    </row>
    <row r="225" spans="1:286" s="43" customFormat="1">
      <c r="A225" s="845" t="s">
        <v>102</v>
      </c>
      <c r="B225" s="845"/>
      <c r="C225" s="14">
        <f>COUNTIF(Ville,"*St Pierre*")</f>
        <v>3</v>
      </c>
      <c r="D225" s="14">
        <f t="shared" si="444"/>
        <v>253</v>
      </c>
      <c r="E225" s="14"/>
      <c r="F225" s="14"/>
      <c r="G225" s="14"/>
      <c r="H225" s="14"/>
      <c r="I225" s="14"/>
      <c r="J225" s="14"/>
      <c r="K225" s="14"/>
      <c r="L225" s="311"/>
      <c r="M225" s="197"/>
      <c r="N225" s="197"/>
      <c r="O225" s="197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739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2"/>
      <c r="AW225" s="32"/>
      <c r="AX225" s="14"/>
      <c r="AY225" s="14"/>
      <c r="AZ225" s="14"/>
      <c r="BA225" s="14"/>
      <c r="BB225" s="14"/>
      <c r="BC225" s="14"/>
      <c r="BD225" s="14"/>
      <c r="BE225" s="14"/>
      <c r="BF225" s="178"/>
      <c r="BG225" s="178"/>
      <c r="BH225" s="178"/>
      <c r="BI225" s="178"/>
      <c r="BJ225" s="178"/>
      <c r="BK225" s="178"/>
      <c r="BL225" s="178"/>
      <c r="BM225" s="178"/>
      <c r="BN225" s="178"/>
      <c r="BO225" s="178"/>
      <c r="BP225" s="178"/>
      <c r="BQ225" s="178"/>
      <c r="BR225" s="178"/>
      <c r="BS225" s="178"/>
      <c r="BT225" s="178"/>
      <c r="BU225" s="178"/>
      <c r="BV225" s="178"/>
      <c r="BW225" s="178"/>
      <c r="BX225" s="178"/>
      <c r="BY225" s="178"/>
      <c r="BZ225" s="178"/>
      <c r="CA225" s="178"/>
      <c r="CB225" s="178"/>
      <c r="CC225" s="178"/>
      <c r="CD225" s="178"/>
      <c r="CE225" s="178"/>
      <c r="CF225" s="178"/>
      <c r="CG225" s="178"/>
      <c r="CH225" s="178"/>
      <c r="CI225" s="178"/>
      <c r="CJ225" s="178"/>
      <c r="CK225" s="178"/>
      <c r="CL225" s="178"/>
      <c r="CM225" s="178"/>
      <c r="CN225" s="179"/>
      <c r="CO225" s="179"/>
      <c r="CP225" s="179"/>
      <c r="CQ225" s="179"/>
      <c r="CR225" s="179"/>
      <c r="CS225" s="178"/>
      <c r="CT225" s="222"/>
      <c r="CU225" s="222"/>
      <c r="CV225" s="178"/>
      <c r="CW225" s="178"/>
      <c r="CX225" s="178"/>
      <c r="CY225" s="178"/>
      <c r="CZ225" s="178"/>
      <c r="DA225" s="595"/>
      <c r="DB225" s="14"/>
      <c r="DC225" s="561"/>
      <c r="DD225" s="561"/>
      <c r="DE225" s="33"/>
      <c r="DF225" s="14"/>
      <c r="DG225" s="561"/>
      <c r="DH225" s="14"/>
      <c r="DI225" s="561"/>
      <c r="DJ225" s="14"/>
      <c r="DK225" s="14"/>
      <c r="DL225" s="14"/>
      <c r="DM225" s="14"/>
      <c r="DN225" s="14"/>
      <c r="DO225" s="561"/>
      <c r="DP225" s="561"/>
      <c r="DQ225" s="14"/>
      <c r="DR225" s="14"/>
      <c r="DS225" s="561"/>
      <c r="DT225" s="561"/>
      <c r="DU225" s="561"/>
      <c r="DV225" s="14"/>
      <c r="DW225" s="561"/>
      <c r="DX225" s="14"/>
      <c r="DY225" s="14"/>
      <c r="DZ225" s="14"/>
      <c r="EA225" s="14"/>
      <c r="EB225" s="229"/>
      <c r="EC225" s="14"/>
      <c r="ED225" s="561"/>
      <c r="EE225" s="561"/>
      <c r="EF225" s="33"/>
      <c r="EG225" s="561"/>
      <c r="EH225" s="561"/>
      <c r="EI225" s="14"/>
      <c r="EJ225" s="561"/>
      <c r="EK225" s="561"/>
      <c r="EL225" s="14"/>
      <c r="EM225" s="561"/>
      <c r="EN225" s="561"/>
      <c r="EO225" s="14"/>
      <c r="EP225" s="561"/>
      <c r="EQ225" s="561"/>
      <c r="ER225" s="14"/>
      <c r="ES225" s="561"/>
      <c r="ET225" s="561"/>
      <c r="EU225" s="14"/>
      <c r="EV225" s="561"/>
      <c r="EW225" s="561"/>
      <c r="EX225" s="14"/>
      <c r="EY225" s="561"/>
      <c r="EZ225" s="561"/>
      <c r="FA225" s="561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338"/>
      <c r="FM225" s="14"/>
      <c r="FN225" s="14"/>
      <c r="FO225" s="14"/>
      <c r="FP225" s="14"/>
      <c r="FQ225" s="586"/>
      <c r="FR225" s="586"/>
      <c r="FS225" s="586"/>
      <c r="FT225" s="586"/>
      <c r="FU225" s="586"/>
      <c r="FV225" s="586"/>
      <c r="FX225" s="579"/>
      <c r="FY225" s="579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14"/>
      <c r="GM225" s="14"/>
      <c r="GN225" s="14"/>
      <c r="GO225" s="14"/>
      <c r="GP225" s="14"/>
      <c r="GQ225" s="14"/>
      <c r="GR225" s="14"/>
      <c r="GS225" s="14"/>
      <c r="GT225" s="14"/>
      <c r="GU225" s="14"/>
      <c r="GV225" s="178"/>
      <c r="GW225" s="609"/>
      <c r="GX225" s="14"/>
      <c r="GY225" s="14"/>
      <c r="GZ225" s="14"/>
      <c r="HA225" s="14"/>
      <c r="HB225" s="14"/>
      <c r="HC225" s="14"/>
      <c r="HD225" s="14"/>
      <c r="HE225" s="14"/>
      <c r="HF225" s="14"/>
      <c r="HG225" s="14"/>
      <c r="HH225" s="14"/>
      <c r="HI225" s="14"/>
      <c r="HJ225" s="14"/>
      <c r="HK225" s="14"/>
      <c r="HL225" s="14"/>
      <c r="HM225" s="14"/>
      <c r="HN225" s="14"/>
      <c r="HO225" s="14"/>
      <c r="HP225" s="14"/>
      <c r="HQ225" s="14"/>
      <c r="HR225" s="14"/>
      <c r="HS225" s="634"/>
      <c r="HT225" s="14"/>
      <c r="HU225" s="14"/>
      <c r="HV225" s="14"/>
      <c r="HW225" s="14"/>
      <c r="HX225" s="14"/>
      <c r="HY225" s="14"/>
      <c r="HZ225" s="14"/>
      <c r="IA225" s="14"/>
      <c r="IB225" s="14"/>
      <c r="IC225" s="14"/>
      <c r="ID225" s="14"/>
      <c r="IE225" s="14"/>
      <c r="IF225" s="14"/>
      <c r="IG225" s="14"/>
      <c r="IH225" s="14"/>
      <c r="II225" s="14"/>
      <c r="IJ225" s="14"/>
      <c r="IK225" s="14"/>
      <c r="IL225" s="14"/>
      <c r="IM225" s="14"/>
      <c r="IN225" s="14"/>
      <c r="IO225" s="14"/>
      <c r="IP225" s="14"/>
      <c r="IQ225" s="14"/>
      <c r="IR225" s="14"/>
      <c r="IS225" s="14"/>
      <c r="IT225" s="14"/>
      <c r="IU225" s="14"/>
      <c r="IV225" s="14"/>
      <c r="IW225" s="14"/>
      <c r="IX225" s="14"/>
      <c r="IY225" s="14"/>
      <c r="IZ225" s="14"/>
      <c r="JA225" s="14"/>
      <c r="JB225" s="14"/>
      <c r="JC225" s="14"/>
      <c r="JD225" s="14"/>
      <c r="JE225" s="14"/>
      <c r="JF225" s="14"/>
      <c r="JG225" s="14"/>
      <c r="JH225" s="14"/>
      <c r="JI225" s="14"/>
      <c r="JJ225" s="14"/>
      <c r="JK225" s="14"/>
      <c r="JL225" s="14"/>
      <c r="JM225" s="14"/>
      <c r="JN225" s="14"/>
      <c r="JO225" s="14"/>
      <c r="JP225" s="14"/>
      <c r="JQ225" s="14"/>
      <c r="JR225" s="14"/>
      <c r="JS225" s="14"/>
      <c r="JT225" s="14"/>
      <c r="JU225" s="14"/>
      <c r="JV225" s="14"/>
      <c r="JW225" s="14"/>
      <c r="JX225" s="14"/>
      <c r="JY225" s="14"/>
      <c r="JZ225" s="14"/>
    </row>
    <row r="226" spans="1:286" s="43" customFormat="1">
      <c r="A226" s="845" t="s">
        <v>35</v>
      </c>
      <c r="B226" s="845"/>
      <c r="C226" s="14">
        <f>COUNTIF(Ville,"*Tampon*")</f>
        <v>47</v>
      </c>
      <c r="D226" s="14">
        <f t="shared" si="444"/>
        <v>2428</v>
      </c>
      <c r="E226" s="14"/>
      <c r="F226" s="14"/>
      <c r="G226" s="14"/>
      <c r="H226" s="14"/>
      <c r="I226" s="14"/>
      <c r="J226" s="14"/>
      <c r="K226" s="14"/>
      <c r="L226" s="311"/>
      <c r="M226" s="197"/>
      <c r="N226" s="197"/>
      <c r="O226" s="197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739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2"/>
      <c r="AW226" s="32"/>
      <c r="AX226" s="14"/>
      <c r="AY226" s="14"/>
      <c r="AZ226" s="14"/>
      <c r="BA226" s="14"/>
      <c r="BB226" s="14"/>
      <c r="BC226" s="14"/>
      <c r="BD226" s="14"/>
      <c r="BE226" s="14"/>
      <c r="BF226" s="178"/>
      <c r="BG226" s="178"/>
      <c r="BH226" s="178"/>
      <c r="BI226" s="178"/>
      <c r="BJ226" s="178"/>
      <c r="BK226" s="178"/>
      <c r="BL226" s="178"/>
      <c r="BM226" s="178"/>
      <c r="BN226" s="178"/>
      <c r="BO226" s="178"/>
      <c r="BP226" s="178"/>
      <c r="BQ226" s="178"/>
      <c r="BR226" s="178"/>
      <c r="BS226" s="178"/>
      <c r="BT226" s="178"/>
      <c r="BU226" s="178"/>
      <c r="BV226" s="178"/>
      <c r="BW226" s="178"/>
      <c r="BX226" s="178"/>
      <c r="BY226" s="178"/>
      <c r="BZ226" s="178"/>
      <c r="CA226" s="178"/>
      <c r="CB226" s="178"/>
      <c r="CC226" s="178"/>
      <c r="CD226" s="178"/>
      <c r="CE226" s="178"/>
      <c r="CF226" s="178"/>
      <c r="CG226" s="178"/>
      <c r="CH226" s="178"/>
      <c r="CI226" s="178"/>
      <c r="CJ226" s="178"/>
      <c r="CK226" s="178"/>
      <c r="CL226" s="178"/>
      <c r="CM226" s="178"/>
      <c r="CN226" s="179"/>
      <c r="CO226" s="179"/>
      <c r="CP226" s="179"/>
      <c r="CQ226" s="179"/>
      <c r="CR226" s="179"/>
      <c r="CS226" s="178"/>
      <c r="CT226" s="222"/>
      <c r="CU226" s="222"/>
      <c r="CV226" s="178"/>
      <c r="CW226" s="178"/>
      <c r="CX226" s="178"/>
      <c r="CY226" s="178"/>
      <c r="CZ226" s="178"/>
      <c r="DA226" s="595"/>
      <c r="DB226" s="14"/>
      <c r="DC226" s="561"/>
      <c r="DD226" s="561"/>
      <c r="DE226" s="33"/>
      <c r="DF226" s="14"/>
      <c r="DG226" s="561"/>
      <c r="DH226" s="14"/>
      <c r="DI226" s="561"/>
      <c r="DJ226" s="14"/>
      <c r="DK226" s="14"/>
      <c r="DL226" s="14"/>
      <c r="DM226" s="14"/>
      <c r="DN226" s="14"/>
      <c r="DO226" s="561"/>
      <c r="DP226" s="561"/>
      <c r="DQ226" s="14"/>
      <c r="DR226" s="14"/>
      <c r="DS226" s="561"/>
      <c r="DT226" s="561"/>
      <c r="DU226" s="561"/>
      <c r="DV226" s="14"/>
      <c r="DW226" s="561"/>
      <c r="DX226" s="14"/>
      <c r="DY226" s="14"/>
      <c r="DZ226" s="14"/>
      <c r="EA226" s="14"/>
      <c r="EB226" s="229"/>
      <c r="EC226" s="14"/>
      <c r="ED226" s="561"/>
      <c r="EE226" s="561"/>
      <c r="EF226" s="33"/>
      <c r="EG226" s="561"/>
      <c r="EH226" s="561"/>
      <c r="EI226" s="14"/>
      <c r="EJ226" s="561"/>
      <c r="EK226" s="561"/>
      <c r="EL226" s="14"/>
      <c r="EM226" s="561"/>
      <c r="EN226" s="561"/>
      <c r="EO226" s="14"/>
      <c r="EP226" s="561"/>
      <c r="EQ226" s="561"/>
      <c r="ER226" s="14"/>
      <c r="ES226" s="561"/>
      <c r="ET226" s="561"/>
      <c r="EU226" s="14"/>
      <c r="EV226" s="561"/>
      <c r="EW226" s="561"/>
      <c r="EX226" s="14"/>
      <c r="EY226" s="561"/>
      <c r="EZ226" s="561"/>
      <c r="FA226" s="561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338"/>
      <c r="FM226" s="14"/>
      <c r="FN226" s="14"/>
      <c r="FO226" s="14"/>
      <c r="FP226" s="14"/>
      <c r="FQ226" s="586"/>
      <c r="FR226" s="586"/>
      <c r="FS226" s="586"/>
      <c r="FT226" s="586"/>
      <c r="FU226" s="586"/>
      <c r="FV226" s="586"/>
      <c r="FX226" s="579"/>
      <c r="FY226" s="579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14"/>
      <c r="GM226" s="14"/>
      <c r="GN226" s="14"/>
      <c r="GO226" s="14"/>
      <c r="GP226" s="14"/>
      <c r="GQ226" s="14"/>
      <c r="GR226" s="14"/>
      <c r="GS226" s="14"/>
      <c r="GT226" s="14"/>
      <c r="GU226" s="14"/>
      <c r="GV226" s="178"/>
      <c r="GW226" s="609"/>
      <c r="GX226" s="14"/>
      <c r="GY226" s="14"/>
      <c r="GZ226" s="14"/>
      <c r="HA226" s="14"/>
      <c r="HB226" s="14"/>
      <c r="HC226" s="14"/>
      <c r="HD226" s="14"/>
      <c r="HE226" s="14"/>
      <c r="HF226" s="14"/>
      <c r="HG226" s="14"/>
      <c r="HH226" s="14"/>
      <c r="HI226" s="14"/>
      <c r="HJ226" s="14"/>
      <c r="HK226" s="14"/>
      <c r="HL226" s="14"/>
      <c r="HM226" s="14"/>
      <c r="HN226" s="14"/>
      <c r="HO226" s="14"/>
      <c r="HP226" s="14"/>
      <c r="HQ226" s="14"/>
      <c r="HR226" s="14"/>
      <c r="HS226" s="634"/>
      <c r="HT226" s="14"/>
      <c r="HU226" s="14"/>
      <c r="HV226" s="14"/>
      <c r="HW226" s="14"/>
      <c r="HX226" s="14"/>
      <c r="HY226" s="14"/>
      <c r="HZ226" s="14"/>
      <c r="IA226" s="14"/>
      <c r="IB226" s="14"/>
      <c r="IC226" s="14"/>
      <c r="ID226" s="14"/>
      <c r="IE226" s="14"/>
      <c r="IF226" s="14"/>
      <c r="IG226" s="14"/>
      <c r="IH226" s="14"/>
      <c r="II226" s="14"/>
      <c r="IJ226" s="14"/>
      <c r="IK226" s="14"/>
      <c r="IL226" s="14"/>
      <c r="IM226" s="14"/>
      <c r="IN226" s="14"/>
      <c r="IO226" s="14"/>
      <c r="IP226" s="14"/>
      <c r="IQ226" s="14"/>
      <c r="IR226" s="14"/>
      <c r="IS226" s="14"/>
      <c r="IT226" s="14"/>
      <c r="IU226" s="14"/>
      <c r="IV226" s="14"/>
      <c r="IW226" s="14"/>
      <c r="IX226" s="14"/>
      <c r="IY226" s="14"/>
      <c r="IZ226" s="14"/>
      <c r="JA226" s="14"/>
      <c r="JB226" s="14"/>
      <c r="JC226" s="14"/>
      <c r="JD226" s="14"/>
      <c r="JE226" s="14"/>
      <c r="JF226" s="14"/>
      <c r="JG226" s="14"/>
      <c r="JH226" s="14"/>
      <c r="JI226" s="14"/>
      <c r="JJ226" s="14"/>
      <c r="JK226" s="14"/>
      <c r="JL226" s="14"/>
      <c r="JM226" s="14"/>
      <c r="JN226" s="14"/>
      <c r="JO226" s="14"/>
      <c r="JP226" s="14"/>
      <c r="JQ226" s="14"/>
      <c r="JR226" s="14"/>
      <c r="JS226" s="14"/>
      <c r="JT226" s="14"/>
      <c r="JU226" s="14"/>
      <c r="JV226" s="14"/>
      <c r="JW226" s="14"/>
      <c r="JX226" s="14"/>
      <c r="JY226" s="14"/>
      <c r="JZ226" s="14"/>
    </row>
    <row r="227" spans="1:286" s="43" customFormat="1">
      <c r="A227" s="845" t="s">
        <v>40</v>
      </c>
      <c r="B227" s="845"/>
      <c r="C227" s="14">
        <f>COUNTIF(Ville,"*Trois Bassins*")</f>
        <v>2</v>
      </c>
      <c r="D227" s="14">
        <f t="shared" si="444"/>
        <v>84</v>
      </c>
      <c r="E227" s="14"/>
      <c r="F227" s="14"/>
      <c r="G227" s="14"/>
      <c r="H227" s="14"/>
      <c r="I227" s="14"/>
      <c r="J227" s="14"/>
      <c r="K227" s="14"/>
      <c r="L227" s="311"/>
      <c r="M227" s="197"/>
      <c r="N227" s="197"/>
      <c r="O227" s="197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739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2"/>
      <c r="AW227" s="32"/>
      <c r="AX227" s="14"/>
      <c r="AY227" s="14"/>
      <c r="AZ227" s="14"/>
      <c r="BA227" s="14"/>
      <c r="BB227" s="14"/>
      <c r="BC227" s="14"/>
      <c r="BD227" s="14"/>
      <c r="BE227" s="14"/>
      <c r="BF227" s="178"/>
      <c r="BG227" s="178"/>
      <c r="BH227" s="178"/>
      <c r="BI227" s="178"/>
      <c r="BJ227" s="178"/>
      <c r="BK227" s="178"/>
      <c r="BL227" s="178"/>
      <c r="BM227" s="178"/>
      <c r="BN227" s="178"/>
      <c r="BO227" s="178"/>
      <c r="BP227" s="178"/>
      <c r="BQ227" s="178"/>
      <c r="BR227" s="178"/>
      <c r="BS227" s="178"/>
      <c r="BT227" s="178"/>
      <c r="BU227" s="178"/>
      <c r="BV227" s="178"/>
      <c r="BW227" s="178"/>
      <c r="BX227" s="178"/>
      <c r="BY227" s="178"/>
      <c r="BZ227" s="178"/>
      <c r="CA227" s="178"/>
      <c r="CB227" s="178"/>
      <c r="CC227" s="178"/>
      <c r="CD227" s="178"/>
      <c r="CE227" s="178"/>
      <c r="CF227" s="178"/>
      <c r="CG227" s="178"/>
      <c r="CH227" s="178"/>
      <c r="CI227" s="178"/>
      <c r="CJ227" s="178"/>
      <c r="CK227" s="178"/>
      <c r="CL227" s="178"/>
      <c r="CM227" s="178"/>
      <c r="CN227" s="179"/>
      <c r="CO227" s="179"/>
      <c r="CP227" s="179"/>
      <c r="CQ227" s="179"/>
      <c r="CR227" s="179"/>
      <c r="CS227" s="178"/>
      <c r="CT227" s="222"/>
      <c r="CU227" s="222"/>
      <c r="CV227" s="178"/>
      <c r="CW227" s="178"/>
      <c r="CX227" s="178"/>
      <c r="CY227" s="178"/>
      <c r="CZ227" s="178"/>
      <c r="DA227" s="595"/>
      <c r="DB227" s="14"/>
      <c r="DC227" s="561"/>
      <c r="DD227" s="561"/>
      <c r="DE227" s="33"/>
      <c r="DF227" s="14"/>
      <c r="DG227" s="561"/>
      <c r="DH227" s="14"/>
      <c r="DI227" s="561"/>
      <c r="DJ227" s="14"/>
      <c r="DK227" s="14"/>
      <c r="DL227" s="14"/>
      <c r="DM227" s="14"/>
      <c r="DN227" s="14"/>
      <c r="DO227" s="561"/>
      <c r="DP227" s="561"/>
      <c r="DQ227" s="14"/>
      <c r="DR227" s="14"/>
      <c r="DS227" s="561"/>
      <c r="DT227" s="561"/>
      <c r="DU227" s="561"/>
      <c r="DV227" s="14"/>
      <c r="DW227" s="561"/>
      <c r="DX227" s="14"/>
      <c r="DY227" s="14"/>
      <c r="DZ227" s="14"/>
      <c r="EA227" s="14"/>
      <c r="EB227" s="229"/>
      <c r="EC227" s="14"/>
      <c r="ED227" s="561"/>
      <c r="EE227" s="561"/>
      <c r="EF227" s="33"/>
      <c r="EG227" s="561"/>
      <c r="EH227" s="561"/>
      <c r="EI227" s="14"/>
      <c r="EJ227" s="561"/>
      <c r="EK227" s="561"/>
      <c r="EL227" s="14"/>
      <c r="EM227" s="561"/>
      <c r="EN227" s="561"/>
      <c r="EO227" s="14"/>
      <c r="EP227" s="561"/>
      <c r="EQ227" s="561"/>
      <c r="ER227" s="14"/>
      <c r="ES227" s="561"/>
      <c r="ET227" s="561"/>
      <c r="EU227" s="14"/>
      <c r="EV227" s="561"/>
      <c r="EW227" s="561"/>
      <c r="EX227" s="14"/>
      <c r="EY227" s="561"/>
      <c r="EZ227" s="561"/>
      <c r="FA227" s="561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338"/>
      <c r="FM227" s="14"/>
      <c r="FN227" s="14"/>
      <c r="FO227" s="14"/>
      <c r="FP227" s="14"/>
      <c r="FQ227" s="586"/>
      <c r="FR227" s="586"/>
      <c r="FS227" s="586"/>
      <c r="FT227" s="586"/>
      <c r="FU227" s="586"/>
      <c r="FV227" s="586"/>
      <c r="FX227" s="579"/>
      <c r="FY227" s="579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14"/>
      <c r="GM227" s="14"/>
      <c r="GN227" s="14"/>
      <c r="GO227" s="14"/>
      <c r="GP227" s="14"/>
      <c r="GQ227" s="14"/>
      <c r="GR227" s="14"/>
      <c r="GS227" s="14"/>
      <c r="GT227" s="14"/>
      <c r="GU227" s="14"/>
      <c r="GV227" s="178"/>
      <c r="GW227" s="609"/>
      <c r="GX227" s="14"/>
      <c r="GY227" s="14"/>
      <c r="GZ227" s="14"/>
      <c r="HA227" s="14"/>
      <c r="HB227" s="14"/>
      <c r="HC227" s="14"/>
      <c r="HD227" s="14"/>
      <c r="HE227" s="14"/>
      <c r="HF227" s="14"/>
      <c r="HG227" s="14"/>
      <c r="HH227" s="14"/>
      <c r="HI227" s="14"/>
      <c r="HJ227" s="14"/>
      <c r="HK227" s="14"/>
      <c r="HL227" s="14"/>
      <c r="HM227" s="14"/>
      <c r="HN227" s="14"/>
      <c r="HO227" s="14"/>
      <c r="HP227" s="14"/>
      <c r="HQ227" s="14"/>
      <c r="HR227" s="14"/>
      <c r="HS227" s="634"/>
      <c r="HT227" s="14"/>
      <c r="HU227" s="14"/>
      <c r="HV227" s="14"/>
      <c r="HW227" s="14"/>
      <c r="HX227" s="14"/>
      <c r="HY227" s="14"/>
      <c r="HZ227" s="14"/>
      <c r="IA227" s="14"/>
      <c r="IB227" s="14"/>
      <c r="IC227" s="14"/>
      <c r="ID227" s="14"/>
      <c r="IE227" s="14"/>
      <c r="IF227" s="14"/>
      <c r="IG227" s="14"/>
      <c r="IH227" s="14"/>
      <c r="II227" s="14"/>
      <c r="IJ227" s="14"/>
      <c r="IK227" s="14"/>
      <c r="IL227" s="14"/>
      <c r="IM227" s="14"/>
      <c r="IN227" s="14"/>
      <c r="IO227" s="14"/>
      <c r="IP227" s="14"/>
      <c r="IQ227" s="14"/>
      <c r="IR227" s="14"/>
      <c r="IS227" s="14"/>
      <c r="IT227" s="14"/>
      <c r="IU227" s="14"/>
      <c r="IV227" s="14"/>
      <c r="IW227" s="14"/>
      <c r="IX227" s="14"/>
      <c r="IY227" s="14"/>
      <c r="IZ227" s="14"/>
      <c r="JA227" s="14"/>
      <c r="JB227" s="14"/>
      <c r="JC227" s="14"/>
      <c r="JD227" s="14"/>
      <c r="JE227" s="14"/>
      <c r="JF227" s="14"/>
      <c r="JG227" s="14"/>
      <c r="JH227" s="14"/>
      <c r="JI227" s="14"/>
      <c r="JJ227" s="14"/>
      <c r="JK227" s="14"/>
      <c r="JL227" s="14"/>
      <c r="JM227" s="14"/>
      <c r="JN227" s="14"/>
      <c r="JO227" s="14"/>
      <c r="JP227" s="14"/>
      <c r="JQ227" s="14"/>
      <c r="JR227" s="14"/>
      <c r="JS227" s="14"/>
      <c r="JT227" s="14"/>
      <c r="JU227" s="14"/>
      <c r="JV227" s="14"/>
      <c r="JW227" s="14"/>
      <c r="JX227" s="14"/>
      <c r="JY227" s="14"/>
      <c r="JZ227" s="14"/>
    </row>
    <row r="228" spans="1:286" s="43" customFormat="1">
      <c r="A228" s="843"/>
      <c r="B228" s="843"/>
      <c r="C228" s="33">
        <f>SUM(C218:C227)</f>
        <v>118</v>
      </c>
      <c r="D228" s="33">
        <f>SUM(D218:D227)</f>
        <v>4663</v>
      </c>
      <c r="E228" s="14"/>
      <c r="F228" s="14"/>
      <c r="G228" s="14"/>
      <c r="H228" s="14"/>
      <c r="I228" s="14"/>
      <c r="J228" s="14"/>
      <c r="K228" s="14"/>
      <c r="L228" s="311"/>
      <c r="M228" s="197"/>
      <c r="N228" s="197"/>
      <c r="O228" s="197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739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2"/>
      <c r="AW228" s="32"/>
      <c r="AX228" s="14"/>
      <c r="AY228" s="14"/>
      <c r="AZ228" s="14"/>
      <c r="BA228" s="14"/>
      <c r="BB228" s="14"/>
      <c r="BC228" s="14"/>
      <c r="BD228" s="14"/>
      <c r="BE228" s="14"/>
      <c r="BF228" s="178"/>
      <c r="BG228" s="178"/>
      <c r="BH228" s="178"/>
      <c r="BI228" s="178"/>
      <c r="BJ228" s="178"/>
      <c r="BK228" s="178"/>
      <c r="BL228" s="178"/>
      <c r="BM228" s="178"/>
      <c r="BN228" s="178"/>
      <c r="BO228" s="178"/>
      <c r="BP228" s="178"/>
      <c r="BQ228" s="178"/>
      <c r="BR228" s="178"/>
      <c r="BS228" s="178"/>
      <c r="BT228" s="178"/>
      <c r="BU228" s="178"/>
      <c r="BV228" s="178"/>
      <c r="BW228" s="178"/>
      <c r="BX228" s="178"/>
      <c r="BY228" s="178"/>
      <c r="BZ228" s="178"/>
      <c r="CA228" s="178"/>
      <c r="CB228" s="178"/>
      <c r="CC228" s="178"/>
      <c r="CD228" s="178"/>
      <c r="CE228" s="178"/>
      <c r="CF228" s="178"/>
      <c r="CG228" s="178"/>
      <c r="CH228" s="178"/>
      <c r="CI228" s="178"/>
      <c r="CJ228" s="178"/>
      <c r="CK228" s="178"/>
      <c r="CL228" s="178"/>
      <c r="CM228" s="178"/>
      <c r="CN228" s="179"/>
      <c r="CO228" s="179"/>
      <c r="CP228" s="179"/>
      <c r="CQ228" s="179"/>
      <c r="CR228" s="179"/>
      <c r="CS228" s="178"/>
      <c r="CT228" s="222"/>
      <c r="CU228" s="222"/>
      <c r="CV228" s="178"/>
      <c r="CW228" s="178"/>
      <c r="CX228" s="178"/>
      <c r="CY228" s="178"/>
      <c r="CZ228" s="178"/>
      <c r="DA228" s="595"/>
      <c r="DB228" s="14"/>
      <c r="DC228" s="561"/>
      <c r="DD228" s="561"/>
      <c r="DE228" s="33"/>
      <c r="DF228" s="14"/>
      <c r="DG228" s="561"/>
      <c r="DH228" s="14"/>
      <c r="DI228" s="561"/>
      <c r="DJ228" s="14"/>
      <c r="DK228" s="14"/>
      <c r="DL228" s="14"/>
      <c r="DM228" s="14"/>
      <c r="DN228" s="14"/>
      <c r="DO228" s="561"/>
      <c r="DP228" s="561"/>
      <c r="DQ228" s="14"/>
      <c r="DR228" s="14"/>
      <c r="DS228" s="561"/>
      <c r="DT228" s="561"/>
      <c r="DU228" s="561"/>
      <c r="DV228" s="14"/>
      <c r="DW228" s="561"/>
      <c r="DX228" s="14"/>
      <c r="DY228" s="14"/>
      <c r="DZ228" s="14"/>
      <c r="EA228" s="14"/>
      <c r="EB228" s="229"/>
      <c r="EC228" s="14"/>
      <c r="ED228" s="561"/>
      <c r="EE228" s="561"/>
      <c r="EF228" s="33"/>
      <c r="EG228" s="561"/>
      <c r="EH228" s="561"/>
      <c r="EI228" s="14"/>
      <c r="EJ228" s="561"/>
      <c r="EK228" s="561"/>
      <c r="EL228" s="14"/>
      <c r="EM228" s="561"/>
      <c r="EN228" s="561"/>
      <c r="EO228" s="14"/>
      <c r="EP228" s="561"/>
      <c r="EQ228" s="561"/>
      <c r="ER228" s="14"/>
      <c r="ES228" s="561"/>
      <c r="ET228" s="561"/>
      <c r="EU228" s="14"/>
      <c r="EV228" s="561"/>
      <c r="EW228" s="561"/>
      <c r="EX228" s="14"/>
      <c r="EY228" s="561"/>
      <c r="EZ228" s="561"/>
      <c r="FA228" s="561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338"/>
      <c r="FM228" s="14"/>
      <c r="FN228" s="14"/>
      <c r="FO228" s="14"/>
      <c r="FP228" s="14"/>
      <c r="FQ228" s="586"/>
      <c r="FR228" s="586"/>
      <c r="FS228" s="586"/>
      <c r="FT228" s="586"/>
      <c r="FU228" s="586"/>
      <c r="FV228" s="586"/>
      <c r="FX228" s="579"/>
      <c r="FY228" s="579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14"/>
      <c r="GM228" s="14"/>
      <c r="GN228" s="14"/>
      <c r="GO228" s="14"/>
      <c r="GP228" s="14"/>
      <c r="GQ228" s="14"/>
      <c r="GR228" s="14"/>
      <c r="GS228" s="14"/>
      <c r="GT228" s="14"/>
      <c r="GU228" s="14"/>
      <c r="GV228" s="178"/>
      <c r="GW228" s="609"/>
      <c r="GX228" s="14"/>
      <c r="GY228" s="14"/>
      <c r="GZ228" s="14"/>
      <c r="HA228" s="14"/>
      <c r="HB228" s="14"/>
      <c r="HC228" s="14"/>
      <c r="HD228" s="14"/>
      <c r="HE228" s="14"/>
      <c r="HF228" s="14"/>
      <c r="HG228" s="14"/>
      <c r="HH228" s="14"/>
      <c r="HI228" s="14"/>
      <c r="HJ228" s="14"/>
      <c r="HK228" s="14"/>
      <c r="HL228" s="14"/>
      <c r="HM228" s="14"/>
      <c r="HN228" s="14"/>
      <c r="HO228" s="14"/>
      <c r="HP228" s="14"/>
      <c r="HQ228" s="14"/>
      <c r="HR228" s="14"/>
      <c r="HS228" s="634"/>
      <c r="HT228" s="14"/>
      <c r="HU228" s="14"/>
      <c r="HV228" s="14"/>
      <c r="HW228" s="14"/>
      <c r="HX228" s="14"/>
      <c r="HY228" s="14"/>
      <c r="HZ228" s="14"/>
      <c r="IA228" s="14"/>
      <c r="IB228" s="14"/>
      <c r="IC228" s="14"/>
      <c r="ID228" s="14"/>
      <c r="IE228" s="14"/>
      <c r="IF228" s="14"/>
      <c r="IG228" s="14"/>
      <c r="IH228" s="14"/>
      <c r="II228" s="14"/>
      <c r="IJ228" s="14"/>
      <c r="IK228" s="14"/>
      <c r="IL228" s="14"/>
      <c r="IM228" s="14"/>
      <c r="IN228" s="14"/>
      <c r="IO228" s="14"/>
      <c r="IP228" s="14"/>
      <c r="IQ228" s="14"/>
      <c r="IR228" s="14"/>
      <c r="IS228" s="14"/>
      <c r="IT228" s="14"/>
      <c r="IU228" s="14"/>
      <c r="IV228" s="14"/>
      <c r="IW228" s="14"/>
      <c r="IX228" s="14"/>
      <c r="IY228" s="14"/>
      <c r="IZ228" s="14"/>
      <c r="JA228" s="14"/>
      <c r="JB228" s="14"/>
      <c r="JC228" s="14"/>
      <c r="JD228" s="14"/>
      <c r="JE228" s="14"/>
      <c r="JF228" s="14"/>
      <c r="JG228" s="14"/>
      <c r="JH228" s="14"/>
      <c r="JI228" s="14"/>
      <c r="JJ228" s="14"/>
      <c r="JK228" s="14"/>
      <c r="JL228" s="14"/>
      <c r="JM228" s="14"/>
      <c r="JN228" s="14"/>
      <c r="JO228" s="14"/>
      <c r="JP228" s="14"/>
      <c r="JQ228" s="14"/>
      <c r="JR228" s="14"/>
      <c r="JS228" s="14"/>
      <c r="JT228" s="14"/>
      <c r="JU228" s="14"/>
      <c r="JV228" s="14"/>
      <c r="JW228" s="14"/>
      <c r="JX228" s="14"/>
      <c r="JY228" s="14"/>
      <c r="JZ228" s="14"/>
    </row>
    <row r="229" spans="1:286" s="43" customFormat="1">
      <c r="A229" s="843"/>
      <c r="B229" s="843"/>
      <c r="C229" s="14"/>
      <c r="D229" s="14"/>
      <c r="E229" s="14"/>
      <c r="F229" s="14"/>
      <c r="G229" s="14"/>
      <c r="H229" s="14"/>
      <c r="I229" s="14"/>
      <c r="J229" s="14"/>
      <c r="K229" s="14"/>
      <c r="L229" s="311"/>
      <c r="M229" s="197"/>
      <c r="N229" s="197"/>
      <c r="O229" s="197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739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2"/>
      <c r="AW229" s="32"/>
      <c r="AX229" s="14"/>
      <c r="AY229" s="14"/>
      <c r="AZ229" s="14"/>
      <c r="BA229" s="14"/>
      <c r="BB229" s="14"/>
      <c r="BC229" s="14"/>
      <c r="BD229" s="14"/>
      <c r="BE229" s="14"/>
      <c r="BF229" s="178"/>
      <c r="BG229" s="178"/>
      <c r="BH229" s="178"/>
      <c r="BI229" s="178"/>
      <c r="BJ229" s="178"/>
      <c r="BK229" s="178"/>
      <c r="BL229" s="178"/>
      <c r="BM229" s="178"/>
      <c r="BN229" s="178"/>
      <c r="BO229" s="178"/>
      <c r="BP229" s="178"/>
      <c r="BQ229" s="178"/>
      <c r="BR229" s="178"/>
      <c r="BS229" s="178"/>
      <c r="BT229" s="178"/>
      <c r="BU229" s="178"/>
      <c r="BV229" s="178"/>
      <c r="BW229" s="178"/>
      <c r="BX229" s="178"/>
      <c r="BY229" s="178"/>
      <c r="BZ229" s="178"/>
      <c r="CA229" s="178"/>
      <c r="CB229" s="178"/>
      <c r="CC229" s="178"/>
      <c r="CD229" s="178"/>
      <c r="CE229" s="178"/>
      <c r="CF229" s="178"/>
      <c r="CG229" s="178"/>
      <c r="CH229" s="178"/>
      <c r="CI229" s="178"/>
      <c r="CJ229" s="178"/>
      <c r="CK229" s="178"/>
      <c r="CL229" s="178"/>
      <c r="CM229" s="178"/>
      <c r="CN229" s="179"/>
      <c r="CO229" s="179"/>
      <c r="CP229" s="179"/>
      <c r="CQ229" s="179"/>
      <c r="CR229" s="179"/>
      <c r="CS229" s="178"/>
      <c r="CT229" s="222"/>
      <c r="CU229" s="222"/>
      <c r="CV229" s="178"/>
      <c r="CW229" s="178"/>
      <c r="CX229" s="178"/>
      <c r="CY229" s="178"/>
      <c r="CZ229" s="178"/>
      <c r="DA229" s="595"/>
      <c r="DB229" s="14"/>
      <c r="DC229" s="561"/>
      <c r="DD229" s="561"/>
      <c r="DE229" s="33"/>
      <c r="DF229" s="14"/>
      <c r="DG229" s="561"/>
      <c r="DH229" s="14"/>
      <c r="DI229" s="561"/>
      <c r="DJ229" s="14"/>
      <c r="DK229" s="14"/>
      <c r="DL229" s="14"/>
      <c r="DM229" s="14"/>
      <c r="DN229" s="14"/>
      <c r="DO229" s="561"/>
      <c r="DP229" s="561"/>
      <c r="DQ229" s="14"/>
      <c r="DR229" s="14"/>
      <c r="DS229" s="561"/>
      <c r="DT229" s="561"/>
      <c r="DU229" s="561"/>
      <c r="DV229" s="14"/>
      <c r="DW229" s="561"/>
      <c r="DX229" s="14"/>
      <c r="DY229" s="14"/>
      <c r="DZ229" s="14"/>
      <c r="EA229" s="14"/>
      <c r="EB229" s="229"/>
      <c r="EC229" s="14"/>
      <c r="ED229" s="561"/>
      <c r="EE229" s="561"/>
      <c r="EF229" s="33"/>
      <c r="EG229" s="561"/>
      <c r="EH229" s="561"/>
      <c r="EI229" s="14"/>
      <c r="EJ229" s="561"/>
      <c r="EK229" s="561"/>
      <c r="EL229" s="14"/>
      <c r="EM229" s="561"/>
      <c r="EN229" s="561"/>
      <c r="EO229" s="14"/>
      <c r="EP229" s="561"/>
      <c r="EQ229" s="561"/>
      <c r="ER229" s="14"/>
      <c r="ES229" s="561"/>
      <c r="ET229" s="561"/>
      <c r="EU229" s="14"/>
      <c r="EV229" s="561"/>
      <c r="EW229" s="561"/>
      <c r="EX229" s="14"/>
      <c r="EY229" s="561"/>
      <c r="EZ229" s="561"/>
      <c r="FA229" s="561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338"/>
      <c r="FM229" s="14"/>
      <c r="FN229" s="14"/>
      <c r="FO229" s="14"/>
      <c r="FP229" s="14"/>
      <c r="FQ229" s="586"/>
      <c r="FR229" s="586"/>
      <c r="FS229" s="586"/>
      <c r="FT229" s="586"/>
      <c r="FU229" s="586"/>
      <c r="FV229" s="586"/>
      <c r="FX229" s="579"/>
      <c r="FY229" s="579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14"/>
      <c r="GM229" s="14"/>
      <c r="GN229" s="14"/>
      <c r="GO229" s="14"/>
      <c r="GP229" s="14"/>
      <c r="GQ229" s="14"/>
      <c r="GR229" s="14"/>
      <c r="GS229" s="14"/>
      <c r="GT229" s="14"/>
      <c r="GU229" s="14"/>
      <c r="GV229" s="178"/>
      <c r="GW229" s="609"/>
      <c r="GX229" s="14"/>
      <c r="GY229" s="14"/>
      <c r="GZ229" s="14"/>
      <c r="HA229" s="14"/>
      <c r="HB229" s="14"/>
      <c r="HC229" s="14"/>
      <c r="HD229" s="14"/>
      <c r="HE229" s="14"/>
      <c r="HF229" s="14"/>
      <c r="HG229" s="14"/>
      <c r="HH229" s="14"/>
      <c r="HI229" s="14"/>
      <c r="HJ229" s="14"/>
      <c r="HK229" s="14"/>
      <c r="HL229" s="14"/>
      <c r="HM229" s="14"/>
      <c r="HN229" s="14"/>
      <c r="HO229" s="14"/>
      <c r="HP229" s="14"/>
      <c r="HQ229" s="14"/>
      <c r="HR229" s="14"/>
      <c r="HS229" s="634"/>
      <c r="HT229" s="14"/>
      <c r="HU229" s="14"/>
      <c r="HV229" s="14"/>
      <c r="HW229" s="14"/>
      <c r="HX229" s="14"/>
      <c r="HY229" s="14"/>
      <c r="HZ229" s="14"/>
      <c r="IA229" s="14"/>
      <c r="IB229" s="14"/>
      <c r="IC229" s="14"/>
      <c r="ID229" s="14"/>
      <c r="IE229" s="14"/>
      <c r="IF229" s="14"/>
      <c r="IG229" s="14"/>
      <c r="IH229" s="14"/>
      <c r="II229" s="14"/>
      <c r="IJ229" s="14"/>
      <c r="IK229" s="14"/>
      <c r="IL229" s="14"/>
      <c r="IM229" s="14"/>
      <c r="IN229" s="14"/>
      <c r="IO229" s="14"/>
      <c r="IP229" s="14"/>
      <c r="IQ229" s="14"/>
      <c r="IR229" s="14"/>
      <c r="IS229" s="14"/>
      <c r="IT229" s="14"/>
      <c r="IU229" s="14"/>
      <c r="IV229" s="14"/>
      <c r="IW229" s="14"/>
      <c r="IX229" s="14"/>
      <c r="IY229" s="14"/>
      <c r="IZ229" s="14"/>
      <c r="JA229" s="14"/>
      <c r="JB229" s="14"/>
      <c r="JC229" s="14"/>
      <c r="JD229" s="14"/>
      <c r="JE229" s="14"/>
      <c r="JF229" s="14"/>
      <c r="JG229" s="14"/>
      <c r="JH229" s="14"/>
      <c r="JI229" s="14"/>
      <c r="JJ229" s="14"/>
      <c r="JK229" s="14"/>
      <c r="JL229" s="14"/>
      <c r="JM229" s="14"/>
      <c r="JN229" s="14"/>
      <c r="JO229" s="14"/>
      <c r="JP229" s="14"/>
      <c r="JQ229" s="14"/>
      <c r="JR229" s="14"/>
      <c r="JS229" s="14"/>
      <c r="JT229" s="14"/>
      <c r="JU229" s="14"/>
      <c r="JV229" s="14"/>
      <c r="JW229" s="14"/>
      <c r="JX229" s="14"/>
      <c r="JY229" s="14"/>
      <c r="JZ229" s="14"/>
    </row>
    <row r="230" spans="1:286" s="43" customFormat="1" ht="15.75" thickBot="1">
      <c r="A230" s="843"/>
      <c r="B230" s="843"/>
      <c r="C230" s="33">
        <v>2011</v>
      </c>
      <c r="D230" s="33">
        <v>2012</v>
      </c>
      <c r="E230" s="33">
        <v>2013</v>
      </c>
      <c r="F230" s="33">
        <v>2014</v>
      </c>
      <c r="G230" s="33">
        <v>2015</v>
      </c>
      <c r="H230" s="14"/>
      <c r="I230" s="14"/>
      <c r="J230" s="14"/>
      <c r="K230" s="14"/>
      <c r="L230" s="311"/>
      <c r="M230" s="197"/>
      <c r="N230" s="197"/>
      <c r="O230" s="197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739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2"/>
      <c r="AW230" s="32"/>
      <c r="AX230" s="14"/>
      <c r="AY230" s="14"/>
      <c r="AZ230" s="14"/>
      <c r="BA230" s="14"/>
      <c r="BB230" s="14"/>
      <c r="BC230" s="14"/>
      <c r="BD230" s="14"/>
      <c r="BE230" s="14"/>
      <c r="BF230" s="178"/>
      <c r="BG230" s="178"/>
      <c r="BH230" s="178"/>
      <c r="BI230" s="178"/>
      <c r="BJ230" s="178"/>
      <c r="BK230" s="178"/>
      <c r="BL230" s="178"/>
      <c r="BM230" s="178"/>
      <c r="BN230" s="178"/>
      <c r="BO230" s="178"/>
      <c r="BP230" s="178"/>
      <c r="BQ230" s="178"/>
      <c r="BR230" s="178"/>
      <c r="BS230" s="178"/>
      <c r="BT230" s="178"/>
      <c r="BU230" s="178"/>
      <c r="BV230" s="178"/>
      <c r="BW230" s="178"/>
      <c r="BX230" s="178"/>
      <c r="BY230" s="178"/>
      <c r="BZ230" s="178"/>
      <c r="CA230" s="178"/>
      <c r="CB230" s="178"/>
      <c r="CC230" s="178"/>
      <c r="CD230" s="178"/>
      <c r="CE230" s="178"/>
      <c r="CF230" s="178"/>
      <c r="CG230" s="178"/>
      <c r="CH230" s="178"/>
      <c r="CI230" s="178"/>
      <c r="CJ230" s="178"/>
      <c r="CK230" s="178"/>
      <c r="CL230" s="178"/>
      <c r="CM230" s="178"/>
      <c r="CN230" s="179"/>
      <c r="CO230" s="179"/>
      <c r="CP230" s="179"/>
      <c r="CQ230" s="179"/>
      <c r="CR230" s="179"/>
      <c r="CS230" s="178"/>
      <c r="CT230" s="222"/>
      <c r="CU230" s="222"/>
      <c r="CV230" s="178"/>
      <c r="CW230" s="178"/>
      <c r="CX230" s="178"/>
      <c r="CY230" s="178"/>
      <c r="CZ230" s="178"/>
      <c r="DA230" s="595"/>
      <c r="DB230" s="14"/>
      <c r="DC230" s="561"/>
      <c r="DD230" s="561"/>
      <c r="DE230" s="33"/>
      <c r="DF230" s="14"/>
      <c r="DG230" s="561"/>
      <c r="DH230" s="14"/>
      <c r="DI230" s="561"/>
      <c r="DJ230" s="14"/>
      <c r="DK230" s="14"/>
      <c r="DL230" s="14"/>
      <c r="DM230" s="14"/>
      <c r="DN230" s="14"/>
      <c r="DO230" s="561"/>
      <c r="DP230" s="561"/>
      <c r="DQ230" s="14"/>
      <c r="DR230" s="14"/>
      <c r="DS230" s="561"/>
      <c r="DT230" s="561"/>
      <c r="DU230" s="561"/>
      <c r="DV230" s="14"/>
      <c r="DW230" s="561"/>
      <c r="DX230" s="14"/>
      <c r="DY230" s="14"/>
      <c r="DZ230" s="14"/>
      <c r="EA230" s="14"/>
      <c r="EB230" s="229"/>
      <c r="EC230" s="14"/>
      <c r="ED230" s="561"/>
      <c r="EE230" s="561"/>
      <c r="EF230" s="33"/>
      <c r="EG230" s="561"/>
      <c r="EH230" s="561"/>
      <c r="EI230" s="14"/>
      <c r="EJ230" s="561"/>
      <c r="EK230" s="561"/>
      <c r="EL230" s="14"/>
      <c r="EM230" s="561"/>
      <c r="EN230" s="561"/>
      <c r="EO230" s="14"/>
      <c r="EP230" s="561"/>
      <c r="EQ230" s="561"/>
      <c r="ER230" s="14"/>
      <c r="ES230" s="561"/>
      <c r="ET230" s="561"/>
      <c r="EU230" s="14"/>
      <c r="EV230" s="561"/>
      <c r="EW230" s="561"/>
      <c r="EX230" s="14"/>
      <c r="EY230" s="561"/>
      <c r="EZ230" s="561"/>
      <c r="FA230" s="561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338"/>
      <c r="FM230" s="14"/>
      <c r="FN230" s="14"/>
      <c r="FO230" s="14"/>
      <c r="FP230" s="14"/>
      <c r="FQ230" s="586"/>
      <c r="FR230" s="586"/>
      <c r="FS230" s="586"/>
      <c r="FT230" s="586"/>
      <c r="FU230" s="586"/>
      <c r="FV230" s="586"/>
      <c r="FX230" s="579"/>
      <c r="FY230" s="579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14"/>
      <c r="GM230" s="14"/>
      <c r="GN230" s="14"/>
      <c r="GO230" s="14"/>
      <c r="GP230" s="14"/>
      <c r="GQ230" s="14"/>
      <c r="GR230" s="14"/>
      <c r="GS230" s="14"/>
      <c r="GT230" s="14"/>
      <c r="GU230" s="14"/>
      <c r="GV230" s="178"/>
      <c r="GW230" s="609"/>
      <c r="GX230" s="14"/>
      <c r="GY230" s="14"/>
      <c r="GZ230" s="14"/>
      <c r="HA230" s="14"/>
      <c r="HB230" s="14"/>
      <c r="HC230" s="14"/>
      <c r="HD230" s="14"/>
      <c r="HE230" s="14"/>
      <c r="HF230" s="14"/>
      <c r="HG230" s="14"/>
      <c r="HH230" s="14"/>
      <c r="HI230" s="14"/>
      <c r="HJ230" s="14"/>
      <c r="HK230" s="14"/>
      <c r="HL230" s="14"/>
      <c r="HM230" s="14"/>
      <c r="HN230" s="14"/>
      <c r="HO230" s="14"/>
      <c r="HP230" s="14"/>
      <c r="HQ230" s="14"/>
      <c r="HR230" s="14"/>
      <c r="HS230" s="634"/>
      <c r="HT230" s="14"/>
      <c r="HU230" s="14"/>
      <c r="HV230" s="14"/>
      <c r="HW230" s="14"/>
      <c r="HX230" s="14"/>
      <c r="HY230" s="14"/>
      <c r="HZ230" s="14"/>
      <c r="IA230" s="14"/>
      <c r="IB230" s="14"/>
      <c r="IC230" s="14"/>
      <c r="ID230" s="14"/>
      <c r="IE230" s="14"/>
      <c r="IF230" s="14"/>
      <c r="IG230" s="14"/>
      <c r="IH230" s="14"/>
      <c r="II230" s="14"/>
      <c r="IJ230" s="14"/>
      <c r="IK230" s="14"/>
      <c r="IL230" s="14"/>
      <c r="IM230" s="14"/>
      <c r="IN230" s="14"/>
      <c r="IO230" s="14"/>
      <c r="IP230" s="14"/>
      <c r="IQ230" s="14"/>
      <c r="IR230" s="14"/>
      <c r="IS230" s="14"/>
      <c r="IT230" s="14"/>
      <c r="IU230" s="14"/>
      <c r="IV230" s="14"/>
      <c r="IW230" s="14"/>
      <c r="IX230" s="14"/>
      <c r="IY230" s="14"/>
      <c r="IZ230" s="14"/>
      <c r="JA230" s="14"/>
      <c r="JB230" s="14"/>
      <c r="JC230" s="14"/>
      <c r="JD230" s="14"/>
      <c r="JE230" s="14"/>
      <c r="JF230" s="14"/>
      <c r="JG230" s="14"/>
      <c r="JH230" s="14"/>
      <c r="JI230" s="14"/>
      <c r="JJ230" s="14"/>
      <c r="JK230" s="14"/>
      <c r="JL230" s="14"/>
      <c r="JM230" s="14"/>
      <c r="JN230" s="14"/>
      <c r="JO230" s="14"/>
      <c r="JP230" s="14"/>
      <c r="JQ230" s="14"/>
      <c r="JR230" s="14"/>
      <c r="JS230" s="14"/>
      <c r="JT230" s="14"/>
      <c r="JU230" s="14"/>
      <c r="JV230" s="14"/>
      <c r="JW230" s="14"/>
      <c r="JX230" s="14"/>
      <c r="JY230" s="14"/>
      <c r="JZ230" s="14"/>
    </row>
    <row r="231" spans="1:286" s="43" customFormat="1">
      <c r="A231" s="846" t="s">
        <v>64</v>
      </c>
      <c r="B231" s="846"/>
      <c r="C231" s="152">
        <f t="shared" ref="C231:C236" si="445">SUMPRODUCT((Notaire=A231)*(Prog=$C$230))</f>
        <v>0</v>
      </c>
      <c r="D231" s="152">
        <f t="shared" ref="D231:D236" si="446">SUMPRODUCT((Notaire=A231)*(Prog=$D$230))</f>
        <v>0</v>
      </c>
      <c r="E231" s="152">
        <f t="shared" ref="E231:E236" si="447">SUMPRODUCT((Notaire=A231)*(Prog=$E$230))</f>
        <v>0</v>
      </c>
      <c r="F231" s="152">
        <f t="shared" ref="F231:F236" si="448">SUMPRODUCT((Notaire=A231)*(Prog=$F$230))</f>
        <v>2</v>
      </c>
      <c r="G231" s="152">
        <f t="shared" ref="G231:G236" si="449">SUMPRODUCT((Notaire=A231)*(Prog=$G$230))</f>
        <v>1</v>
      </c>
      <c r="H231" s="14"/>
      <c r="I231" s="14"/>
      <c r="J231" s="14"/>
      <c r="K231" s="14"/>
      <c r="L231" s="311"/>
      <c r="M231" s="197"/>
      <c r="N231" s="197"/>
      <c r="O231" s="197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739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2"/>
      <c r="AW231" s="32"/>
      <c r="AX231" s="14"/>
      <c r="AY231" s="14"/>
      <c r="AZ231" s="14"/>
      <c r="BA231" s="14"/>
      <c r="BB231" s="14"/>
      <c r="BC231" s="14"/>
      <c r="BD231" s="14"/>
      <c r="BE231" s="14"/>
      <c r="BF231" s="178"/>
      <c r="BG231" s="178"/>
      <c r="BH231" s="178"/>
      <c r="BI231" s="178"/>
      <c r="BJ231" s="178"/>
      <c r="BK231" s="178"/>
      <c r="BL231" s="178"/>
      <c r="BM231" s="178"/>
      <c r="BN231" s="178"/>
      <c r="BO231" s="178"/>
      <c r="BP231" s="178"/>
      <c r="BQ231" s="178"/>
      <c r="BR231" s="178"/>
      <c r="BS231" s="178"/>
      <c r="BT231" s="178"/>
      <c r="BU231" s="178"/>
      <c r="BV231" s="178"/>
      <c r="BW231" s="178"/>
      <c r="BX231" s="178"/>
      <c r="BY231" s="178"/>
      <c r="BZ231" s="178"/>
      <c r="CA231" s="178"/>
      <c r="CB231" s="178"/>
      <c r="CC231" s="178"/>
      <c r="CD231" s="178"/>
      <c r="CE231" s="178"/>
      <c r="CF231" s="178"/>
      <c r="CG231" s="178"/>
      <c r="CH231" s="178"/>
      <c r="CI231" s="178"/>
      <c r="CJ231" s="178"/>
      <c r="CK231" s="178"/>
      <c r="CL231" s="178"/>
      <c r="CM231" s="178"/>
      <c r="CN231" s="179"/>
      <c r="CO231" s="179"/>
      <c r="CP231" s="179"/>
      <c r="CQ231" s="179"/>
      <c r="CR231" s="179"/>
      <c r="CS231" s="178"/>
      <c r="CT231" s="222"/>
      <c r="CU231" s="222"/>
      <c r="CV231" s="178"/>
      <c r="CW231" s="178"/>
      <c r="CX231" s="178"/>
      <c r="CY231" s="178"/>
      <c r="CZ231" s="178"/>
      <c r="DA231" s="595"/>
      <c r="DB231" s="14"/>
      <c r="DC231" s="561"/>
      <c r="DD231" s="561"/>
      <c r="DE231" s="33"/>
      <c r="DF231" s="14"/>
      <c r="DG231" s="561"/>
      <c r="DH231" s="14"/>
      <c r="DI231" s="561"/>
      <c r="DJ231" s="14"/>
      <c r="DK231" s="14"/>
      <c r="DL231" s="14"/>
      <c r="DM231" s="14"/>
      <c r="DN231" s="14"/>
      <c r="DO231" s="561"/>
      <c r="DP231" s="561"/>
      <c r="DQ231" s="14"/>
      <c r="DR231" s="14"/>
      <c r="DS231" s="561"/>
      <c r="DT231" s="561"/>
      <c r="DU231" s="561"/>
      <c r="DV231" s="14"/>
      <c r="DW231" s="561"/>
      <c r="DX231" s="14"/>
      <c r="DY231" s="14"/>
      <c r="DZ231" s="14"/>
      <c r="EA231" s="14"/>
      <c r="EB231" s="229"/>
      <c r="EC231" s="14"/>
      <c r="ED231" s="561"/>
      <c r="EE231" s="561"/>
      <c r="EF231" s="33"/>
      <c r="EG231" s="561"/>
      <c r="EH231" s="561"/>
      <c r="EI231" s="14"/>
      <c r="EJ231" s="561"/>
      <c r="EK231" s="561"/>
      <c r="EL231" s="14"/>
      <c r="EM231" s="561"/>
      <c r="EN231" s="561"/>
      <c r="EO231" s="14"/>
      <c r="EP231" s="561"/>
      <c r="EQ231" s="561"/>
      <c r="ER231" s="14"/>
      <c r="ES231" s="561"/>
      <c r="ET231" s="561"/>
      <c r="EU231" s="14"/>
      <c r="EV231" s="561"/>
      <c r="EW231" s="561"/>
      <c r="EX231" s="14"/>
      <c r="EY231" s="561"/>
      <c r="EZ231" s="561"/>
      <c r="FA231" s="561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338"/>
      <c r="FM231" s="14"/>
      <c r="FN231" s="14"/>
      <c r="FO231" s="14"/>
      <c r="FP231" s="14"/>
      <c r="FQ231" s="586"/>
      <c r="FR231" s="586"/>
      <c r="FS231" s="586"/>
      <c r="FT231" s="586"/>
      <c r="FU231" s="586"/>
      <c r="FV231" s="586"/>
      <c r="FX231" s="579"/>
      <c r="FY231" s="579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14"/>
      <c r="GM231" s="14"/>
      <c r="GN231" s="14"/>
      <c r="GO231" s="14"/>
      <c r="GP231" s="14"/>
      <c r="GQ231" s="14"/>
      <c r="GR231" s="14"/>
      <c r="GS231" s="14"/>
      <c r="GT231" s="14"/>
      <c r="GU231" s="14"/>
      <c r="GV231" s="178"/>
      <c r="GW231" s="609"/>
      <c r="GX231" s="14"/>
      <c r="GY231" s="14"/>
      <c r="GZ231" s="14"/>
      <c r="HA231" s="14"/>
      <c r="HB231" s="14"/>
      <c r="HC231" s="14"/>
      <c r="HD231" s="14"/>
      <c r="HE231" s="14"/>
      <c r="HF231" s="14"/>
      <c r="HG231" s="14"/>
      <c r="HH231" s="14"/>
      <c r="HI231" s="14"/>
      <c r="HJ231" s="14"/>
      <c r="HK231" s="14"/>
      <c r="HL231" s="14"/>
      <c r="HM231" s="14"/>
      <c r="HN231" s="14"/>
      <c r="HO231" s="14"/>
      <c r="HP231" s="14"/>
      <c r="HQ231" s="14"/>
      <c r="HR231" s="14"/>
      <c r="HS231" s="634"/>
      <c r="HT231" s="14"/>
      <c r="HU231" s="14"/>
      <c r="HV231" s="14"/>
      <c r="HW231" s="14"/>
      <c r="HX231" s="14"/>
      <c r="HY231" s="14"/>
      <c r="HZ231" s="14"/>
      <c r="IA231" s="14"/>
      <c r="IB231" s="14"/>
      <c r="IC231" s="14"/>
      <c r="ID231" s="14"/>
      <c r="IE231" s="14"/>
      <c r="IF231" s="14"/>
      <c r="IG231" s="14"/>
      <c r="IH231" s="14"/>
      <c r="II231" s="14"/>
      <c r="IJ231" s="14"/>
      <c r="IK231" s="14"/>
      <c r="IL231" s="14"/>
      <c r="IM231" s="14"/>
      <c r="IN231" s="14"/>
      <c r="IO231" s="14"/>
      <c r="IP231" s="14"/>
      <c r="IQ231" s="14"/>
      <c r="IR231" s="14"/>
      <c r="IS231" s="14"/>
      <c r="IT231" s="14"/>
      <c r="IU231" s="14"/>
      <c r="IV231" s="14"/>
      <c r="IW231" s="14"/>
      <c r="IX231" s="14"/>
      <c r="IY231" s="14"/>
      <c r="IZ231" s="14"/>
      <c r="JA231" s="14"/>
      <c r="JB231" s="14"/>
      <c r="JC231" s="14"/>
      <c r="JD231" s="14"/>
      <c r="JE231" s="14"/>
      <c r="JF231" s="14"/>
      <c r="JG231" s="14"/>
      <c r="JH231" s="14"/>
      <c r="JI231" s="14"/>
      <c r="JJ231" s="14"/>
      <c r="JK231" s="14"/>
      <c r="JL231" s="14"/>
      <c r="JM231" s="14"/>
      <c r="JN231" s="14"/>
      <c r="JO231" s="14"/>
      <c r="JP231" s="14"/>
      <c r="JQ231" s="14"/>
      <c r="JR231" s="14"/>
      <c r="JS231" s="14"/>
      <c r="JT231" s="14"/>
      <c r="JU231" s="14"/>
      <c r="JV231" s="14"/>
      <c r="JW231" s="14"/>
      <c r="JX231" s="14"/>
      <c r="JY231" s="14"/>
      <c r="JZ231" s="14"/>
    </row>
    <row r="232" spans="1:286" s="43" customFormat="1">
      <c r="A232" s="847" t="s">
        <v>182</v>
      </c>
      <c r="B232" s="847"/>
      <c r="C232" s="153">
        <f t="shared" si="445"/>
        <v>1</v>
      </c>
      <c r="D232" s="153">
        <f t="shared" si="446"/>
        <v>0</v>
      </c>
      <c r="E232" s="153">
        <f t="shared" si="447"/>
        <v>0</v>
      </c>
      <c r="F232" s="153">
        <f t="shared" si="448"/>
        <v>0</v>
      </c>
      <c r="G232" s="153">
        <f t="shared" si="449"/>
        <v>0</v>
      </c>
      <c r="H232" s="14"/>
      <c r="I232" s="14"/>
      <c r="J232" s="14"/>
      <c r="K232" s="14"/>
      <c r="L232" s="311"/>
      <c r="M232" s="197"/>
      <c r="N232" s="197"/>
      <c r="O232" s="197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739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2"/>
      <c r="AW232" s="32"/>
      <c r="AX232" s="14"/>
      <c r="AY232" s="14"/>
      <c r="AZ232" s="14"/>
      <c r="BA232" s="14"/>
      <c r="BB232" s="14"/>
      <c r="BC232" s="14"/>
      <c r="BD232" s="14"/>
      <c r="BE232" s="14"/>
      <c r="BF232" s="178"/>
      <c r="BG232" s="178"/>
      <c r="BH232" s="178"/>
      <c r="BI232" s="178"/>
      <c r="BJ232" s="178"/>
      <c r="BK232" s="178"/>
      <c r="BL232" s="178"/>
      <c r="BM232" s="178"/>
      <c r="BN232" s="178"/>
      <c r="BO232" s="178"/>
      <c r="BP232" s="178"/>
      <c r="BQ232" s="178"/>
      <c r="BR232" s="178"/>
      <c r="BS232" s="178"/>
      <c r="BT232" s="178"/>
      <c r="BU232" s="178"/>
      <c r="BV232" s="178"/>
      <c r="BW232" s="178"/>
      <c r="BX232" s="178"/>
      <c r="BY232" s="178"/>
      <c r="BZ232" s="178"/>
      <c r="CA232" s="178"/>
      <c r="CB232" s="178"/>
      <c r="CC232" s="178"/>
      <c r="CD232" s="178"/>
      <c r="CE232" s="178"/>
      <c r="CF232" s="178"/>
      <c r="CG232" s="178"/>
      <c r="CH232" s="178"/>
      <c r="CI232" s="178"/>
      <c r="CJ232" s="178"/>
      <c r="CK232" s="178"/>
      <c r="CL232" s="178"/>
      <c r="CM232" s="178"/>
      <c r="CN232" s="179"/>
      <c r="CO232" s="179"/>
      <c r="CP232" s="179"/>
      <c r="CQ232" s="179"/>
      <c r="CR232" s="179"/>
      <c r="CS232" s="178"/>
      <c r="CT232" s="222"/>
      <c r="CU232" s="222"/>
      <c r="CV232" s="178"/>
      <c r="CW232" s="178"/>
      <c r="CX232" s="178"/>
      <c r="CY232" s="178"/>
      <c r="CZ232" s="178"/>
      <c r="DA232" s="595"/>
      <c r="DB232" s="14"/>
      <c r="DC232" s="561"/>
      <c r="DD232" s="561"/>
      <c r="DE232" s="33"/>
      <c r="DF232" s="14"/>
      <c r="DG232" s="561"/>
      <c r="DH232" s="14"/>
      <c r="DI232" s="561"/>
      <c r="DJ232" s="14"/>
      <c r="DK232" s="14"/>
      <c r="DL232" s="14"/>
      <c r="DM232" s="14"/>
      <c r="DN232" s="14"/>
      <c r="DO232" s="561"/>
      <c r="DP232" s="561"/>
      <c r="DQ232" s="14"/>
      <c r="DR232" s="14"/>
      <c r="DS232" s="561"/>
      <c r="DT232" s="561"/>
      <c r="DU232" s="561"/>
      <c r="DV232" s="14"/>
      <c r="DW232" s="561"/>
      <c r="DX232" s="14"/>
      <c r="DY232" s="14"/>
      <c r="DZ232" s="14"/>
      <c r="EA232" s="14"/>
      <c r="EB232" s="229"/>
      <c r="EC232" s="14"/>
      <c r="ED232" s="561"/>
      <c r="EE232" s="561"/>
      <c r="EF232" s="33"/>
      <c r="EG232" s="561"/>
      <c r="EH232" s="561"/>
      <c r="EI232" s="14"/>
      <c r="EJ232" s="561"/>
      <c r="EK232" s="561"/>
      <c r="EL232" s="14"/>
      <c r="EM232" s="561"/>
      <c r="EN232" s="561"/>
      <c r="EO232" s="14"/>
      <c r="EP232" s="561"/>
      <c r="EQ232" s="561"/>
      <c r="ER232" s="14"/>
      <c r="ES232" s="561"/>
      <c r="ET232" s="561"/>
      <c r="EU232" s="14"/>
      <c r="EV232" s="561"/>
      <c r="EW232" s="561"/>
      <c r="EX232" s="14"/>
      <c r="EY232" s="561"/>
      <c r="EZ232" s="561"/>
      <c r="FA232" s="561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338"/>
      <c r="FM232" s="14"/>
      <c r="FN232" s="14"/>
      <c r="FO232" s="14"/>
      <c r="FP232" s="14"/>
      <c r="FQ232" s="586"/>
      <c r="FR232" s="586"/>
      <c r="FS232" s="586"/>
      <c r="FT232" s="586"/>
      <c r="FU232" s="586"/>
      <c r="FV232" s="586"/>
      <c r="FX232" s="579"/>
      <c r="FY232" s="579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14"/>
      <c r="GM232" s="14"/>
      <c r="GN232" s="14"/>
      <c r="GO232" s="14"/>
      <c r="GP232" s="14"/>
      <c r="GQ232" s="14"/>
      <c r="GR232" s="14"/>
      <c r="GS232" s="14"/>
      <c r="GT232" s="14"/>
      <c r="GU232" s="14"/>
      <c r="GV232" s="178"/>
      <c r="GW232" s="609"/>
      <c r="GX232" s="14"/>
      <c r="GY232" s="14"/>
      <c r="GZ232" s="14"/>
      <c r="HA232" s="14"/>
      <c r="HB232" s="14"/>
      <c r="HC232" s="14"/>
      <c r="HD232" s="14"/>
      <c r="HE232" s="14"/>
      <c r="HF232" s="14"/>
      <c r="HG232" s="14"/>
      <c r="HH232" s="14"/>
      <c r="HI232" s="14"/>
      <c r="HJ232" s="14"/>
      <c r="HK232" s="14"/>
      <c r="HL232" s="14"/>
      <c r="HM232" s="14"/>
      <c r="HN232" s="14"/>
      <c r="HO232" s="14"/>
      <c r="HP232" s="14"/>
      <c r="HQ232" s="14"/>
      <c r="HR232" s="14"/>
      <c r="HS232" s="634"/>
      <c r="HT232" s="14"/>
      <c r="HU232" s="14"/>
      <c r="HV232" s="14"/>
      <c r="HW232" s="14"/>
      <c r="HX232" s="14"/>
      <c r="HY232" s="14"/>
      <c r="HZ232" s="14"/>
      <c r="IA232" s="14"/>
      <c r="IB232" s="14"/>
      <c r="IC232" s="14"/>
      <c r="ID232" s="14"/>
      <c r="IE232" s="14"/>
      <c r="IF232" s="14"/>
      <c r="IG232" s="14"/>
      <c r="IH232" s="14"/>
      <c r="II232" s="14"/>
      <c r="IJ232" s="14"/>
      <c r="IK232" s="14"/>
      <c r="IL232" s="14"/>
      <c r="IM232" s="14"/>
      <c r="IN232" s="14"/>
      <c r="IO232" s="14"/>
      <c r="IP232" s="14"/>
      <c r="IQ232" s="14"/>
      <c r="IR232" s="14"/>
      <c r="IS232" s="14"/>
      <c r="IT232" s="14"/>
      <c r="IU232" s="14"/>
      <c r="IV232" s="14"/>
      <c r="IW232" s="14"/>
      <c r="IX232" s="14"/>
      <c r="IY232" s="14"/>
      <c r="IZ232" s="14"/>
      <c r="JA232" s="14"/>
      <c r="JB232" s="14"/>
      <c r="JC232" s="14"/>
      <c r="JD232" s="14"/>
      <c r="JE232" s="14"/>
      <c r="JF232" s="14"/>
      <c r="JG232" s="14"/>
      <c r="JH232" s="14"/>
      <c r="JI232" s="14"/>
      <c r="JJ232" s="14"/>
      <c r="JK232" s="14"/>
      <c r="JL232" s="14"/>
      <c r="JM232" s="14"/>
      <c r="JN232" s="14"/>
      <c r="JO232" s="14"/>
      <c r="JP232" s="14"/>
      <c r="JQ232" s="14"/>
      <c r="JR232" s="14"/>
      <c r="JS232" s="14"/>
      <c r="JT232" s="14"/>
      <c r="JU232" s="14"/>
      <c r="JV232" s="14"/>
      <c r="JW232" s="14"/>
      <c r="JX232" s="14"/>
      <c r="JY232" s="14"/>
      <c r="JZ232" s="14"/>
    </row>
    <row r="233" spans="1:286" s="43" customFormat="1">
      <c r="A233" s="847" t="s">
        <v>144</v>
      </c>
      <c r="B233" s="847"/>
      <c r="C233" s="153">
        <f t="shared" si="445"/>
        <v>1</v>
      </c>
      <c r="D233" s="153">
        <f t="shared" si="446"/>
        <v>3</v>
      </c>
      <c r="E233" s="153">
        <f t="shared" si="447"/>
        <v>3</v>
      </c>
      <c r="F233" s="153">
        <f t="shared" si="448"/>
        <v>1</v>
      </c>
      <c r="G233" s="153">
        <f t="shared" si="449"/>
        <v>3</v>
      </c>
      <c r="H233" s="14"/>
      <c r="I233" s="14"/>
      <c r="J233" s="14"/>
      <c r="K233" s="14"/>
      <c r="L233" s="311"/>
      <c r="M233" s="197"/>
      <c r="N233" s="197"/>
      <c r="O233" s="197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739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2"/>
      <c r="AW233" s="32"/>
      <c r="AX233" s="14"/>
      <c r="AY233" s="14"/>
      <c r="AZ233" s="14"/>
      <c r="BA233" s="14"/>
      <c r="BB233" s="14"/>
      <c r="BC233" s="14"/>
      <c r="BD233" s="14"/>
      <c r="BE233" s="14"/>
      <c r="BF233" s="178"/>
      <c r="BG233" s="178"/>
      <c r="BH233" s="178"/>
      <c r="BI233" s="178"/>
      <c r="BJ233" s="178"/>
      <c r="BK233" s="178"/>
      <c r="BL233" s="178"/>
      <c r="BM233" s="178"/>
      <c r="BN233" s="178"/>
      <c r="BO233" s="178"/>
      <c r="BP233" s="178"/>
      <c r="BQ233" s="178"/>
      <c r="BR233" s="178"/>
      <c r="BS233" s="178"/>
      <c r="BT233" s="178"/>
      <c r="BU233" s="178"/>
      <c r="BV233" s="178"/>
      <c r="BW233" s="178"/>
      <c r="BX233" s="178"/>
      <c r="BY233" s="178"/>
      <c r="BZ233" s="178"/>
      <c r="CA233" s="178"/>
      <c r="CB233" s="178"/>
      <c r="CC233" s="178"/>
      <c r="CD233" s="178"/>
      <c r="CE233" s="178"/>
      <c r="CF233" s="178"/>
      <c r="CG233" s="178"/>
      <c r="CH233" s="178"/>
      <c r="CI233" s="178"/>
      <c r="CJ233" s="178"/>
      <c r="CK233" s="178"/>
      <c r="CL233" s="178"/>
      <c r="CM233" s="178"/>
      <c r="CN233" s="179"/>
      <c r="CO233" s="179"/>
      <c r="CP233" s="179"/>
      <c r="CQ233" s="179"/>
      <c r="CR233" s="179"/>
      <c r="CS233" s="178"/>
      <c r="CT233" s="222"/>
      <c r="CU233" s="222"/>
      <c r="CV233" s="178"/>
      <c r="CW233" s="178"/>
      <c r="CX233" s="178"/>
      <c r="CY233" s="178"/>
      <c r="CZ233" s="178"/>
      <c r="DA233" s="595"/>
      <c r="DB233" s="14"/>
      <c r="DC233" s="561"/>
      <c r="DD233" s="561"/>
      <c r="DE233" s="33"/>
      <c r="DF233" s="14"/>
      <c r="DG233" s="561"/>
      <c r="DH233" s="14"/>
      <c r="DI233" s="561"/>
      <c r="DJ233" s="14"/>
      <c r="DK233" s="14"/>
      <c r="DL233" s="14"/>
      <c r="DM233" s="14"/>
      <c r="DN233" s="14"/>
      <c r="DO233" s="561"/>
      <c r="DP233" s="561"/>
      <c r="DQ233" s="14"/>
      <c r="DR233" s="14"/>
      <c r="DS233" s="561"/>
      <c r="DT233" s="561"/>
      <c r="DU233" s="561"/>
      <c r="DV233" s="14"/>
      <c r="DW233" s="561"/>
      <c r="DX233" s="14"/>
      <c r="DY233" s="14"/>
      <c r="DZ233" s="14"/>
      <c r="EA233" s="14"/>
      <c r="EB233" s="229"/>
      <c r="EC233" s="14"/>
      <c r="ED233" s="561"/>
      <c r="EE233" s="561"/>
      <c r="EF233" s="33"/>
      <c r="EG233" s="561"/>
      <c r="EH233" s="561"/>
      <c r="EI233" s="14"/>
      <c r="EJ233" s="561"/>
      <c r="EK233" s="561"/>
      <c r="EL233" s="14"/>
      <c r="EM233" s="561"/>
      <c r="EN233" s="561"/>
      <c r="EO233" s="14"/>
      <c r="EP233" s="561"/>
      <c r="EQ233" s="561"/>
      <c r="ER233" s="14"/>
      <c r="ES233" s="561"/>
      <c r="ET233" s="561"/>
      <c r="EU233" s="14"/>
      <c r="EV233" s="561"/>
      <c r="EW233" s="561"/>
      <c r="EX233" s="14"/>
      <c r="EY233" s="561"/>
      <c r="EZ233" s="561"/>
      <c r="FA233" s="561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338"/>
      <c r="FM233" s="14"/>
      <c r="FN233" s="14"/>
      <c r="FO233" s="14"/>
      <c r="FP233" s="14"/>
      <c r="FQ233" s="586"/>
      <c r="FR233" s="586"/>
      <c r="FS233" s="586"/>
      <c r="FT233" s="586"/>
      <c r="FU233" s="586"/>
      <c r="FV233" s="586"/>
      <c r="FX233" s="579"/>
      <c r="FY233" s="579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14"/>
      <c r="GM233" s="14"/>
      <c r="GN233" s="14"/>
      <c r="GO233" s="14"/>
      <c r="GP233" s="14"/>
      <c r="GQ233" s="14"/>
      <c r="GR233" s="14"/>
      <c r="GS233" s="14"/>
      <c r="GT233" s="14"/>
      <c r="GU233" s="14"/>
      <c r="GV233" s="178"/>
      <c r="GW233" s="609"/>
      <c r="GX233" s="14"/>
      <c r="GY233" s="14"/>
      <c r="GZ233" s="14"/>
      <c r="HA233" s="14"/>
      <c r="HB233" s="14"/>
      <c r="HC233" s="14"/>
      <c r="HD233" s="14"/>
      <c r="HE233" s="14"/>
      <c r="HF233" s="14"/>
      <c r="HG233" s="14"/>
      <c r="HH233" s="14"/>
      <c r="HI233" s="14"/>
      <c r="HJ233" s="14"/>
      <c r="HK233" s="14"/>
      <c r="HL233" s="14"/>
      <c r="HM233" s="14"/>
      <c r="HN233" s="14"/>
      <c r="HO233" s="14"/>
      <c r="HP233" s="14"/>
      <c r="HQ233" s="14"/>
      <c r="HR233" s="14"/>
      <c r="HS233" s="634"/>
      <c r="HT233" s="14"/>
      <c r="HU233" s="14"/>
      <c r="HV233" s="14"/>
      <c r="HW233" s="14"/>
      <c r="HX233" s="14"/>
      <c r="HY233" s="14"/>
      <c r="HZ233" s="14"/>
      <c r="IA233" s="14"/>
      <c r="IB233" s="14"/>
      <c r="IC233" s="14"/>
      <c r="ID233" s="14"/>
      <c r="IE233" s="14"/>
      <c r="IF233" s="14"/>
      <c r="IG233" s="14"/>
      <c r="IH233" s="14"/>
      <c r="II233" s="14"/>
      <c r="IJ233" s="14"/>
      <c r="IK233" s="14"/>
      <c r="IL233" s="14"/>
      <c r="IM233" s="14"/>
      <c r="IN233" s="14"/>
      <c r="IO233" s="14"/>
      <c r="IP233" s="14"/>
      <c r="IQ233" s="14"/>
      <c r="IR233" s="14"/>
      <c r="IS233" s="14"/>
      <c r="IT233" s="14"/>
      <c r="IU233" s="14"/>
      <c r="IV233" s="14"/>
      <c r="IW233" s="14"/>
      <c r="IX233" s="14"/>
      <c r="IY233" s="14"/>
      <c r="IZ233" s="14"/>
      <c r="JA233" s="14"/>
      <c r="JB233" s="14"/>
      <c r="JC233" s="14"/>
      <c r="JD233" s="14"/>
      <c r="JE233" s="14"/>
      <c r="JF233" s="14"/>
      <c r="JG233" s="14"/>
      <c r="JH233" s="14"/>
      <c r="JI233" s="14"/>
      <c r="JJ233" s="14"/>
      <c r="JK233" s="14"/>
      <c r="JL233" s="14"/>
      <c r="JM233" s="14"/>
      <c r="JN233" s="14"/>
      <c r="JO233" s="14"/>
      <c r="JP233" s="14"/>
      <c r="JQ233" s="14"/>
      <c r="JR233" s="14"/>
      <c r="JS233" s="14"/>
      <c r="JT233" s="14"/>
      <c r="JU233" s="14"/>
      <c r="JV233" s="14"/>
      <c r="JW233" s="14"/>
      <c r="JX233" s="14"/>
      <c r="JY233" s="14"/>
      <c r="JZ233" s="14"/>
    </row>
    <row r="234" spans="1:286" s="43" customFormat="1">
      <c r="A234" s="847" t="s">
        <v>138</v>
      </c>
      <c r="B234" s="847"/>
      <c r="C234" s="153">
        <f t="shared" si="445"/>
        <v>1</v>
      </c>
      <c r="D234" s="153">
        <f t="shared" si="446"/>
        <v>1</v>
      </c>
      <c r="E234" s="153">
        <f t="shared" si="447"/>
        <v>2</v>
      </c>
      <c r="F234" s="153">
        <f t="shared" si="448"/>
        <v>1</v>
      </c>
      <c r="G234" s="153">
        <f t="shared" si="449"/>
        <v>0</v>
      </c>
      <c r="H234" s="14"/>
      <c r="I234" s="14"/>
      <c r="J234" s="14"/>
      <c r="K234" s="14"/>
      <c r="L234" s="311"/>
      <c r="M234" s="197"/>
      <c r="N234" s="197"/>
      <c r="O234" s="197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739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2"/>
      <c r="AW234" s="32"/>
      <c r="AX234" s="14"/>
      <c r="AY234" s="14"/>
      <c r="AZ234" s="14"/>
      <c r="BA234" s="14"/>
      <c r="BB234" s="14"/>
      <c r="BC234" s="14"/>
      <c r="BD234" s="14"/>
      <c r="BE234" s="14"/>
      <c r="BF234" s="178"/>
      <c r="BG234" s="178"/>
      <c r="BH234" s="178"/>
      <c r="BI234" s="178"/>
      <c r="BJ234" s="178"/>
      <c r="BK234" s="178"/>
      <c r="BL234" s="178"/>
      <c r="BM234" s="178"/>
      <c r="BN234" s="178"/>
      <c r="BO234" s="178"/>
      <c r="BP234" s="178"/>
      <c r="BQ234" s="178"/>
      <c r="BR234" s="178"/>
      <c r="BS234" s="178"/>
      <c r="BT234" s="178"/>
      <c r="BU234" s="178"/>
      <c r="BV234" s="178"/>
      <c r="BW234" s="178"/>
      <c r="BX234" s="178"/>
      <c r="BY234" s="178"/>
      <c r="BZ234" s="178"/>
      <c r="CA234" s="178"/>
      <c r="CB234" s="178"/>
      <c r="CC234" s="178"/>
      <c r="CD234" s="178"/>
      <c r="CE234" s="178"/>
      <c r="CF234" s="178"/>
      <c r="CG234" s="178"/>
      <c r="CH234" s="178"/>
      <c r="CI234" s="178"/>
      <c r="CJ234" s="178"/>
      <c r="CK234" s="178"/>
      <c r="CL234" s="178"/>
      <c r="CM234" s="178"/>
      <c r="CN234" s="179"/>
      <c r="CO234" s="179"/>
      <c r="CP234" s="179"/>
      <c r="CQ234" s="179"/>
      <c r="CR234" s="179"/>
      <c r="CS234" s="178"/>
      <c r="CT234" s="222"/>
      <c r="CU234" s="222"/>
      <c r="CV234" s="178"/>
      <c r="CW234" s="178"/>
      <c r="CX234" s="178"/>
      <c r="CY234" s="178"/>
      <c r="CZ234" s="178"/>
      <c r="DA234" s="595"/>
      <c r="DB234" s="14"/>
      <c r="DC234" s="561"/>
      <c r="DD234" s="561"/>
      <c r="DE234" s="33"/>
      <c r="DF234" s="14"/>
      <c r="DG234" s="561"/>
      <c r="DH234" s="14"/>
      <c r="DI234" s="561"/>
      <c r="DJ234" s="14"/>
      <c r="DK234" s="14"/>
      <c r="DL234" s="14"/>
      <c r="DM234" s="14"/>
      <c r="DN234" s="14"/>
      <c r="DO234" s="561"/>
      <c r="DP234" s="561"/>
      <c r="DQ234" s="14"/>
      <c r="DR234" s="14"/>
      <c r="DS234" s="561"/>
      <c r="DT234" s="561"/>
      <c r="DU234" s="561"/>
      <c r="DV234" s="14"/>
      <c r="DW234" s="561"/>
      <c r="DX234" s="14"/>
      <c r="DY234" s="14"/>
      <c r="DZ234" s="14"/>
      <c r="EA234" s="14"/>
      <c r="EB234" s="229"/>
      <c r="EC234" s="14"/>
      <c r="ED234" s="561"/>
      <c r="EE234" s="561"/>
      <c r="EF234" s="33"/>
      <c r="EG234" s="561"/>
      <c r="EH234" s="561"/>
      <c r="EI234" s="14"/>
      <c r="EJ234" s="561"/>
      <c r="EK234" s="561"/>
      <c r="EL234" s="14"/>
      <c r="EM234" s="561"/>
      <c r="EN234" s="561"/>
      <c r="EO234" s="14"/>
      <c r="EP234" s="561"/>
      <c r="EQ234" s="561"/>
      <c r="ER234" s="14"/>
      <c r="ES234" s="561"/>
      <c r="ET234" s="561"/>
      <c r="EU234" s="14"/>
      <c r="EV234" s="561"/>
      <c r="EW234" s="561"/>
      <c r="EX234" s="14"/>
      <c r="EY234" s="561"/>
      <c r="EZ234" s="561"/>
      <c r="FA234" s="561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338"/>
      <c r="FM234" s="14"/>
      <c r="FN234" s="14"/>
      <c r="FO234" s="14"/>
      <c r="FP234" s="14"/>
      <c r="FQ234" s="586"/>
      <c r="FR234" s="586"/>
      <c r="FS234" s="586"/>
      <c r="FT234" s="586"/>
      <c r="FU234" s="586"/>
      <c r="FV234" s="586"/>
      <c r="FX234" s="579"/>
      <c r="FY234" s="579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14"/>
      <c r="GM234" s="14"/>
      <c r="GN234" s="14"/>
      <c r="GO234" s="14"/>
      <c r="GP234" s="14"/>
      <c r="GQ234" s="14"/>
      <c r="GR234" s="14"/>
      <c r="GS234" s="14"/>
      <c r="GT234" s="14"/>
      <c r="GU234" s="14"/>
      <c r="GV234" s="178"/>
      <c r="GW234" s="609"/>
      <c r="GX234" s="14"/>
      <c r="GY234" s="14"/>
      <c r="GZ234" s="14"/>
      <c r="HA234" s="14"/>
      <c r="HB234" s="14"/>
      <c r="HC234" s="14"/>
      <c r="HD234" s="14"/>
      <c r="HE234" s="14"/>
      <c r="HF234" s="14"/>
      <c r="HG234" s="14"/>
      <c r="HH234" s="14"/>
      <c r="HI234" s="14"/>
      <c r="HJ234" s="14"/>
      <c r="HK234" s="14"/>
      <c r="HL234" s="14"/>
      <c r="HM234" s="14"/>
      <c r="HN234" s="14"/>
      <c r="HO234" s="14"/>
      <c r="HP234" s="14"/>
      <c r="HQ234" s="14"/>
      <c r="HR234" s="14"/>
      <c r="HS234" s="634"/>
      <c r="HT234" s="14"/>
      <c r="HU234" s="14"/>
      <c r="HV234" s="14"/>
      <c r="HW234" s="14"/>
      <c r="HX234" s="14"/>
      <c r="HY234" s="14"/>
      <c r="HZ234" s="14"/>
      <c r="IA234" s="14"/>
      <c r="IB234" s="14"/>
      <c r="IC234" s="14"/>
      <c r="ID234" s="14"/>
      <c r="IE234" s="14"/>
      <c r="IF234" s="14"/>
      <c r="IG234" s="14"/>
      <c r="IH234" s="14"/>
      <c r="II234" s="14"/>
      <c r="IJ234" s="14"/>
      <c r="IK234" s="14"/>
      <c r="IL234" s="14"/>
      <c r="IM234" s="14"/>
      <c r="IN234" s="14"/>
      <c r="IO234" s="14"/>
      <c r="IP234" s="14"/>
      <c r="IQ234" s="14"/>
      <c r="IR234" s="14"/>
      <c r="IS234" s="14"/>
      <c r="IT234" s="14"/>
      <c r="IU234" s="14"/>
      <c r="IV234" s="14"/>
      <c r="IW234" s="14"/>
      <c r="IX234" s="14"/>
      <c r="IY234" s="14"/>
      <c r="IZ234" s="14"/>
      <c r="JA234" s="14"/>
      <c r="JB234" s="14"/>
      <c r="JC234" s="14"/>
      <c r="JD234" s="14"/>
      <c r="JE234" s="14"/>
      <c r="JF234" s="14"/>
      <c r="JG234" s="14"/>
      <c r="JH234" s="14"/>
      <c r="JI234" s="14"/>
      <c r="JJ234" s="14"/>
      <c r="JK234" s="14"/>
      <c r="JL234" s="14"/>
      <c r="JM234" s="14"/>
      <c r="JN234" s="14"/>
      <c r="JO234" s="14"/>
      <c r="JP234" s="14"/>
      <c r="JQ234" s="14"/>
      <c r="JR234" s="14"/>
      <c r="JS234" s="14"/>
      <c r="JT234" s="14"/>
      <c r="JU234" s="14"/>
      <c r="JV234" s="14"/>
      <c r="JW234" s="14"/>
      <c r="JX234" s="14"/>
      <c r="JY234" s="14"/>
      <c r="JZ234" s="14"/>
    </row>
    <row r="235" spans="1:286" s="43" customFormat="1">
      <c r="A235" s="847" t="s">
        <v>68</v>
      </c>
      <c r="B235" s="847"/>
      <c r="C235" s="153">
        <f t="shared" si="445"/>
        <v>1</v>
      </c>
      <c r="D235" s="153">
        <f t="shared" si="446"/>
        <v>4</v>
      </c>
      <c r="E235" s="153">
        <f t="shared" si="447"/>
        <v>2</v>
      </c>
      <c r="F235" s="153">
        <f t="shared" si="448"/>
        <v>1</v>
      </c>
      <c r="G235" s="153">
        <f t="shared" si="449"/>
        <v>2</v>
      </c>
      <c r="H235" s="14"/>
      <c r="I235" s="14"/>
      <c r="J235" s="14"/>
      <c r="K235" s="14"/>
      <c r="L235" s="311"/>
      <c r="M235" s="197"/>
      <c r="N235" s="197"/>
      <c r="O235" s="197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739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2"/>
      <c r="AW235" s="32"/>
      <c r="AX235" s="14"/>
      <c r="AY235" s="14"/>
      <c r="AZ235" s="14"/>
      <c r="BA235" s="14"/>
      <c r="BB235" s="14"/>
      <c r="BC235" s="14"/>
      <c r="BD235" s="14"/>
      <c r="BE235" s="14"/>
      <c r="BF235" s="178"/>
      <c r="BG235" s="178"/>
      <c r="BH235" s="178"/>
      <c r="BI235" s="178"/>
      <c r="BJ235" s="178"/>
      <c r="BK235" s="178"/>
      <c r="BL235" s="178"/>
      <c r="BM235" s="178"/>
      <c r="BN235" s="178"/>
      <c r="BO235" s="178"/>
      <c r="BP235" s="178"/>
      <c r="BQ235" s="178"/>
      <c r="BR235" s="178"/>
      <c r="BS235" s="178"/>
      <c r="BT235" s="178"/>
      <c r="BU235" s="178"/>
      <c r="BV235" s="178"/>
      <c r="BW235" s="178"/>
      <c r="BX235" s="178"/>
      <c r="BY235" s="178"/>
      <c r="BZ235" s="178"/>
      <c r="CA235" s="178"/>
      <c r="CB235" s="178"/>
      <c r="CC235" s="178"/>
      <c r="CD235" s="178"/>
      <c r="CE235" s="178"/>
      <c r="CF235" s="178"/>
      <c r="CG235" s="178"/>
      <c r="CH235" s="178"/>
      <c r="CI235" s="178"/>
      <c r="CJ235" s="178"/>
      <c r="CK235" s="178"/>
      <c r="CL235" s="178"/>
      <c r="CM235" s="178"/>
      <c r="CN235" s="179"/>
      <c r="CO235" s="179"/>
      <c r="CP235" s="179"/>
      <c r="CQ235" s="179"/>
      <c r="CR235" s="179"/>
      <c r="CS235" s="178"/>
      <c r="CT235" s="222"/>
      <c r="CU235" s="222"/>
      <c r="CV235" s="178"/>
      <c r="CW235" s="178"/>
      <c r="CX235" s="178"/>
      <c r="CY235" s="178"/>
      <c r="CZ235" s="178"/>
      <c r="DA235" s="595"/>
      <c r="DB235" s="14"/>
      <c r="DC235" s="561"/>
      <c r="DD235" s="561"/>
      <c r="DE235" s="33"/>
      <c r="DF235" s="14"/>
      <c r="DG235" s="561"/>
      <c r="DH235" s="14"/>
      <c r="DI235" s="561"/>
      <c r="DJ235" s="14"/>
      <c r="DK235" s="14"/>
      <c r="DL235" s="14"/>
      <c r="DM235" s="14"/>
      <c r="DN235" s="14"/>
      <c r="DO235" s="561"/>
      <c r="DP235" s="561"/>
      <c r="DQ235" s="14"/>
      <c r="DR235" s="14"/>
      <c r="DS235" s="561"/>
      <c r="DT235" s="561"/>
      <c r="DU235" s="561"/>
      <c r="DV235" s="14"/>
      <c r="DW235" s="561"/>
      <c r="DX235" s="14"/>
      <c r="DY235" s="14"/>
      <c r="DZ235" s="14"/>
      <c r="EA235" s="14"/>
      <c r="EB235" s="229"/>
      <c r="EC235" s="14"/>
      <c r="ED235" s="561"/>
      <c r="EE235" s="561"/>
      <c r="EF235" s="33"/>
      <c r="EG235" s="561"/>
      <c r="EH235" s="561"/>
      <c r="EI235" s="14"/>
      <c r="EJ235" s="561"/>
      <c r="EK235" s="561"/>
      <c r="EL235" s="14"/>
      <c r="EM235" s="561"/>
      <c r="EN235" s="561"/>
      <c r="EO235" s="14"/>
      <c r="EP235" s="561"/>
      <c r="EQ235" s="561"/>
      <c r="ER235" s="14"/>
      <c r="ES235" s="561"/>
      <c r="ET235" s="561"/>
      <c r="EU235" s="14"/>
      <c r="EV235" s="561"/>
      <c r="EW235" s="561"/>
      <c r="EX235" s="14"/>
      <c r="EY235" s="561"/>
      <c r="EZ235" s="561"/>
      <c r="FA235" s="561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338"/>
      <c r="FM235" s="14"/>
      <c r="FN235" s="14"/>
      <c r="FO235" s="14"/>
      <c r="FP235" s="14"/>
      <c r="FQ235" s="586"/>
      <c r="FR235" s="586"/>
      <c r="FS235" s="586"/>
      <c r="FT235" s="586"/>
      <c r="FU235" s="586"/>
      <c r="FV235" s="586"/>
      <c r="FX235" s="579"/>
      <c r="FY235" s="579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14"/>
      <c r="GM235" s="14"/>
      <c r="GN235" s="14"/>
      <c r="GO235" s="14"/>
      <c r="GP235" s="14"/>
      <c r="GQ235" s="14"/>
      <c r="GR235" s="14"/>
      <c r="GS235" s="14"/>
      <c r="GT235" s="14"/>
      <c r="GU235" s="14"/>
      <c r="GV235" s="178"/>
      <c r="GW235" s="609"/>
      <c r="GX235" s="14"/>
      <c r="GY235" s="14"/>
      <c r="GZ235" s="14"/>
      <c r="HA235" s="14"/>
      <c r="HB235" s="14"/>
      <c r="HC235" s="14"/>
      <c r="HD235" s="14"/>
      <c r="HE235" s="14"/>
      <c r="HF235" s="14"/>
      <c r="HG235" s="14"/>
      <c r="HH235" s="14"/>
      <c r="HI235" s="14"/>
      <c r="HJ235" s="14"/>
      <c r="HK235" s="14"/>
      <c r="HL235" s="14"/>
      <c r="HM235" s="14"/>
      <c r="HN235" s="14"/>
      <c r="HO235" s="14"/>
      <c r="HP235" s="14"/>
      <c r="HQ235" s="14"/>
      <c r="HR235" s="14"/>
      <c r="HS235" s="634"/>
      <c r="HT235" s="14"/>
      <c r="HU235" s="14"/>
      <c r="HV235" s="14"/>
      <c r="HW235" s="14"/>
      <c r="HX235" s="14"/>
      <c r="HY235" s="14"/>
      <c r="HZ235" s="14"/>
      <c r="IA235" s="14"/>
      <c r="IB235" s="14"/>
      <c r="IC235" s="14"/>
      <c r="ID235" s="14"/>
      <c r="IE235" s="14"/>
      <c r="IF235" s="14"/>
      <c r="IG235" s="14"/>
      <c r="IH235" s="14"/>
      <c r="II235" s="14"/>
      <c r="IJ235" s="14"/>
      <c r="IK235" s="14"/>
      <c r="IL235" s="14"/>
      <c r="IM235" s="14"/>
      <c r="IN235" s="14"/>
      <c r="IO235" s="14"/>
      <c r="IP235" s="14"/>
      <c r="IQ235" s="14"/>
      <c r="IR235" s="14"/>
      <c r="IS235" s="14"/>
      <c r="IT235" s="14"/>
      <c r="IU235" s="14"/>
      <c r="IV235" s="14"/>
      <c r="IW235" s="14"/>
      <c r="IX235" s="14"/>
      <c r="IY235" s="14"/>
      <c r="IZ235" s="14"/>
      <c r="JA235" s="14"/>
      <c r="JB235" s="14"/>
      <c r="JC235" s="14"/>
      <c r="JD235" s="14"/>
      <c r="JE235" s="14"/>
      <c r="JF235" s="14"/>
      <c r="JG235" s="14"/>
      <c r="JH235" s="14"/>
      <c r="JI235" s="14"/>
      <c r="JJ235" s="14"/>
      <c r="JK235" s="14"/>
      <c r="JL235" s="14"/>
      <c r="JM235" s="14"/>
      <c r="JN235" s="14"/>
      <c r="JO235" s="14"/>
      <c r="JP235" s="14"/>
      <c r="JQ235" s="14"/>
      <c r="JR235" s="14"/>
      <c r="JS235" s="14"/>
      <c r="JT235" s="14"/>
      <c r="JU235" s="14"/>
      <c r="JV235" s="14"/>
      <c r="JW235" s="14"/>
      <c r="JX235" s="14"/>
      <c r="JY235" s="14"/>
      <c r="JZ235" s="14"/>
    </row>
    <row r="236" spans="1:286" s="43" customFormat="1">
      <c r="A236" s="847" t="s">
        <v>149</v>
      </c>
      <c r="B236" s="847"/>
      <c r="C236" s="153">
        <f t="shared" si="445"/>
        <v>0</v>
      </c>
      <c r="D236" s="153">
        <f t="shared" si="446"/>
        <v>3</v>
      </c>
      <c r="E236" s="153">
        <f t="shared" si="447"/>
        <v>3</v>
      </c>
      <c r="F236" s="153">
        <f t="shared" si="448"/>
        <v>1</v>
      </c>
      <c r="G236" s="153">
        <f t="shared" si="449"/>
        <v>0</v>
      </c>
      <c r="H236" s="14"/>
      <c r="I236" s="14"/>
      <c r="J236" s="14"/>
      <c r="K236" s="14"/>
      <c r="L236" s="311"/>
      <c r="M236" s="197"/>
      <c r="N236" s="197"/>
      <c r="O236" s="197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739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2"/>
      <c r="AW236" s="32"/>
      <c r="AX236" s="14"/>
      <c r="AY236" s="14"/>
      <c r="AZ236" s="14"/>
      <c r="BA236" s="14"/>
      <c r="BB236" s="14"/>
      <c r="BC236" s="14"/>
      <c r="BD236" s="14"/>
      <c r="BE236" s="14"/>
      <c r="BF236" s="178"/>
      <c r="BG236" s="178"/>
      <c r="BH236" s="178"/>
      <c r="BI236" s="178"/>
      <c r="BJ236" s="178"/>
      <c r="BK236" s="178"/>
      <c r="BL236" s="178"/>
      <c r="BM236" s="178"/>
      <c r="BN236" s="178"/>
      <c r="BO236" s="178"/>
      <c r="BP236" s="178"/>
      <c r="BQ236" s="178"/>
      <c r="BR236" s="178"/>
      <c r="BS236" s="178"/>
      <c r="BT236" s="178"/>
      <c r="BU236" s="178"/>
      <c r="BV236" s="178"/>
      <c r="BW236" s="178"/>
      <c r="BX236" s="178"/>
      <c r="BY236" s="178"/>
      <c r="BZ236" s="178"/>
      <c r="CA236" s="178"/>
      <c r="CB236" s="178"/>
      <c r="CC236" s="178"/>
      <c r="CD236" s="178"/>
      <c r="CE236" s="178"/>
      <c r="CF236" s="178"/>
      <c r="CG236" s="178"/>
      <c r="CH236" s="178"/>
      <c r="CI236" s="178"/>
      <c r="CJ236" s="178"/>
      <c r="CK236" s="178"/>
      <c r="CL236" s="178"/>
      <c r="CM236" s="178"/>
      <c r="CN236" s="179"/>
      <c r="CO236" s="179"/>
      <c r="CP236" s="179"/>
      <c r="CQ236" s="179"/>
      <c r="CR236" s="179"/>
      <c r="CS236" s="178"/>
      <c r="CT236" s="222"/>
      <c r="CU236" s="222"/>
      <c r="CV236" s="178"/>
      <c r="CW236" s="178"/>
      <c r="CX236" s="178"/>
      <c r="CY236" s="178"/>
      <c r="CZ236" s="178"/>
      <c r="DA236" s="595"/>
      <c r="DB236" s="14"/>
      <c r="DC236" s="561"/>
      <c r="DD236" s="561"/>
      <c r="DE236" s="33"/>
      <c r="DF236" s="14"/>
      <c r="DG236" s="561"/>
      <c r="DH236" s="14"/>
      <c r="DI236" s="561"/>
      <c r="DJ236" s="14"/>
      <c r="DK236" s="14"/>
      <c r="DL236" s="14"/>
      <c r="DM236" s="14"/>
      <c r="DN236" s="14"/>
      <c r="DO236" s="561"/>
      <c r="DP236" s="561"/>
      <c r="DQ236" s="14"/>
      <c r="DR236" s="14"/>
      <c r="DS236" s="561"/>
      <c r="DT236" s="561"/>
      <c r="DU236" s="561"/>
      <c r="DV236" s="14"/>
      <c r="DW236" s="561"/>
      <c r="DX236" s="14"/>
      <c r="DY236" s="14"/>
      <c r="DZ236" s="14"/>
      <c r="EA236" s="14"/>
      <c r="EB236" s="229"/>
      <c r="EC236" s="14"/>
      <c r="ED236" s="561"/>
      <c r="EE236" s="561"/>
      <c r="EF236" s="33"/>
      <c r="EG236" s="561"/>
      <c r="EH236" s="561"/>
      <c r="EI236" s="14"/>
      <c r="EJ236" s="561"/>
      <c r="EK236" s="561"/>
      <c r="EL236" s="14"/>
      <c r="EM236" s="561"/>
      <c r="EN236" s="561"/>
      <c r="EO236" s="14"/>
      <c r="EP236" s="561"/>
      <c r="EQ236" s="561"/>
      <c r="ER236" s="14"/>
      <c r="ES236" s="561"/>
      <c r="ET236" s="561"/>
      <c r="EU236" s="14"/>
      <c r="EV236" s="561"/>
      <c r="EW236" s="561"/>
      <c r="EX236" s="14"/>
      <c r="EY236" s="561"/>
      <c r="EZ236" s="561"/>
      <c r="FA236" s="561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338"/>
      <c r="FM236" s="14"/>
      <c r="FN236" s="14"/>
      <c r="FO236" s="14"/>
      <c r="FP236" s="14"/>
      <c r="FQ236" s="586"/>
      <c r="FR236" s="586"/>
      <c r="FS236" s="586"/>
      <c r="FT236" s="586"/>
      <c r="FU236" s="586"/>
      <c r="FV236" s="586"/>
      <c r="FX236" s="579"/>
      <c r="FY236" s="579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14"/>
      <c r="GM236" s="14"/>
      <c r="GN236" s="14"/>
      <c r="GO236" s="14"/>
      <c r="GP236" s="14"/>
      <c r="GQ236" s="14"/>
      <c r="GR236" s="14"/>
      <c r="GS236" s="14"/>
      <c r="GT236" s="14"/>
      <c r="GU236" s="14"/>
      <c r="GV236" s="178"/>
      <c r="GW236" s="609"/>
      <c r="GX236" s="14"/>
      <c r="GY236" s="14"/>
      <c r="GZ236" s="14"/>
      <c r="HA236" s="14"/>
      <c r="HB236" s="14"/>
      <c r="HC236" s="14"/>
      <c r="HD236" s="14"/>
      <c r="HE236" s="14"/>
      <c r="HF236" s="14"/>
      <c r="HG236" s="14"/>
      <c r="HH236" s="14"/>
      <c r="HI236" s="14"/>
      <c r="HJ236" s="14"/>
      <c r="HK236" s="14"/>
      <c r="HL236" s="14"/>
      <c r="HM236" s="14"/>
      <c r="HN236" s="14"/>
      <c r="HO236" s="14"/>
      <c r="HP236" s="14"/>
      <c r="HQ236" s="14"/>
      <c r="HR236" s="14"/>
      <c r="HS236" s="634"/>
      <c r="HT236" s="14"/>
      <c r="HU236" s="14"/>
      <c r="HV236" s="14"/>
      <c r="HW236" s="14"/>
      <c r="HX236" s="14"/>
      <c r="HY236" s="14"/>
      <c r="HZ236" s="14"/>
      <c r="IA236" s="14"/>
      <c r="IB236" s="14"/>
      <c r="IC236" s="14"/>
      <c r="ID236" s="14"/>
      <c r="IE236" s="14"/>
      <c r="IF236" s="14"/>
      <c r="IG236" s="14"/>
      <c r="IH236" s="14"/>
      <c r="II236" s="14"/>
      <c r="IJ236" s="14"/>
      <c r="IK236" s="14"/>
      <c r="IL236" s="14"/>
      <c r="IM236" s="14"/>
      <c r="IN236" s="14"/>
      <c r="IO236" s="14"/>
      <c r="IP236" s="14"/>
      <c r="IQ236" s="14"/>
      <c r="IR236" s="14"/>
      <c r="IS236" s="14"/>
      <c r="IT236" s="14"/>
      <c r="IU236" s="14"/>
      <c r="IV236" s="14"/>
      <c r="IW236" s="14"/>
      <c r="IX236" s="14"/>
      <c r="IY236" s="14"/>
      <c r="IZ236" s="14"/>
      <c r="JA236" s="14"/>
      <c r="JB236" s="14"/>
      <c r="JC236" s="14"/>
      <c r="JD236" s="14"/>
      <c r="JE236" s="14"/>
      <c r="JF236" s="14"/>
      <c r="JG236" s="14"/>
      <c r="JH236" s="14"/>
      <c r="JI236" s="14"/>
      <c r="JJ236" s="14"/>
      <c r="JK236" s="14"/>
      <c r="JL236" s="14"/>
      <c r="JM236" s="14"/>
      <c r="JN236" s="14"/>
      <c r="JO236" s="14"/>
      <c r="JP236" s="14"/>
      <c r="JQ236" s="14"/>
      <c r="JR236" s="14"/>
      <c r="JS236" s="14"/>
      <c r="JT236" s="14"/>
      <c r="JU236" s="14"/>
      <c r="JV236" s="14"/>
      <c r="JW236" s="14"/>
      <c r="JX236" s="14"/>
      <c r="JY236" s="14"/>
      <c r="JZ236" s="14"/>
    </row>
    <row r="237" spans="1:286" s="43" customFormat="1">
      <c r="A237" s="843"/>
      <c r="B237" s="843"/>
      <c r="C237" s="33">
        <f>SUBTOTAL(9,C231:C236)</f>
        <v>4</v>
      </c>
      <c r="D237" s="33">
        <f>SUM(D231:D236)</f>
        <v>11</v>
      </c>
      <c r="E237" s="33">
        <f>SUM(E231:E236)</f>
        <v>10</v>
      </c>
      <c r="F237" s="33">
        <f>SUM(F231:F236)</f>
        <v>6</v>
      </c>
      <c r="G237" s="33">
        <f>SUM(G231:G236)</f>
        <v>6</v>
      </c>
      <c r="H237" s="14"/>
      <c r="I237" s="14"/>
      <c r="J237" s="14"/>
      <c r="K237" s="14"/>
      <c r="L237" s="311"/>
      <c r="M237" s="197"/>
      <c r="N237" s="197"/>
      <c r="O237" s="197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739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2"/>
      <c r="AW237" s="32"/>
      <c r="AX237" s="14"/>
      <c r="AY237" s="14"/>
      <c r="AZ237" s="14"/>
      <c r="BA237" s="14"/>
      <c r="BB237" s="14"/>
      <c r="BC237" s="14"/>
      <c r="BD237" s="14"/>
      <c r="BE237" s="14"/>
      <c r="BF237" s="178"/>
      <c r="BG237" s="178"/>
      <c r="BH237" s="178"/>
      <c r="BI237" s="178"/>
      <c r="BJ237" s="178"/>
      <c r="BK237" s="178"/>
      <c r="BL237" s="178"/>
      <c r="BM237" s="178"/>
      <c r="BN237" s="178"/>
      <c r="BO237" s="178"/>
      <c r="BP237" s="178"/>
      <c r="BQ237" s="178"/>
      <c r="BR237" s="178"/>
      <c r="BS237" s="178"/>
      <c r="BT237" s="178"/>
      <c r="BU237" s="178"/>
      <c r="BV237" s="178"/>
      <c r="BW237" s="178"/>
      <c r="BX237" s="178"/>
      <c r="BY237" s="178"/>
      <c r="BZ237" s="178"/>
      <c r="CA237" s="178"/>
      <c r="CB237" s="178"/>
      <c r="CC237" s="178"/>
      <c r="CD237" s="178"/>
      <c r="CE237" s="178"/>
      <c r="CF237" s="178"/>
      <c r="CG237" s="178"/>
      <c r="CH237" s="178"/>
      <c r="CI237" s="178"/>
      <c r="CJ237" s="178"/>
      <c r="CK237" s="178"/>
      <c r="CL237" s="178"/>
      <c r="CM237" s="178"/>
      <c r="CN237" s="179"/>
      <c r="CO237" s="179"/>
      <c r="CP237" s="179"/>
      <c r="CQ237" s="179"/>
      <c r="CR237" s="179"/>
      <c r="CS237" s="178"/>
      <c r="CT237" s="222"/>
      <c r="CU237" s="222"/>
      <c r="CV237" s="178"/>
      <c r="CW237" s="178"/>
      <c r="CX237" s="178"/>
      <c r="CY237" s="178"/>
      <c r="CZ237" s="178"/>
      <c r="DA237" s="595"/>
      <c r="DB237" s="14"/>
      <c r="DC237" s="561"/>
      <c r="DD237" s="561"/>
      <c r="DE237" s="33"/>
      <c r="DF237" s="14"/>
      <c r="DG237" s="561"/>
      <c r="DH237" s="14"/>
      <c r="DI237" s="561"/>
      <c r="DJ237" s="14"/>
      <c r="DK237" s="14"/>
      <c r="DL237" s="14"/>
      <c r="DM237" s="14"/>
      <c r="DN237" s="14"/>
      <c r="DO237" s="561"/>
      <c r="DP237" s="561"/>
      <c r="DQ237" s="14"/>
      <c r="DR237" s="14"/>
      <c r="DS237" s="561"/>
      <c r="DT237" s="561"/>
      <c r="DU237" s="561"/>
      <c r="DV237" s="14"/>
      <c r="DW237" s="561"/>
      <c r="DX237" s="14"/>
      <c r="DY237" s="14"/>
      <c r="DZ237" s="14"/>
      <c r="EA237" s="14"/>
      <c r="EB237" s="229"/>
      <c r="EC237" s="14"/>
      <c r="ED237" s="561"/>
      <c r="EE237" s="561"/>
      <c r="EF237" s="33"/>
      <c r="EG237" s="561"/>
      <c r="EH237" s="561"/>
      <c r="EI237" s="14"/>
      <c r="EJ237" s="561"/>
      <c r="EK237" s="561"/>
      <c r="EL237" s="14"/>
      <c r="EM237" s="561"/>
      <c r="EN237" s="561"/>
      <c r="EO237" s="14"/>
      <c r="EP237" s="561"/>
      <c r="EQ237" s="561"/>
      <c r="ER237" s="14"/>
      <c r="ES237" s="561"/>
      <c r="ET237" s="561"/>
      <c r="EU237" s="14"/>
      <c r="EV237" s="561"/>
      <c r="EW237" s="561"/>
      <c r="EX237" s="14"/>
      <c r="EY237" s="561"/>
      <c r="EZ237" s="561"/>
      <c r="FA237" s="561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338"/>
      <c r="FM237" s="14"/>
      <c r="FN237" s="14"/>
      <c r="FO237" s="14"/>
      <c r="FP237" s="14"/>
      <c r="FQ237" s="586"/>
      <c r="FR237" s="586"/>
      <c r="FS237" s="586"/>
      <c r="FT237" s="586"/>
      <c r="FU237" s="586"/>
      <c r="FV237" s="586"/>
      <c r="FX237" s="579"/>
      <c r="FY237" s="579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14"/>
      <c r="GM237" s="14"/>
      <c r="GN237" s="14"/>
      <c r="GO237" s="14"/>
      <c r="GP237" s="14"/>
      <c r="GQ237" s="14"/>
      <c r="GR237" s="14"/>
      <c r="GS237" s="14"/>
      <c r="GT237" s="14"/>
      <c r="GU237" s="14"/>
      <c r="GV237" s="178"/>
      <c r="GW237" s="609"/>
      <c r="GX237" s="14"/>
      <c r="GY237" s="14"/>
      <c r="GZ237" s="14"/>
      <c r="HA237" s="14"/>
      <c r="HB237" s="14"/>
      <c r="HC237" s="14"/>
      <c r="HD237" s="14"/>
      <c r="HE237" s="14"/>
      <c r="HF237" s="14"/>
      <c r="HG237" s="14"/>
      <c r="HH237" s="14"/>
      <c r="HI237" s="14"/>
      <c r="HJ237" s="14"/>
      <c r="HK237" s="14"/>
      <c r="HL237" s="14"/>
      <c r="HM237" s="14"/>
      <c r="HN237" s="14"/>
      <c r="HO237" s="14"/>
      <c r="HP237" s="14"/>
      <c r="HQ237" s="14"/>
      <c r="HR237" s="14"/>
      <c r="HS237" s="634"/>
      <c r="HT237" s="14"/>
      <c r="HU237" s="14"/>
      <c r="HV237" s="14"/>
      <c r="HW237" s="14"/>
      <c r="HX237" s="14"/>
      <c r="HY237" s="14"/>
      <c r="HZ237" s="14"/>
      <c r="IA237" s="14"/>
      <c r="IB237" s="14"/>
      <c r="IC237" s="14"/>
      <c r="ID237" s="14"/>
      <c r="IE237" s="14"/>
      <c r="IF237" s="14"/>
      <c r="IG237" s="14"/>
      <c r="IH237" s="14"/>
      <c r="II237" s="14"/>
      <c r="IJ237" s="14"/>
      <c r="IK237" s="14"/>
      <c r="IL237" s="14"/>
      <c r="IM237" s="14"/>
      <c r="IN237" s="14"/>
      <c r="IO237" s="14"/>
      <c r="IP237" s="14"/>
      <c r="IQ237" s="14"/>
      <c r="IR237" s="14"/>
      <c r="IS237" s="14"/>
      <c r="IT237" s="14"/>
      <c r="IU237" s="14"/>
      <c r="IV237" s="14"/>
      <c r="IW237" s="14"/>
      <c r="IX237" s="14"/>
      <c r="IY237" s="14"/>
      <c r="IZ237" s="14"/>
      <c r="JA237" s="14"/>
      <c r="JB237" s="14"/>
      <c r="JC237" s="14"/>
      <c r="JD237" s="14"/>
      <c r="JE237" s="14"/>
      <c r="JF237" s="14"/>
      <c r="JG237" s="14"/>
      <c r="JH237" s="14"/>
      <c r="JI237" s="14"/>
      <c r="JJ237" s="14"/>
      <c r="JK237" s="14"/>
      <c r="JL237" s="14"/>
      <c r="JM237" s="14"/>
      <c r="JN237" s="14"/>
      <c r="JO237" s="14"/>
      <c r="JP237" s="14"/>
      <c r="JQ237" s="14"/>
      <c r="JR237" s="14"/>
      <c r="JS237" s="14"/>
      <c r="JT237" s="14"/>
      <c r="JU237" s="14"/>
      <c r="JV237" s="14"/>
      <c r="JW237" s="14"/>
      <c r="JX237" s="14"/>
      <c r="JY237" s="14"/>
      <c r="JZ237" s="14"/>
    </row>
    <row r="238" spans="1:286" s="43" customFormat="1">
      <c r="A238" s="843"/>
      <c r="B238" s="843"/>
      <c r="C238" s="14"/>
      <c r="D238" s="14"/>
      <c r="E238" s="14"/>
      <c r="F238" s="14"/>
      <c r="G238" s="14"/>
      <c r="H238" s="14"/>
      <c r="I238" s="14"/>
      <c r="J238" s="14"/>
      <c r="K238" s="14"/>
      <c r="L238" s="311"/>
      <c r="M238" s="197"/>
      <c r="N238" s="197"/>
      <c r="O238" s="197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739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2"/>
      <c r="AW238" s="32"/>
      <c r="AX238" s="14"/>
      <c r="AY238" s="14"/>
      <c r="AZ238" s="14"/>
      <c r="BA238" s="14"/>
      <c r="BB238" s="14"/>
      <c r="BC238" s="14"/>
      <c r="BD238" s="14"/>
      <c r="BE238" s="14"/>
      <c r="BF238" s="178"/>
      <c r="BG238" s="178"/>
      <c r="BH238" s="178"/>
      <c r="BI238" s="178"/>
      <c r="BJ238" s="178"/>
      <c r="BK238" s="178"/>
      <c r="BL238" s="178"/>
      <c r="BM238" s="178"/>
      <c r="BN238" s="178"/>
      <c r="BO238" s="178"/>
      <c r="BP238" s="178"/>
      <c r="BQ238" s="178"/>
      <c r="BR238" s="178"/>
      <c r="BS238" s="178"/>
      <c r="BT238" s="178"/>
      <c r="BU238" s="178"/>
      <c r="BV238" s="178"/>
      <c r="BW238" s="178"/>
      <c r="BX238" s="178"/>
      <c r="BY238" s="178"/>
      <c r="BZ238" s="178"/>
      <c r="CA238" s="178"/>
      <c r="CB238" s="178"/>
      <c r="CC238" s="178"/>
      <c r="CD238" s="178"/>
      <c r="CE238" s="178"/>
      <c r="CF238" s="178"/>
      <c r="CG238" s="178"/>
      <c r="CH238" s="178"/>
      <c r="CI238" s="178"/>
      <c r="CJ238" s="178"/>
      <c r="CK238" s="178"/>
      <c r="CL238" s="178"/>
      <c r="CM238" s="178"/>
      <c r="CN238" s="179"/>
      <c r="CO238" s="179"/>
      <c r="CP238" s="179"/>
      <c r="CQ238" s="179"/>
      <c r="CR238" s="179"/>
      <c r="CS238" s="178"/>
      <c r="CT238" s="222"/>
      <c r="CU238" s="222"/>
      <c r="CV238" s="178"/>
      <c r="CW238" s="178"/>
      <c r="CX238" s="178"/>
      <c r="CY238" s="178"/>
      <c r="CZ238" s="178"/>
      <c r="DA238" s="595"/>
      <c r="DB238" s="14"/>
      <c r="DC238" s="561"/>
      <c r="DD238" s="561"/>
      <c r="DE238" s="33"/>
      <c r="DF238" s="14"/>
      <c r="DG238" s="561"/>
      <c r="DH238" s="14"/>
      <c r="DI238" s="561"/>
      <c r="DJ238" s="14"/>
      <c r="DK238" s="14"/>
      <c r="DL238" s="14"/>
      <c r="DM238" s="14"/>
      <c r="DN238" s="14"/>
      <c r="DO238" s="561"/>
      <c r="DP238" s="561"/>
      <c r="DQ238" s="14"/>
      <c r="DR238" s="14"/>
      <c r="DS238" s="561"/>
      <c r="DT238" s="561"/>
      <c r="DU238" s="561"/>
      <c r="DV238" s="14"/>
      <c r="DW238" s="561"/>
      <c r="DX238" s="14"/>
      <c r="DY238" s="14"/>
      <c r="DZ238" s="14"/>
      <c r="EA238" s="14"/>
      <c r="EB238" s="229"/>
      <c r="EC238" s="14"/>
      <c r="ED238" s="561"/>
      <c r="EE238" s="561"/>
      <c r="EF238" s="33"/>
      <c r="EG238" s="561"/>
      <c r="EH238" s="561"/>
      <c r="EI238" s="14"/>
      <c r="EJ238" s="561"/>
      <c r="EK238" s="561"/>
      <c r="EL238" s="14"/>
      <c r="EM238" s="561"/>
      <c r="EN238" s="561"/>
      <c r="EO238" s="14"/>
      <c r="EP238" s="561"/>
      <c r="EQ238" s="561"/>
      <c r="ER238" s="14"/>
      <c r="ES238" s="561"/>
      <c r="ET238" s="561"/>
      <c r="EU238" s="14"/>
      <c r="EV238" s="561"/>
      <c r="EW238" s="561"/>
      <c r="EX238" s="14"/>
      <c r="EY238" s="561"/>
      <c r="EZ238" s="561"/>
      <c r="FA238" s="561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338"/>
      <c r="FM238" s="14"/>
      <c r="FN238" s="14"/>
      <c r="FO238" s="14"/>
      <c r="FP238" s="14"/>
      <c r="FQ238" s="586"/>
      <c r="FR238" s="586"/>
      <c r="FS238" s="586"/>
      <c r="FT238" s="586"/>
      <c r="FU238" s="586"/>
      <c r="FV238" s="586"/>
      <c r="FX238" s="579"/>
      <c r="FY238" s="579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14"/>
      <c r="GM238" s="14"/>
      <c r="GN238" s="14"/>
      <c r="GO238" s="14"/>
      <c r="GP238" s="14"/>
      <c r="GQ238" s="14"/>
      <c r="GR238" s="14"/>
      <c r="GS238" s="14"/>
      <c r="GT238" s="14"/>
      <c r="GU238" s="14"/>
      <c r="GV238" s="178"/>
      <c r="GW238" s="609"/>
      <c r="GX238" s="14"/>
      <c r="GY238" s="14"/>
      <c r="GZ238" s="14"/>
      <c r="HA238" s="14"/>
      <c r="HB238" s="14"/>
      <c r="HC238" s="14"/>
      <c r="HD238" s="14"/>
      <c r="HE238" s="14"/>
      <c r="HF238" s="14"/>
      <c r="HG238" s="14"/>
      <c r="HH238" s="14"/>
      <c r="HI238" s="14"/>
      <c r="HJ238" s="14"/>
      <c r="HK238" s="14"/>
      <c r="HL238" s="14"/>
      <c r="HM238" s="14"/>
      <c r="HN238" s="14"/>
      <c r="HO238" s="14"/>
      <c r="HP238" s="14"/>
      <c r="HQ238" s="14"/>
      <c r="HR238" s="14"/>
      <c r="HS238" s="634"/>
      <c r="HT238" s="14"/>
      <c r="HU238" s="14"/>
      <c r="HV238" s="14"/>
      <c r="HW238" s="14"/>
      <c r="HX238" s="14"/>
      <c r="HY238" s="14"/>
      <c r="HZ238" s="14"/>
      <c r="IA238" s="14"/>
      <c r="IB238" s="14"/>
      <c r="IC238" s="14"/>
      <c r="ID238" s="14"/>
      <c r="IE238" s="14"/>
      <c r="IF238" s="14"/>
      <c r="IG238" s="14"/>
      <c r="IH238" s="14"/>
      <c r="II238" s="14"/>
      <c r="IJ238" s="14"/>
      <c r="IK238" s="14"/>
      <c r="IL238" s="14"/>
      <c r="IM238" s="14"/>
      <c r="IN238" s="14"/>
      <c r="IO238" s="14"/>
      <c r="IP238" s="14"/>
      <c r="IQ238" s="14"/>
      <c r="IR238" s="14"/>
      <c r="IS238" s="14"/>
      <c r="IT238" s="14"/>
      <c r="IU238" s="14"/>
      <c r="IV238" s="14"/>
      <c r="IW238" s="14"/>
      <c r="IX238" s="14"/>
      <c r="IY238" s="14"/>
      <c r="IZ238" s="14"/>
      <c r="JA238" s="14"/>
      <c r="JB238" s="14"/>
      <c r="JC238" s="14"/>
      <c r="JD238" s="14"/>
      <c r="JE238" s="14"/>
      <c r="JF238" s="14"/>
      <c r="JG238" s="14"/>
      <c r="JH238" s="14"/>
      <c r="JI238" s="14"/>
      <c r="JJ238" s="14"/>
      <c r="JK238" s="14"/>
      <c r="JL238" s="14"/>
      <c r="JM238" s="14"/>
      <c r="JN238" s="14"/>
      <c r="JO238" s="14"/>
      <c r="JP238" s="14"/>
      <c r="JQ238" s="14"/>
      <c r="JR238" s="14"/>
      <c r="JS238" s="14"/>
      <c r="JT238" s="14"/>
      <c r="JU238" s="14"/>
      <c r="JV238" s="14"/>
      <c r="JW238" s="14"/>
      <c r="JX238" s="14"/>
      <c r="JY238" s="14"/>
      <c r="JZ238" s="14"/>
    </row>
  </sheetData>
  <autoFilter ref="A1:JZ128"/>
  <sortState ref="A39:A44">
    <sortCondition ref="A39"/>
  </sortState>
  <dataConsolidate/>
  <mergeCells count="6">
    <mergeCell ref="D172:E172"/>
    <mergeCell ref="N172:O172"/>
    <mergeCell ref="L172:M172"/>
    <mergeCell ref="J172:K172"/>
    <mergeCell ref="H172:I172"/>
    <mergeCell ref="F172:G172"/>
  </mergeCells>
  <conditionalFormatting sqref="EJ60">
    <cfRule type="expression" dxfId="123" priority="169">
      <formula>$AJ60&gt;TODAY()</formula>
    </cfRule>
  </conditionalFormatting>
  <conditionalFormatting sqref="EK60">
    <cfRule type="expression" dxfId="122" priority="168">
      <formula>$AL60&gt;=TODAY()</formula>
    </cfRule>
  </conditionalFormatting>
  <conditionalFormatting sqref="EG60">
    <cfRule type="expression" dxfId="121" priority="151">
      <formula>$AG60&gt;TODAY()</formula>
    </cfRule>
  </conditionalFormatting>
  <conditionalFormatting sqref="EH60">
    <cfRule type="expression" dxfId="120" priority="150">
      <formula>$AH60&gt;=TODAY()</formula>
    </cfRule>
  </conditionalFormatting>
  <conditionalFormatting sqref="DP2:DP92 DP96:DP119 DP121:DP127">
    <cfRule type="expression" dxfId="119" priority="463">
      <formula>$DP2&gt;=TODAY()</formula>
    </cfRule>
  </conditionalFormatting>
  <conditionalFormatting sqref="DO2:DO92 DO96:DO119 DO121:DO127">
    <cfRule type="expression" dxfId="118" priority="464">
      <formula>$DO2&gt;=TODAY()</formula>
    </cfRule>
  </conditionalFormatting>
  <conditionalFormatting sqref="DL32 DL9 DM2:DM92 DM96:DM119 DM121:DM127">
    <cfRule type="expression" dxfId="117" priority="465">
      <formula>$DM2&gt;=TODAY()</formula>
    </cfRule>
  </conditionalFormatting>
  <conditionalFormatting sqref="DL2:DL8 DL10:DL31 DL33:DL92 DL96:DL119 DL121:DL127">
    <cfRule type="expression" dxfId="116" priority="468">
      <formula>$DL2&gt;=TODAY()</formula>
    </cfRule>
  </conditionalFormatting>
  <conditionalFormatting sqref="DJ2:DJ92 DJ96:DJ119 DJ121:DJ127">
    <cfRule type="expression" dxfId="115" priority="471">
      <formula>$DJ2&gt;=TODAY()</formula>
    </cfRule>
  </conditionalFormatting>
  <conditionalFormatting sqref="DI2:DI92 DI96:DI119 DI121:DI127">
    <cfRule type="expression" dxfId="114" priority="472">
      <formula>$DI2&gt;=TODAY()</formula>
    </cfRule>
  </conditionalFormatting>
  <conditionalFormatting sqref="DG2:DG92 DG96:DG119 DG121:DG127">
    <cfRule type="expression" dxfId="113" priority="473">
      <formula>$DG2&gt;=TODAY()</formula>
    </cfRule>
  </conditionalFormatting>
  <conditionalFormatting sqref="DF2:DF92 DF96:DF119 DF121:DF127">
    <cfRule type="expression" dxfId="112" priority="474">
      <formula>$DF2&gt;=TODAY()</formula>
    </cfRule>
  </conditionalFormatting>
  <conditionalFormatting sqref="DD2:DD92 DD96:DD119 DD121:DD127">
    <cfRule type="expression" dxfId="111" priority="475">
      <formula>$DD2&gt;=TODAY()</formula>
    </cfRule>
  </conditionalFormatting>
  <conditionalFormatting sqref="DC2:DC92 DC96:DC119 DC121:DC127">
    <cfRule type="expression" dxfId="110" priority="476">
      <formula>$DC2&gt;=TODAY()</formula>
    </cfRule>
  </conditionalFormatting>
  <conditionalFormatting sqref="DW2:DW92 DW96:DW119 DW121:DW127">
    <cfRule type="expression" dxfId="109" priority="588">
      <formula>$DW2&gt;=TODAY()</formula>
    </cfRule>
  </conditionalFormatting>
  <conditionalFormatting sqref="DU34:DU48 DU2:DU32 DU50:DU92 DU96:DU119 DU121:DU127">
    <cfRule type="expression" dxfId="108" priority="591">
      <formula>$DU2&gt;=TODAY()</formula>
    </cfRule>
  </conditionalFormatting>
  <conditionalFormatting sqref="DU49 DU33 DT2:DT92 DT96:DT119 DT121:DT127">
    <cfRule type="expression" dxfId="107" priority="594">
      <formula>$DT2&gt;=TODAY()</formula>
    </cfRule>
  </conditionalFormatting>
  <conditionalFormatting sqref="EK48:EK55 EH33:EH49 EH2:EH31 EH96:EH119 EH121:EH127 EH51:EH92">
    <cfRule type="expression" dxfId="106" priority="675">
      <formula>$EH2&gt;=TODAY()</formula>
    </cfRule>
  </conditionalFormatting>
  <conditionalFormatting sqref="FA96:FA119 FA121:FA127 FA2:FA92">
    <cfRule type="expression" dxfId="105" priority="679">
      <formula>$FA2&gt;=TODAY()</formula>
    </cfRule>
  </conditionalFormatting>
  <conditionalFormatting sqref="EZ96:EZ119 EZ121:EZ127 EZ2:EZ92">
    <cfRule type="expression" dxfId="104" priority="680">
      <formula>$EZ2&gt;=TODAY()</formula>
    </cfRule>
  </conditionalFormatting>
  <conditionalFormatting sqref="EY96:EY119 EY121:EY127 EY2:EY92">
    <cfRule type="expression" dxfId="103" priority="681">
      <formula>$EY2&gt;=TODAY()</formula>
    </cfRule>
  </conditionalFormatting>
  <conditionalFormatting sqref="EW96:EW119 EW121:EW127 EW2:EW92">
    <cfRule type="expression" dxfId="102" priority="682">
      <formula>$EW2&gt;=TODAY()</formula>
    </cfRule>
  </conditionalFormatting>
  <conditionalFormatting sqref="EV96:EV119 EV121:EV127 EV2:EV92">
    <cfRule type="expression" dxfId="101" priority="683">
      <formula>$EV2&gt;=TODAY()</formula>
    </cfRule>
  </conditionalFormatting>
  <conditionalFormatting sqref="ET96:ET119 ET121:ET127 ET2:ET92">
    <cfRule type="expression" dxfId="100" priority="684">
      <formula>$ET2&gt;=TODAY()</formula>
    </cfRule>
  </conditionalFormatting>
  <conditionalFormatting sqref="ES96:ES119 ES121:ES127 ES2:ES92">
    <cfRule type="expression" dxfId="99" priority="685">
      <formula>$ES2&gt;=TODAY()</formula>
    </cfRule>
  </conditionalFormatting>
  <conditionalFormatting sqref="EQ96:EQ119 EQ121:EQ127 EQ2:EQ92">
    <cfRule type="expression" dxfId="98" priority="686">
      <formula>$EQ2&gt;=TODAY()</formula>
    </cfRule>
  </conditionalFormatting>
  <conditionalFormatting sqref="EP96:EP119 EP121:EP127 EP2:EP92">
    <cfRule type="expression" dxfId="97" priority="687">
      <formula>$EP2&gt;=TODAY()</formula>
    </cfRule>
  </conditionalFormatting>
  <conditionalFormatting sqref="EN96:EN119 EN121:EN127 EN2:EN92">
    <cfRule type="expression" dxfId="96" priority="688">
      <formula>$EN2&gt;=TODAY()</formula>
    </cfRule>
  </conditionalFormatting>
  <conditionalFormatting sqref="EM96:EM119 EM121:EM127 EM2:EM92">
    <cfRule type="expression" dxfId="95" priority="689">
      <formula>$EM2&gt;=TODAY()</formula>
    </cfRule>
  </conditionalFormatting>
  <conditionalFormatting sqref="EK2:EK47 EK96:EK119 EK121:EK127 EK56:EK92">
    <cfRule type="expression" dxfId="94" priority="690">
      <formula>$EK2&gt;=TODAY()</formula>
    </cfRule>
  </conditionalFormatting>
  <conditionalFormatting sqref="EJ2:EJ47 EJ96:EJ119 EJ121:EJ127 EJ56:EJ92">
    <cfRule type="expression" dxfId="93" priority="692">
      <formula>$EJ2&gt;=TODAY()</formula>
    </cfRule>
  </conditionalFormatting>
  <conditionalFormatting sqref="EJ48:EJ55 EG96:EG119 EG121:EG127 EG2:EG92">
    <cfRule type="expression" dxfId="92" priority="694">
      <formula>$EG2&gt;=TODAY()</formula>
    </cfRule>
  </conditionalFormatting>
  <conditionalFormatting sqref="EH50 EH32 EE2:EE48 EE96:EE119 EE121:EE127 EE50:EE92">
    <cfRule type="expression" dxfId="91" priority="696">
      <formula>$EE2&gt;=TODAY()</formula>
    </cfRule>
  </conditionalFormatting>
  <conditionalFormatting sqref="EE49 ED2:ED92 ED96:ED119 ED121:ED127">
    <cfRule type="expression" dxfId="90" priority="700">
      <formula>$ED2&gt;=TODAY()</formula>
    </cfRule>
  </conditionalFormatting>
  <conditionalFormatting sqref="DP95">
    <cfRule type="expression" dxfId="89" priority="61">
      <formula>$DP95&gt;=TODAY()</formula>
    </cfRule>
  </conditionalFormatting>
  <conditionalFormatting sqref="DO95">
    <cfRule type="expression" dxfId="88" priority="62">
      <formula>$DO95&gt;=TODAY()</formula>
    </cfRule>
  </conditionalFormatting>
  <conditionalFormatting sqref="DM95">
    <cfRule type="expression" dxfId="87" priority="63">
      <formula>$DM95&gt;=TODAY()</formula>
    </cfRule>
  </conditionalFormatting>
  <conditionalFormatting sqref="DL95">
    <cfRule type="expression" dxfId="86" priority="64">
      <formula>$DL95&gt;=TODAY()</formula>
    </cfRule>
  </conditionalFormatting>
  <conditionalFormatting sqref="DJ95">
    <cfRule type="expression" dxfId="85" priority="65">
      <formula>$DJ95&gt;=TODAY()</formula>
    </cfRule>
  </conditionalFormatting>
  <conditionalFormatting sqref="DI95">
    <cfRule type="expression" dxfId="84" priority="66">
      <formula>$DI95&gt;=TODAY()</formula>
    </cfRule>
  </conditionalFormatting>
  <conditionalFormatting sqref="DG95">
    <cfRule type="expression" dxfId="83" priority="67">
      <formula>$DG95&gt;=TODAY()</formula>
    </cfRule>
  </conditionalFormatting>
  <conditionalFormatting sqref="DF95">
    <cfRule type="expression" dxfId="82" priority="68">
      <formula>$DF95&gt;=TODAY()</formula>
    </cfRule>
  </conditionalFormatting>
  <conditionalFormatting sqref="DD95">
    <cfRule type="expression" dxfId="81" priority="69">
      <formula>$DD95&gt;=TODAY()</formula>
    </cfRule>
  </conditionalFormatting>
  <conditionalFormatting sqref="DC95">
    <cfRule type="expression" dxfId="80" priority="70">
      <formula>$DC95&gt;=TODAY()</formula>
    </cfRule>
  </conditionalFormatting>
  <conditionalFormatting sqref="DW95">
    <cfRule type="expression" dxfId="79" priority="71">
      <formula>$DW95&gt;=TODAY()</formula>
    </cfRule>
  </conditionalFormatting>
  <conditionalFormatting sqref="DU95">
    <cfRule type="expression" dxfId="78" priority="72">
      <formula>$DU95&gt;=TODAY()</formula>
    </cfRule>
  </conditionalFormatting>
  <conditionalFormatting sqref="DT95">
    <cfRule type="expression" dxfId="77" priority="73">
      <formula>$DT95&gt;=TODAY()</formula>
    </cfRule>
  </conditionalFormatting>
  <conditionalFormatting sqref="EH95">
    <cfRule type="expression" dxfId="76" priority="74">
      <formula>$EH95&gt;=TODAY()</formula>
    </cfRule>
  </conditionalFormatting>
  <conditionalFormatting sqref="FA95">
    <cfRule type="expression" dxfId="75" priority="75">
      <formula>$FA95&gt;=TODAY()</formula>
    </cfRule>
  </conditionalFormatting>
  <conditionalFormatting sqref="EZ95">
    <cfRule type="expression" dxfId="74" priority="76">
      <formula>$EZ95&gt;=TODAY()</formula>
    </cfRule>
  </conditionalFormatting>
  <conditionalFormatting sqref="EY95">
    <cfRule type="expression" dxfId="73" priority="77">
      <formula>$EY95&gt;=TODAY()</formula>
    </cfRule>
  </conditionalFormatting>
  <conditionalFormatting sqref="EW95">
    <cfRule type="expression" dxfId="72" priority="78">
      <formula>$EW95&gt;=TODAY()</formula>
    </cfRule>
  </conditionalFormatting>
  <conditionalFormatting sqref="EV95">
    <cfRule type="expression" dxfId="71" priority="79">
      <formula>$EV95&gt;=TODAY()</formula>
    </cfRule>
  </conditionalFormatting>
  <conditionalFormatting sqref="ET95">
    <cfRule type="expression" dxfId="70" priority="80">
      <formula>$ET95&gt;=TODAY()</formula>
    </cfRule>
  </conditionalFormatting>
  <conditionalFormatting sqref="ES95">
    <cfRule type="expression" dxfId="69" priority="81">
      <formula>$ES95&gt;=TODAY()</formula>
    </cfRule>
  </conditionalFormatting>
  <conditionalFormatting sqref="EQ95">
    <cfRule type="expression" dxfId="68" priority="82">
      <formula>$EQ95&gt;=TODAY()</formula>
    </cfRule>
  </conditionalFormatting>
  <conditionalFormatting sqref="EP95">
    <cfRule type="expression" dxfId="67" priority="83">
      <formula>$EP95&gt;=TODAY()</formula>
    </cfRule>
  </conditionalFormatting>
  <conditionalFormatting sqref="EN95">
    <cfRule type="expression" dxfId="66" priority="84">
      <formula>$EN95&gt;=TODAY()</formula>
    </cfRule>
  </conditionalFormatting>
  <conditionalFormatting sqref="EM95">
    <cfRule type="expression" dxfId="65" priority="85">
      <formula>$EM95&gt;=TODAY()</formula>
    </cfRule>
  </conditionalFormatting>
  <conditionalFormatting sqref="EK95">
    <cfRule type="expression" dxfId="64" priority="86">
      <formula>$EK95&gt;=TODAY()</formula>
    </cfRule>
  </conditionalFormatting>
  <conditionalFormatting sqref="EJ95">
    <cfRule type="expression" dxfId="63" priority="87">
      <formula>$EJ95&gt;=TODAY()</formula>
    </cfRule>
  </conditionalFormatting>
  <conditionalFormatting sqref="EG95">
    <cfRule type="expression" dxfId="62" priority="88">
      <formula>$EG95&gt;=TODAY()</formula>
    </cfRule>
  </conditionalFormatting>
  <conditionalFormatting sqref="EE95">
    <cfRule type="expression" dxfId="61" priority="89">
      <formula>$EE95&gt;=TODAY()</formula>
    </cfRule>
  </conditionalFormatting>
  <conditionalFormatting sqref="ED95">
    <cfRule type="expression" dxfId="60" priority="90">
      <formula>$ED95&gt;=TODAY()</formula>
    </cfRule>
  </conditionalFormatting>
  <conditionalFormatting sqref="DP94">
    <cfRule type="expression" dxfId="59" priority="31">
      <formula>$DP94&gt;=TODAY()</formula>
    </cfRule>
  </conditionalFormatting>
  <conditionalFormatting sqref="DO94">
    <cfRule type="expression" dxfId="58" priority="32">
      <formula>$DO94&gt;=TODAY()</formula>
    </cfRule>
  </conditionalFormatting>
  <conditionalFormatting sqref="DM94">
    <cfRule type="expression" dxfId="57" priority="33">
      <formula>$DM94&gt;=TODAY()</formula>
    </cfRule>
  </conditionalFormatting>
  <conditionalFormatting sqref="DL94">
    <cfRule type="expression" dxfId="56" priority="34">
      <formula>$DL94&gt;=TODAY()</formula>
    </cfRule>
  </conditionalFormatting>
  <conditionalFormatting sqref="DJ94">
    <cfRule type="expression" dxfId="55" priority="35">
      <formula>$DJ94&gt;=TODAY()</formula>
    </cfRule>
  </conditionalFormatting>
  <conditionalFormatting sqref="DI94">
    <cfRule type="expression" dxfId="54" priority="36">
      <formula>$DI94&gt;=TODAY()</formula>
    </cfRule>
  </conditionalFormatting>
  <conditionalFormatting sqref="DG94">
    <cfRule type="expression" dxfId="53" priority="37">
      <formula>$DG94&gt;=TODAY()</formula>
    </cfRule>
  </conditionalFormatting>
  <conditionalFormatting sqref="DF94">
    <cfRule type="expression" dxfId="52" priority="38">
      <formula>$DF94&gt;=TODAY()</formula>
    </cfRule>
  </conditionalFormatting>
  <conditionalFormatting sqref="DD94">
    <cfRule type="expression" dxfId="51" priority="39">
      <formula>$DD94&gt;=TODAY()</formula>
    </cfRule>
  </conditionalFormatting>
  <conditionalFormatting sqref="DC94">
    <cfRule type="expression" dxfId="50" priority="40">
      <formula>$DC94&gt;=TODAY()</formula>
    </cfRule>
  </conditionalFormatting>
  <conditionalFormatting sqref="DW94">
    <cfRule type="expression" dxfId="49" priority="41">
      <formula>$DW94&gt;=TODAY()</formula>
    </cfRule>
  </conditionalFormatting>
  <conditionalFormatting sqref="DU94">
    <cfRule type="expression" dxfId="48" priority="42">
      <formula>$DU94&gt;=TODAY()</formula>
    </cfRule>
  </conditionalFormatting>
  <conditionalFormatting sqref="DT94">
    <cfRule type="expression" dxfId="47" priority="43">
      <formula>$DT94&gt;=TODAY()</formula>
    </cfRule>
  </conditionalFormatting>
  <conditionalFormatting sqref="EH94">
    <cfRule type="expression" dxfId="46" priority="44">
      <formula>$EH94&gt;=TODAY()</formula>
    </cfRule>
  </conditionalFormatting>
  <conditionalFormatting sqref="FA94">
    <cfRule type="expression" dxfId="45" priority="45">
      <formula>$FA94&gt;=TODAY()</formula>
    </cfRule>
  </conditionalFormatting>
  <conditionalFormatting sqref="EZ94">
    <cfRule type="expression" dxfId="44" priority="46">
      <formula>$EZ94&gt;=TODAY()</formula>
    </cfRule>
  </conditionalFormatting>
  <conditionalFormatting sqref="EY94">
    <cfRule type="expression" dxfId="43" priority="47">
      <formula>$EY94&gt;=TODAY()</formula>
    </cfRule>
  </conditionalFormatting>
  <conditionalFormatting sqref="EW94">
    <cfRule type="expression" dxfId="42" priority="48">
      <formula>$EW94&gt;=TODAY()</formula>
    </cfRule>
  </conditionalFormatting>
  <conditionalFormatting sqref="EV94">
    <cfRule type="expression" dxfId="41" priority="49">
      <formula>$EV94&gt;=TODAY()</formula>
    </cfRule>
  </conditionalFormatting>
  <conditionalFormatting sqref="ET94">
    <cfRule type="expression" dxfId="40" priority="50">
      <formula>$ET94&gt;=TODAY()</formula>
    </cfRule>
  </conditionalFormatting>
  <conditionalFormatting sqref="ES94">
    <cfRule type="expression" dxfId="39" priority="51">
      <formula>$ES94&gt;=TODAY()</formula>
    </cfRule>
  </conditionalFormatting>
  <conditionalFormatting sqref="EQ94">
    <cfRule type="expression" dxfId="38" priority="52">
      <formula>$EQ94&gt;=TODAY()</formula>
    </cfRule>
  </conditionalFormatting>
  <conditionalFormatting sqref="EP94">
    <cfRule type="expression" dxfId="37" priority="53">
      <formula>$EP94&gt;=TODAY()</formula>
    </cfRule>
  </conditionalFormatting>
  <conditionalFormatting sqref="EN94">
    <cfRule type="expression" dxfId="36" priority="54">
      <formula>$EN94&gt;=TODAY()</formula>
    </cfRule>
  </conditionalFormatting>
  <conditionalFormatting sqref="EM94">
    <cfRule type="expression" dxfId="35" priority="55">
      <formula>$EM94&gt;=TODAY()</formula>
    </cfRule>
  </conditionalFormatting>
  <conditionalFormatting sqref="EK94">
    <cfRule type="expression" dxfId="34" priority="56">
      <formula>$EK94&gt;=TODAY()</formula>
    </cfRule>
  </conditionalFormatting>
  <conditionalFormatting sqref="EJ94">
    <cfRule type="expression" dxfId="33" priority="57">
      <formula>$EJ94&gt;=TODAY()</formula>
    </cfRule>
  </conditionalFormatting>
  <conditionalFormatting sqref="EG94">
    <cfRule type="expression" dxfId="32" priority="58">
      <formula>$EG94&gt;=TODAY()</formula>
    </cfRule>
  </conditionalFormatting>
  <conditionalFormatting sqref="EE94">
    <cfRule type="expression" dxfId="31" priority="59">
      <formula>$EE94&gt;=TODAY()</formula>
    </cfRule>
  </conditionalFormatting>
  <conditionalFormatting sqref="ED94">
    <cfRule type="expression" dxfId="30" priority="60">
      <formula>$ED94&gt;=TODAY()</formula>
    </cfRule>
  </conditionalFormatting>
  <conditionalFormatting sqref="DP93">
    <cfRule type="expression" dxfId="29" priority="1">
      <formula>$DP93&gt;=TODAY()</formula>
    </cfRule>
  </conditionalFormatting>
  <conditionalFormatting sqref="DO93">
    <cfRule type="expression" dxfId="28" priority="2">
      <formula>$DO93&gt;=TODAY()</formula>
    </cfRule>
  </conditionalFormatting>
  <conditionalFormatting sqref="DM93">
    <cfRule type="expression" dxfId="27" priority="3">
      <formula>$DM93&gt;=TODAY()</formula>
    </cfRule>
  </conditionalFormatting>
  <conditionalFormatting sqref="DL93">
    <cfRule type="expression" dxfId="26" priority="4">
      <formula>$DL93&gt;=TODAY()</formula>
    </cfRule>
  </conditionalFormatting>
  <conditionalFormatting sqref="DJ93">
    <cfRule type="expression" dxfId="25" priority="5">
      <formula>$DJ93&gt;=TODAY()</formula>
    </cfRule>
  </conditionalFormatting>
  <conditionalFormatting sqref="DI93">
    <cfRule type="expression" dxfId="24" priority="6">
      <formula>$DI93&gt;=TODAY()</formula>
    </cfRule>
  </conditionalFormatting>
  <conditionalFormatting sqref="DG93">
    <cfRule type="expression" dxfId="23" priority="7">
      <formula>$DG93&gt;=TODAY()</formula>
    </cfRule>
  </conditionalFormatting>
  <conditionalFormatting sqref="DF93">
    <cfRule type="expression" dxfId="22" priority="8">
      <formula>$DF93&gt;=TODAY()</formula>
    </cfRule>
  </conditionalFormatting>
  <conditionalFormatting sqref="DD93">
    <cfRule type="expression" dxfId="21" priority="9">
      <formula>$DD93&gt;=TODAY()</formula>
    </cfRule>
  </conditionalFormatting>
  <conditionalFormatting sqref="DC93">
    <cfRule type="expression" dxfId="20" priority="10">
      <formula>$DC93&gt;=TODAY()</formula>
    </cfRule>
  </conditionalFormatting>
  <conditionalFormatting sqref="DW93">
    <cfRule type="expression" dxfId="19" priority="11">
      <formula>$DW93&gt;=TODAY()</formula>
    </cfRule>
  </conditionalFormatting>
  <conditionalFormatting sqref="DU93">
    <cfRule type="expression" dxfId="18" priority="12">
      <formula>$DU93&gt;=TODAY()</formula>
    </cfRule>
  </conditionalFormatting>
  <conditionalFormatting sqref="DT93">
    <cfRule type="expression" dxfId="17" priority="13">
      <formula>$DT93&gt;=TODAY()</formula>
    </cfRule>
  </conditionalFormatting>
  <conditionalFormatting sqref="EH93">
    <cfRule type="expression" dxfId="16" priority="14">
      <formula>$EH93&gt;=TODAY()</formula>
    </cfRule>
  </conditionalFormatting>
  <conditionalFormatting sqref="FA93">
    <cfRule type="expression" dxfId="15" priority="15">
      <formula>$FA93&gt;=TODAY()</formula>
    </cfRule>
  </conditionalFormatting>
  <conditionalFormatting sqref="EZ93">
    <cfRule type="expression" dxfId="14" priority="16">
      <formula>$EZ93&gt;=TODAY()</formula>
    </cfRule>
  </conditionalFormatting>
  <conditionalFormatting sqref="EY93">
    <cfRule type="expression" dxfId="13" priority="17">
      <formula>$EY93&gt;=TODAY()</formula>
    </cfRule>
  </conditionalFormatting>
  <conditionalFormatting sqref="EW93">
    <cfRule type="expression" dxfId="12" priority="18">
      <formula>$EW93&gt;=TODAY()</formula>
    </cfRule>
  </conditionalFormatting>
  <conditionalFormatting sqref="EV93">
    <cfRule type="expression" dxfId="11" priority="19">
      <formula>$EV93&gt;=TODAY()</formula>
    </cfRule>
  </conditionalFormatting>
  <conditionalFormatting sqref="ET93">
    <cfRule type="expression" dxfId="10" priority="20">
      <formula>$ET93&gt;=TODAY()</formula>
    </cfRule>
  </conditionalFormatting>
  <conditionalFormatting sqref="ES93">
    <cfRule type="expression" dxfId="9" priority="21">
      <formula>$ES93&gt;=TODAY()</formula>
    </cfRule>
  </conditionalFormatting>
  <conditionalFormatting sqref="EQ93">
    <cfRule type="expression" dxfId="8" priority="22">
      <formula>$EQ93&gt;=TODAY()</formula>
    </cfRule>
  </conditionalFormatting>
  <conditionalFormatting sqref="EP93">
    <cfRule type="expression" dxfId="7" priority="23">
      <formula>$EP93&gt;=TODAY()</formula>
    </cfRule>
  </conditionalFormatting>
  <conditionalFormatting sqref="EN93">
    <cfRule type="expression" dxfId="6" priority="24">
      <formula>$EN93&gt;=TODAY()</formula>
    </cfRule>
  </conditionalFormatting>
  <conditionalFormatting sqref="EM93">
    <cfRule type="expression" dxfId="5" priority="25">
      <formula>$EM93&gt;=TODAY()</formula>
    </cfRule>
  </conditionalFormatting>
  <conditionalFormatting sqref="EK93">
    <cfRule type="expression" dxfId="4" priority="26">
      <formula>$EK93&gt;=TODAY()</formula>
    </cfRule>
  </conditionalFormatting>
  <conditionalFormatting sqref="EJ93">
    <cfRule type="expression" dxfId="3" priority="27">
      <formula>$EJ93&gt;=TODAY()</formula>
    </cfRule>
  </conditionalFormatting>
  <conditionalFormatting sqref="EG93">
    <cfRule type="expression" dxfId="2" priority="28">
      <formula>$EG93&gt;=TODAY()</formula>
    </cfRule>
  </conditionalFormatting>
  <conditionalFormatting sqref="EE93">
    <cfRule type="expression" dxfId="1" priority="29">
      <formula>$EE93&gt;=TODAY()</formula>
    </cfRule>
  </conditionalFormatting>
  <conditionalFormatting sqref="ED93">
    <cfRule type="expression" dxfId="0" priority="30">
      <formula>$ED93&gt;=TODAY()</formula>
    </cfRule>
  </conditionalFormatting>
  <dataValidations count="15">
    <dataValidation type="list" allowBlank="1" showInputMessage="1" showErrorMessage="1" sqref="BI128:BJ128 BA2 BC2:BC75 AW120 AZ107:BA119 AZ121:BA127 AZ2:AZ106">
      <formula1>"oui,non"</formula1>
    </dataValidation>
    <dataValidation type="list" allowBlank="1" showInputMessage="1" showErrorMessage="1" sqref="P128:V128 X128:AC128 C128:D128">
      <formula1>"Avirons,Entre-Deux,Etang-Salé,Petite-Ile,St Joseph,St Leu,St Louis,St Paul,St Philippe,St Pierre,Tampon,Trois Bassins"</formula1>
    </dataValidation>
    <dataValidation type="list" allowBlank="1" showInputMessage="1" showErrorMessage="1" sqref="BF38:BF44 BF48">
      <formula1>"OFOI,INGEPAR,INTERINVEST"</formula1>
    </dataValidation>
    <dataValidation type="list" allowBlank="1" showInputMessage="1" showErrorMessage="1" sqref="BF3:BF8 BF10:BF37">
      <formula1>"INGEPAR,OFOI,INTER INVEST"</formula1>
    </dataValidation>
    <dataValidation type="list" allowBlank="1" showInputMessage="1" showErrorMessage="1" sqref="BD128:BE128 FS128:FV128 DX128:DZ128 EB128:EC128 GA128:GU128 FB128:FP128">
      <formula1>"FHO,FMA,JDC,JFO,LIM,SFE,YFR"</formula1>
    </dataValidation>
    <dataValidation type="list" allowBlank="1" showInputMessage="1" showErrorMessage="1" sqref="G2:G13 G58:G59 G85:G88 G34:G56">
      <formula1>"ADE,AGA,APU,BBL,FBR,FHO,FVA,JER,YFR"</formula1>
    </dataValidation>
    <dataValidation type="list" allowBlank="1" showInputMessage="1" showErrorMessage="1" sqref="G82:G84 G60:G79 G100:G127 G89:G98">
      <formula1>"ADE,AGA,APU,BBL,FBR,FHO,FVA,JER,OET,YFR"</formula1>
    </dataValidation>
    <dataValidation type="list" allowBlank="1" showInputMessage="1" showErrorMessage="1" sqref="G57 G14:G33">
      <formula1>"ADE,APU,BBL,FBR,FHO,FVA,JER,OET,YFR"</formula1>
    </dataValidation>
    <dataValidation type="list" allowBlank="1" showInputMessage="1" showErrorMessage="1" sqref="G99 G80:G81">
      <formula1>"ADE,AGA,APU,BBL,FBR,FHO,FVA,JER,OET,YFR,RO"</formula1>
    </dataValidation>
    <dataValidation type="list" allowBlank="1" showInputMessage="1" showErrorMessage="1" sqref="BF128 BD120">
      <formula1>"INGEPAR,OFOI"</formula1>
    </dataValidation>
    <dataValidation type="list" allowBlank="1" showInputMessage="1" showErrorMessage="1" sqref="C2:C127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AD2:AD127">
      <formula1>"LLS,LLTS,PLS,Rehab"</formula1>
    </dataValidation>
    <dataValidation type="list" allowBlank="1" showInputMessage="1" showErrorMessage="1" sqref="D2:D127">
      <formula1>"CA SUD,CIVIS,TCO"</formula1>
    </dataValidation>
    <dataValidation type="list" allowBlank="1" showInputMessage="1" showErrorMessage="1" sqref="AV120 AY121:AY127 AY2:AY119">
      <formula1>"MDV,collectif"</formula1>
    </dataValidation>
    <dataValidation type="list" allowBlank="1" showInputMessage="1" showErrorMessage="1" sqref="BN120:BQ120">
      <formula1>"Oui,Non"</formula1>
    </dataValidation>
  </dataValidations>
  <pageMargins left="0.23622047244094491" right="0.23622047244094491" top="0.74803149606299213" bottom="0.74803149606299213" header="0.31496062992125984" footer="0.31496062992125984"/>
  <pageSetup paperSize="8" scale="10" orientation="portrait" r:id="rId1"/>
  <headerFooter>
    <oddFooter>Préparé par NBL &amp;D&amp;RPage &amp;P</oddFooter>
  </headerFooter>
  <rowBreaks count="2" manualBreakCount="2">
    <brk id="128" max="16383" man="1"/>
    <brk id="135" max="16383" man="1"/>
  </rowBreaks>
  <colBreaks count="5" manualBreakCount="5">
    <brk id="36" max="1048575" man="1"/>
    <brk id="178" max="1048575" man="1"/>
    <brk id="181" max="1048575" man="1"/>
    <brk id="238" max="1048575" man="1"/>
    <brk id="253" max="1048575" man="1"/>
  </colBreaks>
  <ignoredErrors>
    <ignoredError sqref="AN132" formulaRange="1"/>
    <ignoredError sqref="Q139:Q142 Q145:Q149 Q150" evalError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0"/>
  <sheetViews>
    <sheetView topLeftCell="A3" workbookViewId="0">
      <selection activeCell="B10" sqref="B10"/>
    </sheetView>
  </sheetViews>
  <sheetFormatPr baseColWidth="10" defaultRowHeight="15"/>
  <cols>
    <col min="1" max="1" width="21" bestFit="1" customWidth="1"/>
    <col min="2" max="2" width="23.85546875" bestFit="1" customWidth="1"/>
    <col min="3" max="13" width="5" customWidth="1"/>
    <col min="14" max="14" width="12.5703125" bestFit="1" customWidth="1"/>
  </cols>
  <sheetData>
    <row r="3" spans="1:14">
      <c r="A3" s="3" t="s">
        <v>94</v>
      </c>
      <c r="B3" s="3" t="s">
        <v>95</v>
      </c>
    </row>
    <row r="4" spans="1:14">
      <c r="A4" s="3" t="s">
        <v>92</v>
      </c>
      <c r="B4">
        <v>2010</v>
      </c>
      <c r="C4">
        <v>2011</v>
      </c>
      <c r="D4">
        <v>2012</v>
      </c>
      <c r="E4">
        <v>2013</v>
      </c>
      <c r="F4">
        <v>2014</v>
      </c>
      <c r="G4">
        <v>2015</v>
      </c>
      <c r="H4">
        <v>2016</v>
      </c>
      <c r="I4">
        <v>2017</v>
      </c>
      <c r="J4">
        <v>2018</v>
      </c>
      <c r="K4">
        <v>2019</v>
      </c>
      <c r="L4">
        <v>2020</v>
      </c>
      <c r="M4">
        <v>2021</v>
      </c>
      <c r="N4" t="s">
        <v>93</v>
      </c>
    </row>
    <row r="5" spans="1:14">
      <c r="A5" s="4" t="s">
        <v>112</v>
      </c>
      <c r="B5" s="18"/>
      <c r="C5" s="18">
        <v>77</v>
      </c>
      <c r="D5" s="18">
        <v>323</v>
      </c>
      <c r="E5" s="18">
        <v>188</v>
      </c>
      <c r="F5" s="18">
        <v>118</v>
      </c>
      <c r="G5" s="18">
        <v>114</v>
      </c>
      <c r="H5" s="18">
        <v>214</v>
      </c>
      <c r="I5" s="18">
        <v>248</v>
      </c>
      <c r="J5" s="18">
        <v>315</v>
      </c>
      <c r="K5" s="18">
        <v>216</v>
      </c>
      <c r="L5" s="18">
        <v>534</v>
      </c>
      <c r="M5" s="18">
        <v>100</v>
      </c>
      <c r="N5" s="18">
        <v>2447</v>
      </c>
    </row>
    <row r="6" spans="1:14">
      <c r="A6" s="19" t="s">
        <v>15</v>
      </c>
      <c r="B6" s="18"/>
      <c r="C6" s="18">
        <v>71</v>
      </c>
      <c r="D6" s="18">
        <v>113</v>
      </c>
      <c r="E6" s="18">
        <v>98</v>
      </c>
      <c r="F6" s="18"/>
      <c r="G6" s="18">
        <v>20</v>
      </c>
      <c r="H6" s="18">
        <v>30</v>
      </c>
      <c r="I6" s="18"/>
      <c r="J6" s="18"/>
      <c r="K6" s="18"/>
      <c r="L6" s="18">
        <v>77</v>
      </c>
      <c r="M6" s="18"/>
      <c r="N6" s="18">
        <v>409</v>
      </c>
    </row>
    <row r="7" spans="1:14">
      <c r="A7" s="19" t="s">
        <v>16</v>
      </c>
      <c r="B7" s="18"/>
      <c r="C7" s="18">
        <v>6</v>
      </c>
      <c r="D7" s="18">
        <v>210</v>
      </c>
      <c r="E7" s="18">
        <v>90</v>
      </c>
      <c r="F7" s="18">
        <v>118</v>
      </c>
      <c r="G7" s="18">
        <v>94</v>
      </c>
      <c r="H7" s="18">
        <v>184</v>
      </c>
      <c r="I7" s="18">
        <v>87</v>
      </c>
      <c r="J7" s="18"/>
      <c r="K7" s="18">
        <v>66</v>
      </c>
      <c r="L7" s="18">
        <v>195</v>
      </c>
      <c r="M7" s="18">
        <v>100</v>
      </c>
      <c r="N7" s="18">
        <v>1150</v>
      </c>
    </row>
    <row r="8" spans="1:14">
      <c r="A8" s="19" t="s">
        <v>425</v>
      </c>
      <c r="B8" s="18"/>
      <c r="C8" s="18"/>
      <c r="D8" s="18"/>
      <c r="E8" s="18"/>
      <c r="F8" s="18"/>
      <c r="G8" s="18"/>
      <c r="H8" s="18"/>
      <c r="I8" s="18"/>
      <c r="J8" s="18">
        <v>100</v>
      </c>
      <c r="K8" s="18">
        <v>91</v>
      </c>
      <c r="L8" s="18">
        <v>19</v>
      </c>
      <c r="M8" s="18"/>
      <c r="N8" s="18">
        <v>210</v>
      </c>
    </row>
    <row r="9" spans="1:14">
      <c r="A9" s="19" t="s">
        <v>432</v>
      </c>
      <c r="B9" s="18"/>
      <c r="C9" s="18"/>
      <c r="D9" s="18"/>
      <c r="E9" s="18"/>
      <c r="F9" s="18"/>
      <c r="G9" s="18"/>
      <c r="H9" s="18"/>
      <c r="I9" s="18">
        <v>161</v>
      </c>
      <c r="J9" s="18">
        <v>215</v>
      </c>
      <c r="K9" s="18"/>
      <c r="L9" s="18">
        <v>243</v>
      </c>
      <c r="M9" s="18"/>
      <c r="N9" s="18">
        <v>619</v>
      </c>
    </row>
    <row r="10" spans="1:14">
      <c r="A10" s="19" t="s">
        <v>637</v>
      </c>
      <c r="B10" s="18"/>
      <c r="C10" s="18"/>
      <c r="D10" s="18"/>
      <c r="E10" s="18"/>
      <c r="F10" s="18"/>
      <c r="G10" s="18"/>
      <c r="H10" s="18"/>
      <c r="I10" s="18"/>
      <c r="J10" s="18"/>
      <c r="K10" s="18">
        <v>59</v>
      </c>
      <c r="L10" s="18"/>
      <c r="M10" s="18"/>
      <c r="N10" s="18">
        <v>59</v>
      </c>
    </row>
    <row r="11" spans="1:14">
      <c r="A11" s="4" t="s">
        <v>114</v>
      </c>
      <c r="B11" s="18">
        <v>57</v>
      </c>
      <c r="C11" s="18">
        <v>23</v>
      </c>
      <c r="D11" s="18">
        <v>21</v>
      </c>
      <c r="E11" s="18"/>
      <c r="F11" s="18">
        <v>55</v>
      </c>
      <c r="G11" s="18">
        <v>76</v>
      </c>
      <c r="H11" s="18">
        <v>81</v>
      </c>
      <c r="I11" s="18">
        <v>282</v>
      </c>
      <c r="J11" s="18">
        <v>119</v>
      </c>
      <c r="K11" s="18"/>
      <c r="L11" s="18">
        <v>110</v>
      </c>
      <c r="M11" s="18"/>
      <c r="N11" s="18">
        <v>824</v>
      </c>
    </row>
    <row r="12" spans="1:14">
      <c r="A12" s="19" t="s">
        <v>15</v>
      </c>
      <c r="B12" s="18"/>
      <c r="C12" s="18">
        <v>23</v>
      </c>
      <c r="D12" s="18"/>
      <c r="E12" s="18"/>
      <c r="F12" s="18">
        <v>9</v>
      </c>
      <c r="G12" s="18">
        <v>46</v>
      </c>
      <c r="H12" s="18">
        <v>30</v>
      </c>
      <c r="I12" s="18"/>
      <c r="J12" s="18">
        <v>89</v>
      </c>
      <c r="K12" s="18"/>
      <c r="L12" s="18"/>
      <c r="M12" s="18"/>
      <c r="N12" s="18">
        <v>197</v>
      </c>
    </row>
    <row r="13" spans="1:14">
      <c r="A13" s="19" t="s">
        <v>16</v>
      </c>
      <c r="B13" s="18">
        <v>57</v>
      </c>
      <c r="C13" s="18"/>
      <c r="D13" s="18">
        <v>21</v>
      </c>
      <c r="E13" s="18"/>
      <c r="F13" s="18">
        <v>46</v>
      </c>
      <c r="G13" s="18">
        <v>30</v>
      </c>
      <c r="H13" s="18">
        <v>51</v>
      </c>
      <c r="I13" s="18">
        <v>51</v>
      </c>
      <c r="J13" s="18">
        <v>30</v>
      </c>
      <c r="K13" s="18"/>
      <c r="L13" s="18">
        <v>110</v>
      </c>
      <c r="M13" s="18"/>
      <c r="N13" s="18">
        <v>396</v>
      </c>
    </row>
    <row r="14" spans="1:14">
      <c r="A14" s="19" t="s">
        <v>425</v>
      </c>
      <c r="B14" s="18"/>
      <c r="C14" s="18"/>
      <c r="D14" s="18"/>
      <c r="E14" s="18"/>
      <c r="F14" s="18"/>
      <c r="G14" s="18"/>
      <c r="H14" s="18"/>
      <c r="I14" s="18">
        <v>200</v>
      </c>
      <c r="J14" s="18"/>
      <c r="K14" s="18"/>
      <c r="L14" s="18"/>
      <c r="M14" s="18"/>
      <c r="N14" s="18">
        <v>200</v>
      </c>
    </row>
    <row r="15" spans="1:14">
      <c r="A15" s="19" t="s">
        <v>432</v>
      </c>
      <c r="B15" s="18"/>
      <c r="C15" s="18"/>
      <c r="D15" s="18"/>
      <c r="E15" s="18"/>
      <c r="F15" s="18"/>
      <c r="G15" s="18"/>
      <c r="H15" s="18"/>
      <c r="I15" s="18">
        <v>31</v>
      </c>
      <c r="J15" s="18"/>
      <c r="K15" s="18"/>
      <c r="L15" s="18"/>
      <c r="M15" s="18"/>
      <c r="N15" s="18">
        <v>31</v>
      </c>
    </row>
    <row r="16" spans="1:14">
      <c r="A16" s="4" t="s">
        <v>113</v>
      </c>
      <c r="B16" s="18"/>
      <c r="C16" s="18">
        <v>34</v>
      </c>
      <c r="D16" s="18">
        <v>56</v>
      </c>
      <c r="E16" s="18">
        <v>215</v>
      </c>
      <c r="F16" s="18"/>
      <c r="G16" s="18">
        <v>18</v>
      </c>
      <c r="H16" s="18"/>
      <c r="I16" s="18">
        <v>84</v>
      </c>
      <c r="J16" s="18">
        <v>56</v>
      </c>
      <c r="K16" s="18">
        <v>60</v>
      </c>
      <c r="L16" s="18">
        <v>60</v>
      </c>
      <c r="M16" s="18"/>
      <c r="N16" s="18">
        <v>583</v>
      </c>
    </row>
    <row r="17" spans="1:14">
      <c r="A17" s="19" t="s">
        <v>15</v>
      </c>
      <c r="B17" s="18"/>
      <c r="C17" s="18">
        <v>4</v>
      </c>
      <c r="D17" s="18"/>
      <c r="E17" s="18">
        <v>64</v>
      </c>
      <c r="F17" s="18"/>
      <c r="G17" s="18"/>
      <c r="H17" s="18"/>
      <c r="I17" s="18"/>
      <c r="J17" s="18">
        <v>22</v>
      </c>
      <c r="K17" s="18"/>
      <c r="L17" s="18"/>
      <c r="M17" s="18"/>
      <c r="N17" s="18">
        <v>90</v>
      </c>
    </row>
    <row r="18" spans="1:14">
      <c r="A18" s="19" t="s">
        <v>16</v>
      </c>
      <c r="B18" s="18"/>
      <c r="C18" s="18">
        <v>30</v>
      </c>
      <c r="D18" s="18">
        <v>56</v>
      </c>
      <c r="E18" s="18">
        <v>151</v>
      </c>
      <c r="F18" s="18"/>
      <c r="G18" s="18">
        <v>18</v>
      </c>
      <c r="H18" s="18"/>
      <c r="I18" s="18">
        <v>84</v>
      </c>
      <c r="J18" s="18">
        <v>34</v>
      </c>
      <c r="K18" s="18"/>
      <c r="L18" s="18">
        <v>60</v>
      </c>
      <c r="M18" s="18"/>
      <c r="N18" s="18">
        <v>433</v>
      </c>
    </row>
    <row r="19" spans="1:14">
      <c r="A19" s="19" t="s">
        <v>425</v>
      </c>
      <c r="B19" s="18"/>
      <c r="C19" s="18"/>
      <c r="D19" s="18"/>
      <c r="E19" s="18"/>
      <c r="F19" s="18"/>
      <c r="G19" s="18"/>
      <c r="H19" s="18"/>
      <c r="I19" s="18"/>
      <c r="J19" s="18"/>
      <c r="K19" s="18">
        <v>60</v>
      </c>
      <c r="L19" s="18"/>
      <c r="M19" s="18"/>
      <c r="N19" s="18">
        <v>60</v>
      </c>
    </row>
    <row r="20" spans="1:14">
      <c r="A20" s="4" t="s">
        <v>93</v>
      </c>
      <c r="B20" s="18">
        <v>57</v>
      </c>
      <c r="C20" s="18">
        <v>134</v>
      </c>
      <c r="D20" s="18">
        <v>400</v>
      </c>
      <c r="E20" s="18">
        <v>403</v>
      </c>
      <c r="F20" s="18">
        <v>173</v>
      </c>
      <c r="G20" s="18">
        <v>208</v>
      </c>
      <c r="H20" s="18">
        <v>295</v>
      </c>
      <c r="I20" s="18">
        <v>614</v>
      </c>
      <c r="J20" s="18">
        <v>490</v>
      </c>
      <c r="K20" s="18">
        <v>276</v>
      </c>
      <c r="L20" s="18">
        <v>704</v>
      </c>
      <c r="M20" s="18">
        <v>100</v>
      </c>
      <c r="N20" s="18">
        <v>3854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36</vt:i4>
      </vt:variant>
    </vt:vector>
  </HeadingPairs>
  <TitlesOfParts>
    <vt:vector size="38" baseType="lpstr">
      <vt:lpstr>Données initiales</vt:lpstr>
      <vt:lpstr>Répartition par bassin et type</vt:lpstr>
      <vt:lpstr>Annee_Inaug</vt:lpstr>
      <vt:lpstr>Annee_OS</vt:lpstr>
      <vt:lpstr>Arrangeur</vt:lpstr>
      <vt:lpstr>Arrêté_LBU</vt:lpstr>
      <vt:lpstr>Ass</vt:lpstr>
      <vt:lpstr>AUTRES_SUB</vt:lpstr>
      <vt:lpstr>Avancement</vt:lpstr>
      <vt:lpstr>Bdgt</vt:lpstr>
      <vt:lpstr>CAF</vt:lpstr>
      <vt:lpstr>CI</vt:lpstr>
      <vt:lpstr>Fonds_propres</vt:lpstr>
      <vt:lpstr>'Données initiales'!Impression_des_titres</vt:lpstr>
      <vt:lpstr>LBU</vt:lpstr>
      <vt:lpstr>LBU_obtenue</vt:lpstr>
      <vt:lpstr>Livraison</vt:lpstr>
      <vt:lpstr>LLS</vt:lpstr>
      <vt:lpstr>LLTS</vt:lpstr>
      <vt:lpstr>Loyers</vt:lpstr>
      <vt:lpstr>Nlgts</vt:lpstr>
      <vt:lpstr>Notaire</vt:lpstr>
      <vt:lpstr>OS</vt:lpstr>
      <vt:lpstr>PEEC</vt:lpstr>
      <vt:lpstr>PRET</vt:lpstr>
      <vt:lpstr>Prix_Achat_TTC</vt:lpstr>
      <vt:lpstr>Prog</vt:lpstr>
      <vt:lpstr>PRP</vt:lpstr>
      <vt:lpstr>Px_Foncier</vt:lpstr>
      <vt:lpstr>Retard_loyer</vt:lpstr>
      <vt:lpstr>Retard_VEFA</vt:lpstr>
      <vt:lpstr>RO</vt:lpstr>
      <vt:lpstr>S_TERRAIN</vt:lpstr>
      <vt:lpstr>SF</vt:lpstr>
      <vt:lpstr>SF_VEFA</vt:lpstr>
      <vt:lpstr>SHAB_VEFA</vt:lpstr>
      <vt:lpstr>Type</vt:lpstr>
      <vt:lpstr>Ville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2018-11-13T04:10:42Z</cp:lastPrinted>
  <dcterms:created xsi:type="dcterms:W3CDTF">2012-11-19T18:43:46Z</dcterms:created>
  <dcterms:modified xsi:type="dcterms:W3CDTF">2018-11-19T12:02:34Z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